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tables/table1.xml" ContentType="application/vnd.openxmlformats-officedocument.spreadsheetml.table+xml"/>
  <Override PartName="/xl/pivotTables/pivotTable1.xml" ContentType="application/vnd.openxmlformats-officedocument.spreadsheetml.pivotTable+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undp-my.sharepoint.com/personal/suzanne_kanyange_undp_org/Documents/Desktop/"/>
    </mc:Choice>
  </mc:AlternateContent>
  <xr:revisionPtr revIDLastSave="0" documentId="8_{9C661AD8-F6E1-4310-A690-EE94BFFC65FB}" xr6:coauthVersionLast="47" xr6:coauthVersionMax="47" xr10:uidLastSave="{00000000-0000-0000-0000-000000000000}"/>
  <bookViews>
    <workbookView xWindow="-120" yWindow="-120" windowWidth="20730" windowHeight="11160" tabRatio="907" activeTab="1" xr2:uid="{00000000-000D-0000-FFFF-FFFF00000000}"/>
  </bookViews>
  <sheets>
    <sheet name="1) Budget Tables" sheetId="12" r:id="rId1"/>
    <sheet name="2) By Category" sheetId="13" r:id="rId2"/>
    <sheet name="4) For PBSO Use" sheetId="41" r:id="rId3"/>
    <sheet name="5) For MPTF Use" sheetId="42" r:id="rId4"/>
    <sheet name="6)Transaction List" sheetId="53" r:id="rId5"/>
    <sheet name="Output" sheetId="58" state="hidden" r:id="rId6"/>
    <sheet name="Sheet2" sheetId="61" state="hidden" r:id="rId7"/>
    <sheet name="7) UNPBF CAB Mapping Category " sheetId="65" r:id="rId8"/>
    <sheet name="TL1" sheetId="64" state="hidden" r:id="rId9"/>
    <sheet name="Summary" sheetId="51" state="hidden" r:id="rId10"/>
  </sheets>
  <externalReferences>
    <externalReference r:id="rId11"/>
    <externalReference r:id="rId12"/>
    <externalReference r:id="rId13"/>
  </externalReferences>
  <definedNames>
    <definedName name="_xlnm._FilterDatabase" localSheetId="4" hidden="1">'6)Transaction List'!$A$1:$BB$1117</definedName>
    <definedName name="Activity">[1]!Table14[Activity]</definedName>
    <definedName name="Budget_Line">[1]!Table15[Budget Line]</definedName>
    <definedName name="Category">[1]!Table13[Category]</definedName>
    <definedName name="Category_NU">[1]!Table11[Category Nr.]</definedName>
    <definedName name="Moneda">[1]!Monedas[Moneda]</definedName>
    <definedName name="No._Cambio">[1]!Cambios[No. Cambio]</definedName>
    <definedName name="Organización">[1]!Organizacion[Organización]</definedName>
    <definedName name="Output">[1]!Table16[Output]</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8" i="12" l="1"/>
  <c r="L210" i="13" l="1"/>
  <c r="C21" i="65"/>
  <c r="B18" i="65"/>
  <c r="D13" i="65"/>
  <c r="C13" i="65" l="1"/>
  <c r="M1210" i="64"/>
  <c r="M1209" i="64"/>
  <c r="M1208" i="64"/>
  <c r="M1207" i="64"/>
  <c r="M1206" i="64"/>
  <c r="M1205" i="64"/>
  <c r="M1204" i="64"/>
  <c r="M1203" i="64"/>
  <c r="M1202" i="64"/>
  <c r="M1201" i="64"/>
  <c r="M1200" i="64"/>
  <c r="M1199" i="64"/>
  <c r="M1198" i="64"/>
  <c r="M1197" i="64"/>
  <c r="M1196" i="64"/>
  <c r="M1195" i="64"/>
  <c r="M1194" i="64"/>
  <c r="M1193" i="64"/>
  <c r="M1192" i="64"/>
  <c r="M1191" i="64"/>
  <c r="M1190" i="64"/>
  <c r="M1189" i="64"/>
  <c r="M1188" i="64"/>
  <c r="M1187" i="64"/>
  <c r="M1186" i="64"/>
  <c r="M1185" i="64"/>
  <c r="M1184" i="64"/>
  <c r="M1183" i="64"/>
  <c r="M1182" i="64"/>
  <c r="M1181" i="64"/>
  <c r="M1180" i="64"/>
  <c r="M1179" i="64"/>
  <c r="M1178" i="64"/>
  <c r="M1177" i="64"/>
  <c r="M1176" i="64"/>
  <c r="M1175" i="64"/>
  <c r="M1174" i="64"/>
  <c r="M1173" i="64"/>
  <c r="M1172" i="64"/>
  <c r="M1171" i="64"/>
  <c r="M1170" i="64"/>
  <c r="M1169" i="64"/>
  <c r="M1168" i="64"/>
  <c r="M1167" i="64"/>
  <c r="M1166" i="64"/>
  <c r="J1165" i="64"/>
  <c r="M1165" i="64" s="1"/>
  <c r="M1164" i="64"/>
  <c r="M1163" i="64"/>
  <c r="M1162" i="64"/>
  <c r="M1161" i="64"/>
  <c r="M1160" i="64"/>
  <c r="M1159" i="64"/>
  <c r="M1158" i="64"/>
  <c r="M1157" i="64"/>
  <c r="M1156" i="64"/>
  <c r="M1155" i="64"/>
  <c r="J1154" i="64"/>
  <c r="M1154" i="64" s="1"/>
  <c r="J1153" i="64"/>
  <c r="M1153" i="64" s="1"/>
  <c r="M1152" i="64"/>
  <c r="M1151" i="64"/>
  <c r="J1150" i="64"/>
  <c r="M1150" i="64" s="1"/>
  <c r="M1149" i="64"/>
  <c r="M1148" i="64"/>
  <c r="M1147" i="64"/>
  <c r="M1146" i="64"/>
  <c r="M1145" i="64"/>
  <c r="M1144" i="64"/>
  <c r="M1143" i="64"/>
  <c r="M1142" i="64"/>
  <c r="M1141" i="64"/>
  <c r="M1140" i="64"/>
  <c r="M1139" i="64"/>
  <c r="M1138" i="64"/>
  <c r="J1137" i="64"/>
  <c r="M1137" i="64" s="1"/>
  <c r="M1136" i="64"/>
  <c r="M1135" i="64"/>
  <c r="M1134" i="64"/>
  <c r="J1133" i="64"/>
  <c r="M1133" i="64" s="1"/>
  <c r="J1132" i="64"/>
  <c r="M1132" i="64" s="1"/>
  <c r="J1131" i="64"/>
  <c r="M1131" i="64" s="1"/>
  <c r="M1130" i="64"/>
  <c r="M1129" i="64"/>
  <c r="M1128" i="64"/>
  <c r="M1127" i="64"/>
  <c r="M1126" i="64"/>
  <c r="M1125" i="64"/>
  <c r="M1124" i="64"/>
  <c r="M1123" i="64"/>
  <c r="M1122" i="64"/>
  <c r="M1121" i="64"/>
  <c r="J1120" i="64"/>
  <c r="M1120" i="64" s="1"/>
  <c r="J1119" i="64"/>
  <c r="M1119" i="64" s="1"/>
  <c r="M1118" i="64"/>
  <c r="M1117" i="64"/>
  <c r="J1116" i="64"/>
  <c r="M1116" i="64" s="1"/>
  <c r="J1115" i="64"/>
  <c r="M1115" i="64" s="1"/>
  <c r="J1114" i="64"/>
  <c r="M1114" i="64" s="1"/>
  <c r="M1104" i="64"/>
  <c r="M1103" i="64"/>
  <c r="J1102" i="64"/>
  <c r="M1102" i="64" s="1"/>
  <c r="M1101" i="64"/>
  <c r="M1099" i="64"/>
  <c r="M1098" i="64"/>
  <c r="M1097" i="64"/>
  <c r="M1096" i="64"/>
  <c r="J1095" i="64"/>
  <c r="M1095" i="64" s="1"/>
  <c r="J1094" i="64"/>
  <c r="M1094" i="64" s="1"/>
  <c r="J1093" i="64"/>
  <c r="M1093" i="64" s="1"/>
  <c r="J1092" i="64"/>
  <c r="M1092" i="64" s="1"/>
  <c r="M1091" i="64"/>
  <c r="M1090" i="64"/>
  <c r="M1089" i="64"/>
  <c r="M1088" i="64"/>
  <c r="M1087" i="64"/>
  <c r="M1086" i="64"/>
  <c r="J1085" i="64"/>
  <c r="M1085" i="64" s="1"/>
  <c r="M1084" i="64"/>
  <c r="M1068" i="64"/>
  <c r="M1067" i="64"/>
  <c r="M1066" i="64"/>
  <c r="M1065" i="64"/>
  <c r="J1064" i="64"/>
  <c r="M1064" i="64" s="1"/>
  <c r="M1063" i="64"/>
  <c r="M1062" i="64"/>
  <c r="M1061" i="64"/>
  <c r="J1060" i="64"/>
  <c r="M1060" i="64" s="1"/>
  <c r="J1059" i="64"/>
  <c r="M1059" i="64" s="1"/>
  <c r="M1058" i="64"/>
  <c r="M1057" i="64"/>
  <c r="M1056" i="64"/>
  <c r="M1055" i="64"/>
  <c r="M1054" i="64"/>
  <c r="M1053" i="64"/>
  <c r="M1052" i="64"/>
  <c r="M1051" i="64"/>
  <c r="M1050" i="64"/>
  <c r="M1049" i="64"/>
  <c r="M1048" i="64"/>
  <c r="M1047" i="64"/>
  <c r="M1046" i="64"/>
  <c r="M1045" i="64"/>
  <c r="M1044" i="64"/>
  <c r="M1043" i="64"/>
  <c r="M1042" i="64"/>
  <c r="M1041" i="64"/>
  <c r="M1040" i="64"/>
  <c r="M1039" i="64"/>
  <c r="M1038" i="64"/>
  <c r="M1037" i="64"/>
  <c r="M1036" i="64"/>
  <c r="M1035" i="64"/>
  <c r="M1034" i="64"/>
  <c r="M1033" i="64"/>
  <c r="J1032" i="64"/>
  <c r="M1032" i="64" s="1"/>
  <c r="J1031" i="64"/>
  <c r="M1031" i="64" s="1"/>
  <c r="J1030" i="64"/>
  <c r="M1030" i="64" s="1"/>
  <c r="J1029" i="64"/>
  <c r="M1029" i="64" s="1"/>
  <c r="J1028" i="64"/>
  <c r="M1028" i="64" s="1"/>
  <c r="J1027" i="64"/>
  <c r="M1027" i="64" s="1"/>
  <c r="J1026" i="64"/>
  <c r="M1026" i="64" s="1"/>
  <c r="J1025" i="64"/>
  <c r="M1025" i="64" s="1"/>
  <c r="J1024" i="64"/>
  <c r="M1024" i="64" s="1"/>
  <c r="J1023" i="64"/>
  <c r="M1023" i="64" s="1"/>
  <c r="J1022" i="64"/>
  <c r="M1022" i="64" s="1"/>
  <c r="J1021" i="64"/>
  <c r="M1021" i="64" s="1"/>
  <c r="J1020" i="64"/>
  <c r="M1020" i="64" s="1"/>
  <c r="J1019" i="64"/>
  <c r="M1019" i="64" s="1"/>
  <c r="J1018" i="64"/>
  <c r="M1018" i="64" s="1"/>
  <c r="J1017" i="64"/>
  <c r="M1017" i="64" s="1"/>
  <c r="J1016" i="64"/>
  <c r="M1016" i="64" s="1"/>
  <c r="J1015" i="64"/>
  <c r="M1015" i="64" s="1"/>
  <c r="J1014" i="64"/>
  <c r="M1014" i="64" s="1"/>
  <c r="M1013" i="64"/>
  <c r="J1012" i="64"/>
  <c r="M1012" i="64" s="1"/>
  <c r="M1011" i="64"/>
  <c r="M1010" i="64"/>
  <c r="M1009" i="64"/>
  <c r="M1008" i="64"/>
  <c r="M1007" i="64"/>
  <c r="M1006" i="64"/>
  <c r="M1005" i="64"/>
  <c r="M1004" i="64"/>
  <c r="J1003" i="64"/>
  <c r="M1003" i="64" s="1"/>
  <c r="J1002" i="64"/>
  <c r="M1002" i="64" s="1"/>
  <c r="J1001" i="64"/>
  <c r="M1001" i="64" s="1"/>
  <c r="J1000" i="64"/>
  <c r="M1000" i="64" s="1"/>
  <c r="J999" i="64"/>
  <c r="M999" i="64" s="1"/>
  <c r="J998" i="64"/>
  <c r="M998" i="64" s="1"/>
  <c r="J997" i="64"/>
  <c r="M997" i="64" s="1"/>
  <c r="J996" i="64"/>
  <c r="M996" i="64" s="1"/>
  <c r="J995" i="64"/>
  <c r="M995" i="64" s="1"/>
  <c r="J994" i="64"/>
  <c r="M994" i="64" s="1"/>
  <c r="J993" i="64"/>
  <c r="M993" i="64" s="1"/>
  <c r="J992" i="64"/>
  <c r="M992" i="64" s="1"/>
  <c r="J991" i="64"/>
  <c r="M991" i="64" s="1"/>
  <c r="J990" i="64"/>
  <c r="M990" i="64" s="1"/>
  <c r="J989" i="64"/>
  <c r="M989" i="64" s="1"/>
  <c r="J988" i="64"/>
  <c r="M988" i="64" s="1"/>
  <c r="J987" i="64"/>
  <c r="M987" i="64" s="1"/>
  <c r="J986" i="64"/>
  <c r="M986" i="64" s="1"/>
  <c r="J985" i="64"/>
  <c r="M985" i="64" s="1"/>
  <c r="M984" i="64"/>
  <c r="M983" i="64"/>
  <c r="M982" i="64"/>
  <c r="M981" i="64"/>
  <c r="M980" i="64"/>
  <c r="M979" i="64"/>
  <c r="M978" i="64"/>
  <c r="M977" i="64"/>
  <c r="M976" i="64"/>
  <c r="M975" i="64"/>
  <c r="M974" i="64"/>
  <c r="M973" i="64"/>
  <c r="M972" i="64"/>
  <c r="M971" i="64"/>
  <c r="J970" i="64"/>
  <c r="M970" i="64" s="1"/>
  <c r="M969" i="64"/>
  <c r="M968" i="64"/>
  <c r="M967" i="64"/>
  <c r="M966" i="64"/>
  <c r="M965" i="64"/>
  <c r="M964" i="64"/>
  <c r="M963" i="64"/>
  <c r="M962" i="64"/>
  <c r="M961" i="64"/>
  <c r="M960" i="64"/>
  <c r="M959" i="64"/>
  <c r="M958" i="64"/>
  <c r="M957" i="64"/>
  <c r="M956" i="64"/>
  <c r="M955" i="64"/>
  <c r="M954" i="64"/>
  <c r="M953" i="64"/>
  <c r="M952" i="64"/>
  <c r="M951" i="64"/>
  <c r="M950" i="64"/>
  <c r="M949" i="64"/>
  <c r="M948" i="64"/>
  <c r="M947" i="64"/>
  <c r="M946" i="64"/>
  <c r="M945" i="64"/>
  <c r="M944" i="64"/>
  <c r="M943" i="64"/>
  <c r="M942" i="64"/>
  <c r="M941" i="64"/>
  <c r="M940" i="64"/>
  <c r="M939" i="64"/>
  <c r="M938" i="64"/>
  <c r="M937" i="64"/>
  <c r="M936" i="64"/>
  <c r="M935" i="64"/>
  <c r="M934" i="64"/>
  <c r="M933" i="64"/>
  <c r="M932" i="64"/>
  <c r="M931" i="64"/>
  <c r="M930" i="64"/>
  <c r="M929" i="64"/>
  <c r="M928" i="64"/>
  <c r="M927" i="64"/>
  <c r="M926" i="64"/>
  <c r="M925" i="64"/>
  <c r="J924" i="64"/>
  <c r="M924" i="64" s="1"/>
  <c r="M923" i="64"/>
  <c r="M922" i="64"/>
  <c r="M921" i="64"/>
  <c r="M912" i="64"/>
  <c r="M911" i="64"/>
  <c r="M910" i="64"/>
  <c r="M909" i="64"/>
  <c r="M908" i="64"/>
  <c r="J907" i="64"/>
  <c r="M907" i="64" s="1"/>
  <c r="M906" i="64"/>
  <c r="J906" i="64"/>
  <c r="M905" i="64"/>
  <c r="J904" i="64"/>
  <c r="M904" i="64" s="1"/>
  <c r="J903" i="64"/>
  <c r="M903" i="64" s="1"/>
  <c r="M902" i="64"/>
  <c r="M901" i="64"/>
  <c r="M900" i="64"/>
  <c r="M899" i="64"/>
  <c r="M898" i="64"/>
  <c r="M897" i="64"/>
  <c r="M896" i="64"/>
  <c r="M895" i="64"/>
  <c r="M894" i="64"/>
  <c r="M893" i="64"/>
  <c r="M892" i="64"/>
  <c r="M891" i="64"/>
  <c r="M890" i="64"/>
  <c r="M889" i="64"/>
  <c r="M888" i="64"/>
  <c r="M887" i="64"/>
  <c r="M886" i="64"/>
  <c r="M885" i="64"/>
  <c r="M884" i="64"/>
  <c r="M883" i="64"/>
  <c r="M882" i="64"/>
  <c r="M881" i="64"/>
  <c r="M880" i="64"/>
  <c r="M879" i="64"/>
  <c r="M878" i="64"/>
  <c r="M877" i="64"/>
  <c r="M876" i="64"/>
  <c r="M875" i="64"/>
  <c r="M874" i="64"/>
  <c r="M873" i="64"/>
  <c r="M872" i="64"/>
  <c r="M871" i="64"/>
  <c r="M870" i="64"/>
  <c r="M869" i="64"/>
  <c r="M868" i="64"/>
  <c r="M867" i="64"/>
  <c r="M866" i="64"/>
  <c r="M865" i="64"/>
  <c r="M864" i="64"/>
  <c r="M863" i="64"/>
  <c r="M862" i="64"/>
  <c r="M861" i="64"/>
  <c r="M860" i="64"/>
  <c r="M859" i="64"/>
  <c r="M858" i="64"/>
  <c r="M857" i="64"/>
  <c r="M856" i="64"/>
  <c r="M855" i="64"/>
  <c r="M854" i="64"/>
  <c r="M853" i="64"/>
  <c r="M852" i="64"/>
  <c r="M851" i="64"/>
  <c r="M850" i="64"/>
  <c r="M849" i="64"/>
  <c r="M848" i="64"/>
  <c r="M847" i="64"/>
  <c r="M846" i="64"/>
  <c r="M845" i="64"/>
  <c r="M844" i="64"/>
  <c r="M843" i="64"/>
  <c r="J843" i="64"/>
  <c r="M842" i="64"/>
  <c r="M841" i="64"/>
  <c r="J840" i="64"/>
  <c r="M840" i="64" s="1"/>
  <c r="M839" i="64"/>
  <c r="M838" i="64"/>
  <c r="M837" i="64"/>
  <c r="M836" i="64"/>
  <c r="M835" i="64"/>
  <c r="M834" i="64"/>
  <c r="M833" i="64"/>
  <c r="M832" i="64"/>
  <c r="M831" i="64"/>
  <c r="M830" i="64"/>
  <c r="J829" i="64"/>
  <c r="M829" i="64" s="1"/>
  <c r="J828" i="64"/>
  <c r="M828" i="64" s="1"/>
  <c r="J827" i="64"/>
  <c r="M827" i="64" s="1"/>
  <c r="J826" i="64"/>
  <c r="M826" i="64" s="1"/>
  <c r="J825" i="64"/>
  <c r="M825" i="64" s="1"/>
  <c r="J824" i="64"/>
  <c r="M824" i="64" s="1"/>
  <c r="J823" i="64"/>
  <c r="M823" i="64" s="1"/>
  <c r="J822" i="64"/>
  <c r="M822" i="64" s="1"/>
  <c r="J821" i="64"/>
  <c r="M821" i="64" s="1"/>
  <c r="J820" i="64"/>
  <c r="M820" i="64" s="1"/>
  <c r="J819" i="64"/>
  <c r="M819" i="64" s="1"/>
  <c r="M818" i="64"/>
  <c r="J817" i="64"/>
  <c r="M817" i="64" s="1"/>
  <c r="J816" i="64"/>
  <c r="M816" i="64" s="1"/>
  <c r="J815" i="64"/>
  <c r="M815" i="64" s="1"/>
  <c r="J814" i="64"/>
  <c r="M814" i="64" s="1"/>
  <c r="J813" i="64"/>
  <c r="M813" i="64" s="1"/>
  <c r="J812" i="64"/>
  <c r="M812" i="64" s="1"/>
  <c r="J811" i="64"/>
  <c r="M811" i="64" s="1"/>
  <c r="J810" i="64"/>
  <c r="M810" i="64" s="1"/>
  <c r="J809" i="64"/>
  <c r="M809" i="64" s="1"/>
  <c r="J808" i="64"/>
  <c r="M808" i="64" s="1"/>
  <c r="J807" i="64"/>
  <c r="M807" i="64" s="1"/>
  <c r="J806" i="64"/>
  <c r="M806" i="64" s="1"/>
  <c r="M805" i="64"/>
  <c r="M804" i="64"/>
  <c r="J804" i="64"/>
  <c r="J803" i="64"/>
  <c r="M803" i="64" s="1"/>
  <c r="J802" i="64"/>
  <c r="M802" i="64" s="1"/>
  <c r="J801" i="64"/>
  <c r="M801" i="64" s="1"/>
  <c r="M800" i="64"/>
  <c r="M799" i="64"/>
  <c r="M798" i="64"/>
  <c r="M797" i="64"/>
  <c r="J796" i="64"/>
  <c r="M796" i="64" s="1"/>
  <c r="M795" i="64"/>
  <c r="J795" i="64"/>
  <c r="M794" i="64"/>
  <c r="M793" i="64"/>
  <c r="M792" i="64"/>
  <c r="J791" i="64"/>
  <c r="M791" i="64" s="1"/>
  <c r="M790" i="64"/>
  <c r="J789" i="64"/>
  <c r="M789" i="64" s="1"/>
  <c r="M788" i="64"/>
  <c r="M787" i="64"/>
  <c r="M786" i="64"/>
  <c r="M785" i="64"/>
  <c r="M784" i="64"/>
  <c r="M783" i="64"/>
  <c r="M782" i="64"/>
  <c r="M741" i="64"/>
  <c r="M740" i="64"/>
  <c r="M739" i="64"/>
  <c r="M738" i="64"/>
  <c r="M737" i="64"/>
  <c r="M736" i="64"/>
  <c r="M735" i="64"/>
  <c r="M734" i="64"/>
  <c r="M733" i="64"/>
  <c r="M732" i="64"/>
  <c r="M731" i="64"/>
  <c r="M730" i="64"/>
  <c r="M729" i="64"/>
  <c r="M728" i="64"/>
  <c r="M727" i="64"/>
  <c r="M726" i="64"/>
  <c r="M725" i="64"/>
  <c r="M724" i="64"/>
  <c r="M723" i="64"/>
  <c r="M722" i="64"/>
  <c r="M721" i="64"/>
  <c r="M720" i="64"/>
  <c r="M719" i="64"/>
  <c r="M718" i="64"/>
  <c r="M717" i="64"/>
  <c r="M716" i="64"/>
  <c r="M715" i="64"/>
  <c r="M714" i="64"/>
  <c r="M713" i="64"/>
  <c r="M712" i="64"/>
  <c r="M711" i="64"/>
  <c r="M710" i="64"/>
  <c r="M709" i="64"/>
  <c r="M708" i="64"/>
  <c r="M707" i="64"/>
  <c r="M706" i="64"/>
  <c r="M705" i="64"/>
  <c r="M704" i="64"/>
  <c r="M703" i="64"/>
  <c r="M702" i="64"/>
  <c r="M701" i="64"/>
  <c r="M700" i="64"/>
  <c r="M699" i="64"/>
  <c r="J698" i="64"/>
  <c r="M698" i="64" s="1"/>
  <c r="M697" i="64"/>
  <c r="M696" i="64"/>
  <c r="M695" i="64"/>
  <c r="M694" i="64"/>
  <c r="M693" i="64"/>
  <c r="J692" i="64"/>
  <c r="M692" i="64" s="1"/>
  <c r="M691" i="64"/>
  <c r="M690" i="64"/>
  <c r="M689" i="64"/>
  <c r="M688" i="64"/>
  <c r="M687" i="64"/>
  <c r="J686" i="64"/>
  <c r="M686" i="64" s="1"/>
  <c r="M685" i="64"/>
  <c r="M684" i="64"/>
  <c r="M683" i="64"/>
  <c r="M682" i="64"/>
  <c r="M681" i="64"/>
  <c r="J572" i="64"/>
  <c r="M572" i="64" s="1"/>
  <c r="M571" i="64"/>
  <c r="M570" i="64"/>
  <c r="M569" i="64"/>
  <c r="M568" i="64"/>
  <c r="J567" i="64"/>
  <c r="M567" i="64" s="1"/>
  <c r="J566" i="64"/>
  <c r="M566" i="64" s="1"/>
  <c r="M565" i="64"/>
  <c r="M564" i="64"/>
  <c r="M563" i="64"/>
  <c r="J562" i="64"/>
  <c r="M562" i="64" s="1"/>
  <c r="M561" i="64"/>
  <c r="J560" i="64"/>
  <c r="M560" i="64" s="1"/>
  <c r="M559" i="64"/>
  <c r="M558" i="64"/>
  <c r="M557" i="64"/>
  <c r="M556" i="64"/>
  <c r="M555" i="64"/>
  <c r="M554" i="64"/>
  <c r="M553" i="64"/>
  <c r="M552" i="64"/>
  <c r="M551" i="64"/>
  <c r="M550" i="64"/>
  <c r="M549" i="64"/>
  <c r="M548" i="64"/>
  <c r="M547" i="64"/>
  <c r="J546" i="64"/>
  <c r="M546" i="64" s="1"/>
  <c r="M545" i="64"/>
  <c r="J544" i="64"/>
  <c r="M544" i="64" s="1"/>
  <c r="J543" i="64"/>
  <c r="M543" i="64" s="1"/>
  <c r="J542" i="64"/>
  <c r="M542" i="64" s="1"/>
  <c r="J541" i="64"/>
  <c r="M541" i="64" s="1"/>
  <c r="J540" i="64"/>
  <c r="M540" i="64" s="1"/>
  <c r="J539" i="64"/>
  <c r="M539" i="64" s="1"/>
  <c r="M538" i="64"/>
  <c r="M537" i="64"/>
  <c r="J536" i="64"/>
  <c r="M536" i="64" s="1"/>
  <c r="M535" i="64"/>
  <c r="M534" i="64"/>
  <c r="M533" i="64"/>
  <c r="J532" i="64"/>
  <c r="M532" i="64" s="1"/>
  <c r="M531" i="64"/>
  <c r="M530" i="64"/>
  <c r="M529" i="64"/>
  <c r="J528" i="64"/>
  <c r="M528" i="64" s="1"/>
  <c r="J527" i="64"/>
  <c r="M527" i="64" s="1"/>
  <c r="J526" i="64"/>
  <c r="M526" i="64" s="1"/>
  <c r="J525" i="64"/>
  <c r="M525" i="64" s="1"/>
  <c r="J524" i="64"/>
  <c r="M524" i="64" s="1"/>
  <c r="J523" i="64"/>
  <c r="M523" i="64" s="1"/>
  <c r="M522" i="64"/>
  <c r="M521" i="64"/>
  <c r="M520" i="64"/>
  <c r="M519" i="64"/>
  <c r="M518" i="64"/>
  <c r="M517" i="64"/>
  <c r="M516" i="64"/>
  <c r="M515" i="64"/>
  <c r="M514" i="64"/>
  <c r="M513" i="64"/>
  <c r="M512" i="64"/>
  <c r="M511" i="64"/>
  <c r="M510" i="64"/>
  <c r="M509" i="64"/>
  <c r="M508" i="64"/>
  <c r="M507" i="64"/>
  <c r="M506" i="64"/>
  <c r="M505" i="64"/>
  <c r="M504" i="64"/>
  <c r="M503" i="64"/>
  <c r="M502" i="64"/>
  <c r="M501" i="64"/>
  <c r="M500" i="64"/>
  <c r="M499" i="64"/>
  <c r="M498" i="64"/>
  <c r="M497" i="64"/>
  <c r="M496" i="64"/>
  <c r="M495" i="64"/>
  <c r="M494" i="64"/>
  <c r="M493" i="64"/>
  <c r="M492" i="64"/>
  <c r="M491" i="64"/>
  <c r="M490" i="64"/>
  <c r="M489" i="64"/>
  <c r="M488" i="64"/>
  <c r="M487" i="64"/>
  <c r="M486" i="64"/>
  <c r="M485" i="64"/>
  <c r="M484" i="64"/>
  <c r="M483" i="64"/>
  <c r="M482" i="64"/>
  <c r="M481" i="64"/>
  <c r="M480" i="64"/>
  <c r="M479" i="64"/>
  <c r="M478" i="64"/>
  <c r="M477" i="64"/>
  <c r="M476" i="64"/>
  <c r="M475" i="64"/>
  <c r="M474" i="64"/>
  <c r="M473" i="64"/>
  <c r="M472" i="64"/>
  <c r="M471" i="64"/>
  <c r="M470" i="64"/>
  <c r="M469" i="64"/>
  <c r="M468" i="64"/>
  <c r="M467" i="64"/>
  <c r="M466" i="64"/>
  <c r="M465" i="64"/>
  <c r="M464" i="64"/>
  <c r="M463" i="64"/>
  <c r="M462" i="64"/>
  <c r="M461" i="64"/>
  <c r="M460" i="64"/>
  <c r="M459" i="64"/>
  <c r="M458" i="64"/>
  <c r="J457" i="64"/>
  <c r="M457" i="64" s="1"/>
  <c r="J456" i="64"/>
  <c r="M456" i="64" s="1"/>
  <c r="M455" i="64"/>
  <c r="J454" i="64"/>
  <c r="M454" i="64" s="1"/>
  <c r="M453" i="64"/>
  <c r="M452" i="64"/>
  <c r="M451" i="64"/>
  <c r="M450" i="64"/>
  <c r="M449" i="64"/>
  <c r="M448" i="64"/>
  <c r="M447" i="64"/>
  <c r="M446" i="64"/>
  <c r="M445" i="64"/>
  <c r="M444" i="64"/>
  <c r="M443" i="64"/>
  <c r="M442" i="64"/>
  <c r="M441" i="64"/>
  <c r="M440" i="64"/>
  <c r="M439" i="64"/>
  <c r="M438" i="64"/>
  <c r="M437" i="64"/>
  <c r="M436" i="64"/>
  <c r="M435" i="64"/>
  <c r="M434" i="64"/>
  <c r="M433" i="64"/>
  <c r="M432" i="64"/>
  <c r="M431" i="64"/>
  <c r="M430" i="64"/>
  <c r="M429" i="64"/>
  <c r="M428" i="64"/>
  <c r="M427" i="64"/>
  <c r="M426" i="64"/>
  <c r="M425" i="64"/>
  <c r="M424" i="64"/>
  <c r="M423" i="64"/>
  <c r="M422" i="64"/>
  <c r="M421" i="64"/>
  <c r="J420" i="64"/>
  <c r="M420" i="64" s="1"/>
  <c r="J419" i="64"/>
  <c r="M419" i="64" s="1"/>
  <c r="J418" i="64"/>
  <c r="M418" i="64" s="1"/>
  <c r="J417" i="64"/>
  <c r="M417" i="64" s="1"/>
  <c r="J416" i="64"/>
  <c r="M416" i="64" s="1"/>
  <c r="J415" i="64"/>
  <c r="M415" i="64" s="1"/>
  <c r="J414" i="64"/>
  <c r="M414" i="64" s="1"/>
  <c r="J413" i="64"/>
  <c r="M413" i="64" s="1"/>
  <c r="J412" i="64"/>
  <c r="M412" i="64" s="1"/>
  <c r="J411" i="64"/>
  <c r="M411" i="64" s="1"/>
  <c r="J410" i="64"/>
  <c r="M410" i="64" s="1"/>
  <c r="J409" i="64"/>
  <c r="M409" i="64" s="1"/>
  <c r="J408" i="64"/>
  <c r="M408" i="64" s="1"/>
  <c r="J407" i="64"/>
  <c r="M407" i="64" s="1"/>
  <c r="J406" i="64"/>
  <c r="M406" i="64" s="1"/>
  <c r="J405" i="64"/>
  <c r="M405" i="64" s="1"/>
  <c r="J404" i="64"/>
  <c r="M404" i="64" s="1"/>
  <c r="J403" i="64"/>
  <c r="M403" i="64" s="1"/>
  <c r="J402" i="64"/>
  <c r="M402" i="64" s="1"/>
  <c r="J401" i="64"/>
  <c r="M401" i="64" s="1"/>
  <c r="M400" i="64"/>
  <c r="M399" i="64"/>
  <c r="M398" i="64"/>
  <c r="M397" i="64"/>
  <c r="M396" i="64"/>
  <c r="M395" i="64"/>
  <c r="M394" i="64"/>
  <c r="M393" i="64"/>
  <c r="M392" i="64"/>
  <c r="M391" i="64"/>
  <c r="M390" i="64"/>
  <c r="M389" i="64"/>
  <c r="M388" i="64"/>
  <c r="M387" i="64"/>
  <c r="M386" i="64"/>
  <c r="M385" i="64"/>
  <c r="M384" i="64"/>
  <c r="M383" i="64"/>
  <c r="M382" i="64"/>
  <c r="M381" i="64"/>
  <c r="J380" i="64"/>
  <c r="M380" i="64" s="1"/>
  <c r="J379" i="64"/>
  <c r="M379" i="64" s="1"/>
  <c r="J378" i="64"/>
  <c r="M378" i="64" s="1"/>
  <c r="J377" i="64"/>
  <c r="M377" i="64" s="1"/>
  <c r="J376" i="64"/>
  <c r="M376" i="64" s="1"/>
  <c r="J375" i="64"/>
  <c r="M375" i="64" s="1"/>
  <c r="J374" i="64"/>
  <c r="M374" i="64" s="1"/>
  <c r="J373" i="64"/>
  <c r="M373" i="64" s="1"/>
  <c r="J372" i="64"/>
  <c r="M372" i="64" s="1"/>
  <c r="J371" i="64"/>
  <c r="M371" i="64" s="1"/>
  <c r="J370" i="64"/>
  <c r="M370" i="64" s="1"/>
  <c r="J369" i="64"/>
  <c r="M369" i="64" s="1"/>
  <c r="J368" i="64"/>
  <c r="M368" i="64" s="1"/>
  <c r="J367" i="64"/>
  <c r="M367" i="64" s="1"/>
  <c r="J366" i="64"/>
  <c r="M366" i="64" s="1"/>
  <c r="J365" i="64"/>
  <c r="M365" i="64" s="1"/>
  <c r="J364" i="64"/>
  <c r="M364" i="64" s="1"/>
  <c r="J363" i="64"/>
  <c r="M363" i="64" s="1"/>
  <c r="J362" i="64"/>
  <c r="M362" i="64" s="1"/>
  <c r="J361" i="64"/>
  <c r="M361" i="64" s="1"/>
  <c r="J360" i="64"/>
  <c r="M360" i="64" s="1"/>
  <c r="J359" i="64"/>
  <c r="M359" i="64" s="1"/>
  <c r="J358" i="64"/>
  <c r="M358" i="64" s="1"/>
  <c r="J357" i="64"/>
  <c r="M357" i="64" s="1"/>
  <c r="J356" i="64"/>
  <c r="M356" i="64" s="1"/>
  <c r="J355" i="64"/>
  <c r="M355" i="64" s="1"/>
  <c r="J354" i="64"/>
  <c r="M354" i="64" s="1"/>
  <c r="J353" i="64"/>
  <c r="M353" i="64" s="1"/>
  <c r="J352" i="64"/>
  <c r="M352" i="64" s="1"/>
  <c r="M351" i="64"/>
  <c r="J351" i="64"/>
  <c r="J350" i="64"/>
  <c r="M350" i="64" s="1"/>
  <c r="J349" i="64"/>
  <c r="M349" i="64" s="1"/>
  <c r="J348" i="64"/>
  <c r="M348" i="64" s="1"/>
  <c r="J347" i="64"/>
  <c r="M347" i="64" s="1"/>
  <c r="J346" i="64"/>
  <c r="M346" i="64" s="1"/>
  <c r="J345" i="64"/>
  <c r="M345" i="64" s="1"/>
  <c r="M344" i="64"/>
  <c r="M343" i="64"/>
  <c r="M342" i="64"/>
  <c r="M341" i="64"/>
  <c r="M340" i="64"/>
  <c r="M339" i="64"/>
  <c r="M338" i="64"/>
  <c r="M337" i="64"/>
  <c r="M336" i="64"/>
  <c r="M335" i="64"/>
  <c r="M334" i="64"/>
  <c r="J333" i="64"/>
  <c r="M333" i="64" s="1"/>
  <c r="M332" i="64"/>
  <c r="M331" i="64"/>
  <c r="M330" i="64"/>
  <c r="M329" i="64"/>
  <c r="M328" i="64"/>
  <c r="M327" i="64"/>
  <c r="M326" i="64"/>
  <c r="J325" i="64"/>
  <c r="M325" i="64" s="1"/>
  <c r="M324" i="64"/>
  <c r="M323" i="64"/>
  <c r="M322" i="64"/>
  <c r="M321" i="64"/>
  <c r="M320" i="64"/>
  <c r="M319" i="64"/>
  <c r="M318" i="64"/>
  <c r="M317" i="64"/>
  <c r="M316" i="64"/>
  <c r="M315" i="64"/>
  <c r="M314" i="64"/>
  <c r="M313" i="64"/>
  <c r="M312" i="64"/>
  <c r="M311" i="64"/>
  <c r="M310" i="64"/>
  <c r="M309" i="64"/>
  <c r="M308" i="64"/>
  <c r="M307" i="64"/>
  <c r="M306" i="64"/>
  <c r="M305" i="64"/>
  <c r="M304" i="64"/>
  <c r="M303" i="64"/>
  <c r="M302" i="64"/>
  <c r="M301" i="64"/>
  <c r="M300" i="64"/>
  <c r="M299" i="64"/>
  <c r="M298" i="64"/>
  <c r="M297" i="64"/>
  <c r="M296" i="64"/>
  <c r="M295" i="64"/>
  <c r="M294" i="64"/>
  <c r="M293" i="64"/>
  <c r="M292" i="64"/>
  <c r="M291" i="64"/>
  <c r="M290" i="64"/>
  <c r="M289" i="64"/>
  <c r="M288" i="64"/>
  <c r="J287" i="64"/>
  <c r="M287" i="64" s="1"/>
  <c r="J286" i="64"/>
  <c r="M286" i="64" s="1"/>
  <c r="J285" i="64"/>
  <c r="M285" i="64" s="1"/>
  <c r="M284" i="64"/>
  <c r="J284" i="64"/>
  <c r="J283" i="64"/>
  <c r="M283" i="64" s="1"/>
  <c r="M282" i="64"/>
  <c r="M281" i="64"/>
  <c r="M280" i="64"/>
  <c r="M279" i="64"/>
  <c r="M278" i="64"/>
  <c r="M277" i="64"/>
  <c r="M276" i="64"/>
  <c r="M275" i="64"/>
  <c r="M274" i="64"/>
  <c r="J273" i="64"/>
  <c r="M273" i="64" s="1"/>
  <c r="J272" i="64"/>
  <c r="M272" i="64" s="1"/>
  <c r="J271" i="64"/>
  <c r="M271" i="64" s="1"/>
  <c r="J270" i="64"/>
  <c r="M270" i="64" s="1"/>
  <c r="J269" i="64"/>
  <c r="M269" i="64" s="1"/>
  <c r="J268" i="64"/>
  <c r="M268" i="64" s="1"/>
  <c r="J267" i="64"/>
  <c r="M267" i="64" s="1"/>
  <c r="J266" i="64"/>
  <c r="M266" i="64" s="1"/>
  <c r="M265" i="64"/>
  <c r="J264" i="64"/>
  <c r="M264" i="64" s="1"/>
  <c r="M263" i="64"/>
  <c r="M262" i="64"/>
  <c r="M261" i="64"/>
  <c r="M260" i="64"/>
  <c r="M259" i="64"/>
  <c r="M258" i="64"/>
  <c r="M257" i="64"/>
  <c r="J256" i="64"/>
  <c r="M256" i="64" s="1"/>
  <c r="M255" i="64"/>
  <c r="M254" i="64"/>
  <c r="M253" i="64"/>
  <c r="M252" i="64"/>
  <c r="M251" i="64"/>
  <c r="M250" i="64"/>
  <c r="M249" i="64"/>
  <c r="M248" i="64"/>
  <c r="M247" i="64"/>
  <c r="M246" i="64"/>
  <c r="J245" i="64"/>
  <c r="M245" i="64" s="1"/>
  <c r="J244" i="64"/>
  <c r="M244" i="64" s="1"/>
  <c r="J243" i="64"/>
  <c r="M243" i="64" s="1"/>
  <c r="J242" i="64"/>
  <c r="M242" i="64" s="1"/>
  <c r="J241" i="64"/>
  <c r="M241" i="64" s="1"/>
  <c r="J240" i="64"/>
  <c r="M240" i="64" s="1"/>
  <c r="J239" i="64"/>
  <c r="M239" i="64" s="1"/>
  <c r="J238" i="64"/>
  <c r="M238" i="64" s="1"/>
  <c r="J237" i="64"/>
  <c r="M237" i="64" s="1"/>
  <c r="J236" i="64"/>
  <c r="M236" i="64" s="1"/>
  <c r="M235" i="64"/>
  <c r="J235" i="64"/>
  <c r="J234" i="64"/>
  <c r="M234" i="64" s="1"/>
  <c r="J233" i="64"/>
  <c r="M233" i="64" s="1"/>
  <c r="J232" i="64"/>
  <c r="M232" i="64" s="1"/>
  <c r="J231" i="64"/>
  <c r="M231" i="64" s="1"/>
  <c r="M230" i="64"/>
  <c r="M229" i="64"/>
  <c r="M228" i="64"/>
  <c r="M227" i="64"/>
  <c r="M226" i="64"/>
  <c r="J225" i="64"/>
  <c r="M225" i="64" s="1"/>
  <c r="J224" i="64"/>
  <c r="M224" i="64" s="1"/>
  <c r="J223" i="64"/>
  <c r="M223" i="64" s="1"/>
  <c r="J222" i="64"/>
  <c r="M222" i="64" s="1"/>
  <c r="J221" i="64"/>
  <c r="M221" i="64" s="1"/>
  <c r="M220" i="64"/>
  <c r="M219" i="64"/>
  <c r="M218" i="64"/>
  <c r="M217" i="64"/>
  <c r="M216" i="64"/>
  <c r="M215" i="64"/>
  <c r="M214" i="64"/>
  <c r="M213" i="64"/>
  <c r="M212" i="64"/>
  <c r="M211" i="64"/>
  <c r="M210" i="64"/>
  <c r="M209" i="64"/>
  <c r="M208" i="64"/>
  <c r="M207" i="64"/>
  <c r="M206" i="64"/>
  <c r="J205" i="64"/>
  <c r="M205" i="64" s="1"/>
  <c r="M175" i="64"/>
  <c r="J174" i="64"/>
  <c r="M174" i="64" s="1"/>
  <c r="J173" i="64"/>
  <c r="M173" i="64" s="1"/>
  <c r="J172" i="64"/>
  <c r="M172" i="64" s="1"/>
  <c r="J171" i="64"/>
  <c r="M171" i="64" s="1"/>
  <c r="J170" i="64"/>
  <c r="M170" i="64" s="1"/>
  <c r="J169" i="64"/>
  <c r="M169" i="64" s="1"/>
  <c r="M168" i="64"/>
  <c r="J167" i="64"/>
  <c r="M167" i="64" s="1"/>
  <c r="J166" i="64"/>
  <c r="M166" i="64" s="1"/>
  <c r="J165" i="64"/>
  <c r="M165" i="64" s="1"/>
  <c r="J164" i="64"/>
  <c r="M164" i="64" s="1"/>
  <c r="J163" i="64"/>
  <c r="M163" i="64" s="1"/>
  <c r="J162" i="64"/>
  <c r="M162" i="64" s="1"/>
  <c r="M161" i="64"/>
  <c r="J160" i="64"/>
  <c r="M160" i="64" s="1"/>
  <c r="M159" i="64"/>
  <c r="J159" i="64"/>
  <c r="J158" i="64"/>
  <c r="M158" i="64" s="1"/>
  <c r="M157" i="64"/>
  <c r="J156" i="64"/>
  <c r="M156" i="64" s="1"/>
  <c r="J155" i="64"/>
  <c r="M155" i="64" s="1"/>
  <c r="J154" i="64"/>
  <c r="M154" i="64" s="1"/>
  <c r="J153" i="64"/>
  <c r="M153" i="64" s="1"/>
  <c r="J152" i="64"/>
  <c r="M152" i="64" s="1"/>
  <c r="M151" i="64"/>
  <c r="J151" i="64"/>
  <c r="J150" i="64"/>
  <c r="M150" i="64" s="1"/>
  <c r="J149" i="64"/>
  <c r="M149" i="64" s="1"/>
  <c r="J148" i="64"/>
  <c r="M148" i="64" s="1"/>
  <c r="J147" i="64"/>
  <c r="M147" i="64" s="1"/>
  <c r="J146" i="64"/>
  <c r="M146" i="64" s="1"/>
  <c r="J145" i="64"/>
  <c r="M145" i="64" s="1"/>
  <c r="J144" i="64"/>
  <c r="M144" i="64" s="1"/>
  <c r="M143" i="64"/>
  <c r="J143" i="64"/>
  <c r="J142" i="64"/>
  <c r="M142" i="64" s="1"/>
  <c r="J141" i="64"/>
  <c r="M141" i="64" s="1"/>
  <c r="J140" i="64"/>
  <c r="M140" i="64" s="1"/>
  <c r="J139" i="64"/>
  <c r="M139" i="64" s="1"/>
  <c r="J138" i="64"/>
  <c r="M138" i="64" s="1"/>
  <c r="J137" i="64"/>
  <c r="M137" i="64" s="1"/>
  <c r="J136" i="64"/>
  <c r="M136" i="64" s="1"/>
  <c r="J135" i="64"/>
  <c r="M135" i="64" s="1"/>
  <c r="J134" i="64"/>
  <c r="M134" i="64" s="1"/>
  <c r="J133" i="64"/>
  <c r="M133" i="64" s="1"/>
  <c r="J132" i="64"/>
  <c r="M132" i="64" s="1"/>
  <c r="J131" i="64"/>
  <c r="M131" i="64" s="1"/>
  <c r="J130" i="64"/>
  <c r="M130" i="64" s="1"/>
  <c r="J129" i="64"/>
  <c r="M129" i="64" s="1"/>
  <c r="J128" i="64"/>
  <c r="M128" i="64" s="1"/>
  <c r="J127" i="64"/>
  <c r="M127" i="64" s="1"/>
  <c r="J126" i="64"/>
  <c r="L27" i="13"/>
  <c r="L25" i="13"/>
  <c r="L21" i="13"/>
  <c r="L129" i="13"/>
  <c r="L127" i="13"/>
  <c r="L123" i="13"/>
  <c r="L118" i="13"/>
  <c r="L112" i="13"/>
  <c r="L107" i="13"/>
  <c r="L105" i="13"/>
  <c r="L101" i="13"/>
  <c r="L84" i="13"/>
  <c r="L78" i="13"/>
  <c r="L73" i="13"/>
  <c r="L71" i="13"/>
  <c r="L67" i="13"/>
  <c r="L56" i="13"/>
  <c r="L62" i="13"/>
  <c r="L16" i="13"/>
  <c r="L14" i="13"/>
  <c r="L10" i="13"/>
  <c r="L196" i="13"/>
  <c r="D15" i="58"/>
  <c r="B10" i="58"/>
  <c r="D2" i="58"/>
  <c r="P772" i="53"/>
  <c r="Q772" i="53" s="1"/>
  <c r="U772" i="53"/>
  <c r="X772" i="53" s="1"/>
  <c r="Y772" i="53"/>
  <c r="Z772" i="53" s="1"/>
  <c r="AA772" i="53"/>
  <c r="AB772" i="53"/>
  <c r="AD772" i="53" s="1"/>
  <c r="AF772" i="53"/>
  <c r="AG772" i="53" s="1"/>
  <c r="AK772" i="53"/>
  <c r="AN772" i="53" s="1"/>
  <c r="AO772" i="53"/>
  <c r="AP772" i="53" s="1"/>
  <c r="AR772" i="53"/>
  <c r="AT772" i="53" s="1"/>
  <c r="AS772" i="53"/>
  <c r="P773" i="53"/>
  <c r="R773" i="53" s="1"/>
  <c r="U773" i="53"/>
  <c r="W773" i="53" s="1"/>
  <c r="V773" i="53"/>
  <c r="Y773" i="53"/>
  <c r="Z773" i="53" s="1"/>
  <c r="AB773" i="53"/>
  <c r="AE773" i="53" s="1"/>
  <c r="AC773" i="53"/>
  <c r="AD773" i="53"/>
  <c r="AF773" i="53"/>
  <c r="AH773" i="53" s="1"/>
  <c r="AK773" i="53"/>
  <c r="AM773" i="53" s="1"/>
  <c r="AL773" i="53"/>
  <c r="AO773" i="53"/>
  <c r="AP773" i="53" s="1"/>
  <c r="AR773" i="53"/>
  <c r="AS773" i="53"/>
  <c r="AT773" i="53"/>
  <c r="P774" i="53"/>
  <c r="T774" i="53" s="1"/>
  <c r="S774" i="53"/>
  <c r="U774" i="53"/>
  <c r="X774" i="53" s="1"/>
  <c r="Y774" i="53"/>
  <c r="AA774" i="53" s="1"/>
  <c r="AB774" i="53"/>
  <c r="AE774" i="53" s="1"/>
  <c r="AD774" i="53"/>
  <c r="AF774" i="53"/>
  <c r="AJ774" i="53" s="1"/>
  <c r="AI774" i="53"/>
  <c r="AK774" i="53"/>
  <c r="AN774" i="53" s="1"/>
  <c r="AO774" i="53"/>
  <c r="AQ774" i="53" s="1"/>
  <c r="AR774" i="53"/>
  <c r="AT774" i="53" s="1"/>
  <c r="AS774" i="53"/>
  <c r="P775" i="53"/>
  <c r="S775" i="53" s="1"/>
  <c r="U775" i="53"/>
  <c r="X775" i="53" s="1"/>
  <c r="V775" i="53"/>
  <c r="W775" i="53"/>
  <c r="Y775" i="53"/>
  <c r="AA775" i="53" s="1"/>
  <c r="Z775" i="53"/>
  <c r="AB775" i="53"/>
  <c r="AC775" i="53" s="1"/>
  <c r="AF775" i="53"/>
  <c r="AI775" i="53" s="1"/>
  <c r="AK775" i="53"/>
  <c r="AL775" i="53"/>
  <c r="AM775" i="53"/>
  <c r="AN775" i="53"/>
  <c r="AO775" i="53"/>
  <c r="AP775" i="53" s="1"/>
  <c r="AR775" i="53"/>
  <c r="AS775" i="53" s="1"/>
  <c r="P776" i="53"/>
  <c r="R776" i="53" s="1"/>
  <c r="Q776" i="53"/>
  <c r="U776" i="53"/>
  <c r="V776" i="53" s="1"/>
  <c r="Y776" i="53"/>
  <c r="Z776" i="53" s="1"/>
  <c r="AB776" i="53"/>
  <c r="AC776" i="53" s="1"/>
  <c r="AF776" i="53"/>
  <c r="AH776" i="53" s="1"/>
  <c r="AK776" i="53"/>
  <c r="AL776" i="53" s="1"/>
  <c r="AO776" i="53"/>
  <c r="AP776" i="53" s="1"/>
  <c r="AR776" i="53"/>
  <c r="AS776" i="53" s="1"/>
  <c r="P777" i="53"/>
  <c r="S777" i="53" s="1"/>
  <c r="Q777" i="53"/>
  <c r="T777" i="53"/>
  <c r="U777" i="53"/>
  <c r="V777" i="53" s="1"/>
  <c r="Y777" i="53"/>
  <c r="AA777" i="53" s="1"/>
  <c r="AB777" i="53"/>
  <c r="AD777" i="53" s="1"/>
  <c r="AC777" i="53"/>
  <c r="AF777" i="53"/>
  <c r="AI777" i="53" s="1"/>
  <c r="AK777" i="53"/>
  <c r="AL777" i="53" s="1"/>
  <c r="AO777" i="53"/>
  <c r="AQ777" i="53" s="1"/>
  <c r="AR777" i="53"/>
  <c r="AT777" i="53" s="1"/>
  <c r="P778" i="53"/>
  <c r="T778" i="53" s="1"/>
  <c r="Q778" i="53"/>
  <c r="R778" i="53"/>
  <c r="S778" i="53"/>
  <c r="U778" i="53"/>
  <c r="W778" i="53" s="1"/>
  <c r="Y778" i="53"/>
  <c r="AA778" i="53" s="1"/>
  <c r="Z778" i="53"/>
  <c r="AB778" i="53"/>
  <c r="AE778" i="53" s="1"/>
  <c r="AF778" i="53"/>
  <c r="AJ778" i="53" s="1"/>
  <c r="AH778" i="53"/>
  <c r="AI778" i="53"/>
  <c r="AK778" i="53"/>
  <c r="AM778" i="53" s="1"/>
  <c r="AO778" i="53"/>
  <c r="AP778" i="53" s="1"/>
  <c r="AR778" i="53"/>
  <c r="AT778" i="53" s="1"/>
  <c r="P779" i="53"/>
  <c r="Q779" i="53" s="1"/>
  <c r="U779" i="53"/>
  <c r="W779" i="53" s="1"/>
  <c r="V779" i="53"/>
  <c r="X779" i="53"/>
  <c r="Y779" i="53"/>
  <c r="Z779" i="53" s="1"/>
  <c r="AB779" i="53"/>
  <c r="AE779" i="53" s="1"/>
  <c r="AF779" i="53"/>
  <c r="AG779" i="53" s="1"/>
  <c r="AH779" i="53"/>
  <c r="AI779" i="53"/>
  <c r="AJ779" i="53"/>
  <c r="AK779" i="53"/>
  <c r="AN779" i="53" s="1"/>
  <c r="AO779" i="53"/>
  <c r="AP779" i="53"/>
  <c r="AQ779" i="53"/>
  <c r="AR779" i="53"/>
  <c r="AS779" i="53" s="1"/>
  <c r="P780" i="53"/>
  <c r="Q780" i="53" s="1"/>
  <c r="U780" i="53"/>
  <c r="V780" i="53" s="1"/>
  <c r="Y780" i="53"/>
  <c r="Z780" i="53" s="1"/>
  <c r="AB780" i="53"/>
  <c r="AD780" i="53" s="1"/>
  <c r="AC780" i="53"/>
  <c r="AF780" i="53"/>
  <c r="AG780" i="53" s="1"/>
  <c r="AK780" i="53"/>
  <c r="AL780" i="53" s="1"/>
  <c r="AO780" i="53"/>
  <c r="AP780" i="53" s="1"/>
  <c r="AR780" i="53"/>
  <c r="AT780" i="53" s="1"/>
  <c r="P781" i="53"/>
  <c r="R781" i="53" s="1"/>
  <c r="Q781" i="53"/>
  <c r="U781" i="53"/>
  <c r="W781" i="53" s="1"/>
  <c r="Y781" i="53"/>
  <c r="Z781" i="53" s="1"/>
  <c r="AB781" i="53"/>
  <c r="AE781" i="53" s="1"/>
  <c r="AC781" i="53"/>
  <c r="AF781" i="53"/>
  <c r="AH781" i="53" s="1"/>
  <c r="AG781" i="53"/>
  <c r="AK781" i="53"/>
  <c r="AM781" i="53" s="1"/>
  <c r="AO781" i="53"/>
  <c r="AP781" i="53" s="1"/>
  <c r="AR781" i="53"/>
  <c r="AS781" i="53"/>
  <c r="AT781" i="53"/>
  <c r="P782" i="53"/>
  <c r="T782" i="53" s="1"/>
  <c r="Q782" i="53"/>
  <c r="R782" i="53"/>
  <c r="S782" i="53"/>
  <c r="U782" i="53"/>
  <c r="X782" i="53" s="1"/>
  <c r="Y782" i="53"/>
  <c r="AA782" i="53" s="1"/>
  <c r="AB782" i="53"/>
  <c r="AD782" i="53" s="1"/>
  <c r="AC782" i="53"/>
  <c r="AF782" i="53"/>
  <c r="AI782" i="53" s="1"/>
  <c r="AG782" i="53"/>
  <c r="AH782" i="53"/>
  <c r="AJ782" i="53"/>
  <c r="AK782" i="53"/>
  <c r="AN782" i="53" s="1"/>
  <c r="AM782" i="53"/>
  <c r="AO782" i="53"/>
  <c r="AQ782" i="53" s="1"/>
  <c r="AR782" i="53"/>
  <c r="AS782" i="53" s="1"/>
  <c r="P756" i="53"/>
  <c r="T756" i="53" s="1"/>
  <c r="R756" i="53"/>
  <c r="U756" i="53"/>
  <c r="V756" i="53" s="1"/>
  <c r="Y756" i="53"/>
  <c r="AA756" i="53" s="1"/>
  <c r="Z756" i="53"/>
  <c r="AB756" i="53"/>
  <c r="AD756" i="53" s="1"/>
  <c r="AE756" i="53"/>
  <c r="AF756" i="53"/>
  <c r="AJ756" i="53" s="1"/>
  <c r="AG756" i="53"/>
  <c r="AK756" i="53"/>
  <c r="AL756" i="53" s="1"/>
  <c r="AM756" i="53"/>
  <c r="AO756" i="53"/>
  <c r="AQ756" i="53" s="1"/>
  <c r="AR756" i="53"/>
  <c r="AT756" i="53" s="1"/>
  <c r="AS756" i="53"/>
  <c r="P757" i="53"/>
  <c r="S757" i="53" s="1"/>
  <c r="T757" i="53"/>
  <c r="U757" i="53"/>
  <c r="W757" i="53" s="1"/>
  <c r="Y757" i="53"/>
  <c r="AA757" i="53" s="1"/>
  <c r="Z757" i="53"/>
  <c r="AB757" i="53"/>
  <c r="AC757" i="53" s="1"/>
  <c r="AF757" i="53"/>
  <c r="AJ757" i="53" s="1"/>
  <c r="AI757" i="53"/>
  <c r="AK757" i="53"/>
  <c r="AM757" i="53" s="1"/>
  <c r="AL757" i="53"/>
  <c r="AO757" i="53"/>
  <c r="AP757" i="53" s="1"/>
  <c r="AR757" i="53"/>
  <c r="AS757" i="53" s="1"/>
  <c r="P758" i="53"/>
  <c r="T758" i="53" s="1"/>
  <c r="R758" i="53"/>
  <c r="S758" i="53"/>
  <c r="U758" i="53"/>
  <c r="V758" i="53" s="1"/>
  <c r="Y758" i="53"/>
  <c r="AA758" i="53" s="1"/>
  <c r="Z758" i="53"/>
  <c r="AB758" i="53"/>
  <c r="AC758" i="53" s="1"/>
  <c r="AF758" i="53"/>
  <c r="AG758" i="53" s="1"/>
  <c r="AH758" i="53"/>
  <c r="AJ758" i="53"/>
  <c r="AK758" i="53"/>
  <c r="AL758" i="53" s="1"/>
  <c r="AO758" i="53"/>
  <c r="AP758" i="53"/>
  <c r="AQ758" i="53"/>
  <c r="AR758" i="53"/>
  <c r="AS758" i="53" s="1"/>
  <c r="P759" i="53"/>
  <c r="Q759" i="53" s="1"/>
  <c r="T759" i="53"/>
  <c r="U759" i="53"/>
  <c r="V759" i="53" s="1"/>
  <c r="Y759" i="53"/>
  <c r="AA759" i="53" s="1"/>
  <c r="Z759" i="53"/>
  <c r="AB759" i="53"/>
  <c r="AD759" i="53" s="1"/>
  <c r="AF759" i="53"/>
  <c r="AG759" i="53" s="1"/>
  <c r="AK759" i="53"/>
  <c r="AL759" i="53" s="1"/>
  <c r="AO759" i="53"/>
  <c r="AQ759" i="53" s="1"/>
  <c r="AP759" i="53"/>
  <c r="AR759" i="53"/>
  <c r="AT759" i="53" s="1"/>
  <c r="AS759" i="53"/>
  <c r="P760" i="53"/>
  <c r="R760" i="53" s="1"/>
  <c r="Q760" i="53"/>
  <c r="U760" i="53"/>
  <c r="W760" i="53" s="1"/>
  <c r="Y760" i="53"/>
  <c r="Z760" i="53" s="1"/>
  <c r="AB760" i="53"/>
  <c r="AC760" i="53"/>
  <c r="AD760" i="53"/>
  <c r="AE760" i="53"/>
  <c r="AF760" i="53"/>
  <c r="AH760" i="53" s="1"/>
  <c r="AJ760" i="53"/>
  <c r="AK760" i="53"/>
  <c r="AM760" i="53" s="1"/>
  <c r="AO760" i="53"/>
  <c r="AP760" i="53" s="1"/>
  <c r="AR760" i="53"/>
  <c r="AS760" i="53" s="1"/>
  <c r="P761" i="53"/>
  <c r="Q761" i="53" s="1"/>
  <c r="U761" i="53"/>
  <c r="V761" i="53" s="1"/>
  <c r="W761" i="53"/>
  <c r="X761" i="53"/>
  <c r="Y761" i="53"/>
  <c r="AA761" i="53" s="1"/>
  <c r="AB761" i="53"/>
  <c r="AD761" i="53" s="1"/>
  <c r="AC761" i="53"/>
  <c r="AF761" i="53"/>
  <c r="AG761" i="53" s="1"/>
  <c r="AK761" i="53"/>
  <c r="AM761" i="53" s="1"/>
  <c r="AN761" i="53"/>
  <c r="AO761" i="53"/>
  <c r="AQ761" i="53" s="1"/>
  <c r="AR761" i="53"/>
  <c r="AT761" i="53" s="1"/>
  <c r="AS761" i="53"/>
  <c r="P762" i="53"/>
  <c r="Q762" i="53" s="1"/>
  <c r="U762" i="53"/>
  <c r="V762" i="53" s="1"/>
  <c r="X762" i="53"/>
  <c r="Y762" i="53"/>
  <c r="Z762" i="53" s="1"/>
  <c r="AB762" i="53"/>
  <c r="AC762" i="53" s="1"/>
  <c r="AF762" i="53"/>
  <c r="AG762" i="53" s="1"/>
  <c r="AK762" i="53"/>
  <c r="AL762" i="53" s="1"/>
  <c r="AO762" i="53"/>
  <c r="AP762" i="53" s="1"/>
  <c r="AR762" i="53"/>
  <c r="AS762" i="53" s="1"/>
  <c r="P763" i="53"/>
  <c r="S763" i="53" s="1"/>
  <c r="U763" i="53"/>
  <c r="V763" i="53" s="1"/>
  <c r="Y763" i="53"/>
  <c r="Z763" i="53" s="1"/>
  <c r="AB763" i="53"/>
  <c r="AC763" i="53" s="1"/>
  <c r="AF763" i="53"/>
  <c r="AI763" i="53" s="1"/>
  <c r="AK763" i="53"/>
  <c r="AL763" i="53"/>
  <c r="AM763" i="53"/>
  <c r="AN763" i="53"/>
  <c r="AO763" i="53"/>
  <c r="AP763" i="53" s="1"/>
  <c r="AR763" i="53"/>
  <c r="AS763" i="53" s="1"/>
  <c r="P764" i="53"/>
  <c r="T764" i="53" s="1"/>
  <c r="U764" i="53"/>
  <c r="V764" i="53" s="1"/>
  <c r="W764" i="53"/>
  <c r="X764" i="53"/>
  <c r="Y764" i="53"/>
  <c r="AA764" i="53" s="1"/>
  <c r="Z764" i="53"/>
  <c r="AB764" i="53"/>
  <c r="AD764" i="53" s="1"/>
  <c r="AC764" i="53"/>
  <c r="AF764" i="53"/>
  <c r="AJ764" i="53" s="1"/>
  <c r="AG764" i="53"/>
  <c r="AI764" i="53"/>
  <c r="AK764" i="53"/>
  <c r="AL764" i="53" s="1"/>
  <c r="AO764" i="53"/>
  <c r="AQ764" i="53" s="1"/>
  <c r="AP764" i="53"/>
  <c r="AR764" i="53"/>
  <c r="AT764" i="53" s="1"/>
  <c r="AS764" i="53"/>
  <c r="P765" i="53"/>
  <c r="Q765" i="53" s="1"/>
  <c r="U765" i="53"/>
  <c r="W765" i="53" s="1"/>
  <c r="X765" i="53"/>
  <c r="Y765" i="53"/>
  <c r="AA765" i="53" s="1"/>
  <c r="Z765" i="53"/>
  <c r="AB765" i="53"/>
  <c r="AC765" i="53" s="1"/>
  <c r="AF765" i="53"/>
  <c r="AH765" i="53" s="1"/>
  <c r="AG765" i="53"/>
  <c r="AK765" i="53"/>
  <c r="AM765" i="53" s="1"/>
  <c r="AL765" i="53"/>
  <c r="AO765" i="53"/>
  <c r="AQ765" i="53" s="1"/>
  <c r="AR765" i="53"/>
  <c r="AS765" i="53" s="1"/>
  <c r="P766" i="53"/>
  <c r="R766" i="53" s="1"/>
  <c r="Q766" i="53"/>
  <c r="T766" i="53"/>
  <c r="U766" i="53"/>
  <c r="V766" i="53" s="1"/>
  <c r="Y766" i="53"/>
  <c r="AA766" i="53" s="1"/>
  <c r="Z766" i="53"/>
  <c r="AB766" i="53"/>
  <c r="AC766" i="53" s="1"/>
  <c r="AF766" i="53"/>
  <c r="AG766" i="53" s="1"/>
  <c r="AK766" i="53"/>
  <c r="AL766" i="53" s="1"/>
  <c r="AO766" i="53"/>
  <c r="AP766" i="53"/>
  <c r="AQ766" i="53"/>
  <c r="AR766" i="53"/>
  <c r="AS766" i="53" s="1"/>
  <c r="P767" i="53"/>
  <c r="Q767" i="53" s="1"/>
  <c r="S767" i="53"/>
  <c r="U767" i="53"/>
  <c r="V767" i="53" s="1"/>
  <c r="Y767" i="53"/>
  <c r="Z767" i="53"/>
  <c r="AA767" i="53"/>
  <c r="AB767" i="53"/>
  <c r="AE767" i="53" s="1"/>
  <c r="AF767" i="53"/>
  <c r="AG767" i="53" s="1"/>
  <c r="AH767" i="53"/>
  <c r="AK767" i="53"/>
  <c r="AL767" i="53" s="1"/>
  <c r="AO767" i="53"/>
  <c r="AQ767" i="53" s="1"/>
  <c r="AP767" i="53"/>
  <c r="AR767" i="53"/>
  <c r="AT767" i="53" s="1"/>
  <c r="AS767" i="53"/>
  <c r="P768" i="53"/>
  <c r="R768" i="53" s="1"/>
  <c r="U768" i="53"/>
  <c r="X768" i="53" s="1"/>
  <c r="W768" i="53"/>
  <c r="Y768" i="53"/>
  <c r="Z768" i="53" s="1"/>
  <c r="AB768" i="53"/>
  <c r="AC768" i="53" s="1"/>
  <c r="AF768" i="53"/>
  <c r="AH768" i="53" s="1"/>
  <c r="AG768" i="53"/>
  <c r="AK768" i="53"/>
  <c r="AN768" i="53" s="1"/>
  <c r="AO768" i="53"/>
  <c r="AP768" i="53" s="1"/>
  <c r="AR768" i="53"/>
  <c r="AS768" i="53" s="1"/>
  <c r="P769" i="53"/>
  <c r="Q769" i="53" s="1"/>
  <c r="U769" i="53"/>
  <c r="X769" i="53" s="1"/>
  <c r="V769" i="53"/>
  <c r="Y769" i="53"/>
  <c r="AA769" i="53" s="1"/>
  <c r="AB769" i="53"/>
  <c r="AD769" i="53" s="1"/>
  <c r="AC769" i="53"/>
  <c r="AF769" i="53"/>
  <c r="AG769" i="53" s="1"/>
  <c r="AK769" i="53"/>
  <c r="AL769" i="53" s="1"/>
  <c r="AM769" i="53"/>
  <c r="AO769" i="53"/>
  <c r="AQ769" i="53" s="1"/>
  <c r="AR769" i="53"/>
  <c r="AT769" i="53" s="1"/>
  <c r="AS769" i="53"/>
  <c r="P770" i="53"/>
  <c r="Q770" i="53" s="1"/>
  <c r="U770" i="53"/>
  <c r="V770" i="53" s="1"/>
  <c r="W770" i="53"/>
  <c r="Y770" i="53"/>
  <c r="Z770" i="53" s="1"/>
  <c r="AB770" i="53"/>
  <c r="AC770" i="53" s="1"/>
  <c r="AD770" i="53"/>
  <c r="AF770" i="53"/>
  <c r="AG770" i="53" s="1"/>
  <c r="AK770" i="53"/>
  <c r="AL770" i="53" s="1"/>
  <c r="AO770" i="53"/>
  <c r="AP770" i="53" s="1"/>
  <c r="AR770" i="53"/>
  <c r="AS770" i="53" s="1"/>
  <c r="P771" i="53"/>
  <c r="S771" i="53" s="1"/>
  <c r="U771" i="53"/>
  <c r="V771" i="53" s="1"/>
  <c r="W771" i="53"/>
  <c r="Y771" i="53"/>
  <c r="Z771" i="53" s="1"/>
  <c r="AB771" i="53"/>
  <c r="AC771" i="53" s="1"/>
  <c r="AF771" i="53"/>
  <c r="AI771" i="53" s="1"/>
  <c r="AH771" i="53"/>
  <c r="AK771" i="53"/>
  <c r="AL771" i="53" s="1"/>
  <c r="AN771" i="53"/>
  <c r="AO771" i="53"/>
  <c r="AQ771" i="53" s="1"/>
  <c r="AR771" i="53"/>
  <c r="AS771" i="53" s="1"/>
  <c r="AT771" i="53"/>
  <c r="P745" i="53"/>
  <c r="Q745" i="53" s="1"/>
  <c r="U745" i="53"/>
  <c r="X745" i="53" s="1"/>
  <c r="Y745" i="53"/>
  <c r="Z745" i="53" s="1"/>
  <c r="AB745" i="53"/>
  <c r="AD745" i="53" s="1"/>
  <c r="AC745" i="53"/>
  <c r="AF745" i="53"/>
  <c r="AG745" i="53" s="1"/>
  <c r="AK745" i="53"/>
  <c r="AN745" i="53" s="1"/>
  <c r="AO745" i="53"/>
  <c r="AP745" i="53" s="1"/>
  <c r="AR745" i="53"/>
  <c r="AT745" i="53" s="1"/>
  <c r="P746" i="53"/>
  <c r="Q746" i="53" s="1"/>
  <c r="U746" i="53"/>
  <c r="W746" i="53" s="1"/>
  <c r="X746" i="53"/>
  <c r="Y746" i="53"/>
  <c r="Z746" i="53" s="1"/>
  <c r="AB746" i="53"/>
  <c r="AC746" i="53" s="1"/>
  <c r="AD746" i="53"/>
  <c r="AF746" i="53"/>
  <c r="AG746" i="53" s="1"/>
  <c r="AK746" i="53"/>
  <c r="AM746" i="53" s="1"/>
  <c r="AO746" i="53"/>
  <c r="AP746" i="53" s="1"/>
  <c r="AR746" i="53"/>
  <c r="AS746" i="53" s="1"/>
  <c r="P747" i="53"/>
  <c r="T747" i="53" s="1"/>
  <c r="Q747" i="53"/>
  <c r="R747" i="53"/>
  <c r="S747" i="53"/>
  <c r="U747" i="53"/>
  <c r="V747" i="53" s="1"/>
  <c r="X747" i="53"/>
  <c r="Y747" i="53"/>
  <c r="Z747" i="53" s="1"/>
  <c r="AB747" i="53"/>
  <c r="AD747" i="53" s="1"/>
  <c r="AC747" i="53"/>
  <c r="AE747" i="53"/>
  <c r="AF747" i="53"/>
  <c r="AH747" i="53" s="1"/>
  <c r="AK747" i="53"/>
  <c r="AL747" i="53" s="1"/>
  <c r="AO747" i="53"/>
  <c r="AP747" i="53" s="1"/>
  <c r="AR747" i="53"/>
  <c r="AS747" i="53" s="1"/>
  <c r="P748" i="53"/>
  <c r="S748" i="53" s="1"/>
  <c r="U748" i="53"/>
  <c r="V748" i="53" s="1"/>
  <c r="Y748" i="53"/>
  <c r="Z748" i="53" s="1"/>
  <c r="AA748" i="53"/>
  <c r="AB748" i="53"/>
  <c r="AC748" i="53" s="1"/>
  <c r="AF748" i="53"/>
  <c r="AI748" i="53" s="1"/>
  <c r="AK748" i="53"/>
  <c r="AM748" i="53" s="1"/>
  <c r="AL748" i="53"/>
  <c r="AN748" i="53"/>
  <c r="AO748" i="53"/>
  <c r="AQ748" i="53" s="1"/>
  <c r="AP748" i="53"/>
  <c r="AR748" i="53"/>
  <c r="AS748" i="53" s="1"/>
  <c r="P749" i="53"/>
  <c r="T749" i="53" s="1"/>
  <c r="Q749" i="53"/>
  <c r="U749" i="53"/>
  <c r="V749" i="53" s="1"/>
  <c r="Y749" i="53"/>
  <c r="Z749" i="53" s="1"/>
  <c r="AB749" i="53"/>
  <c r="AC749" i="53" s="1"/>
  <c r="AF749" i="53"/>
  <c r="AJ749" i="53" s="1"/>
  <c r="AG749" i="53"/>
  <c r="AK749" i="53"/>
  <c r="AL749" i="53" s="1"/>
  <c r="AO749" i="53"/>
  <c r="AP749" i="53" s="1"/>
  <c r="AQ749" i="53"/>
  <c r="AR749" i="53"/>
  <c r="AS749" i="53" s="1"/>
  <c r="P750" i="53"/>
  <c r="Q750" i="53" s="1"/>
  <c r="T750" i="53"/>
  <c r="U750" i="53"/>
  <c r="V750" i="53" s="1"/>
  <c r="Y750" i="53"/>
  <c r="AA750" i="53" s="1"/>
  <c r="AB750" i="53"/>
  <c r="AC750" i="53" s="1"/>
  <c r="AF750" i="53"/>
  <c r="AG750" i="53" s="1"/>
  <c r="AK750" i="53"/>
  <c r="AL750" i="53" s="1"/>
  <c r="AM750" i="53"/>
  <c r="AN750" i="53"/>
  <c r="AO750" i="53"/>
  <c r="AQ750" i="53" s="1"/>
  <c r="AR750" i="53"/>
  <c r="AS750" i="53" s="1"/>
  <c r="P751" i="53"/>
  <c r="Q751" i="53" s="1"/>
  <c r="U751" i="53"/>
  <c r="V751" i="53" s="1"/>
  <c r="Y751" i="53"/>
  <c r="Z751" i="53" s="1"/>
  <c r="AA751" i="53"/>
  <c r="AB751" i="53"/>
  <c r="AD751" i="53" s="1"/>
  <c r="AF751" i="53"/>
  <c r="AG751" i="53" s="1"/>
  <c r="AK751" i="53"/>
  <c r="AL751" i="53" s="1"/>
  <c r="AO751" i="53"/>
  <c r="AP751" i="53" s="1"/>
  <c r="AQ751" i="53"/>
  <c r="AR751" i="53"/>
  <c r="AT751" i="53" s="1"/>
  <c r="P752" i="53"/>
  <c r="R752" i="53" s="1"/>
  <c r="U752" i="53"/>
  <c r="W752" i="53" s="1"/>
  <c r="Y752" i="53"/>
  <c r="Z752" i="53" s="1"/>
  <c r="AB752" i="53"/>
  <c r="AE752" i="53" s="1"/>
  <c r="AF752" i="53"/>
  <c r="AH752" i="53" s="1"/>
  <c r="AG752" i="53"/>
  <c r="AK752" i="53"/>
  <c r="AM752" i="53" s="1"/>
  <c r="AO752" i="53"/>
  <c r="AP752" i="53" s="1"/>
  <c r="AR752" i="53"/>
  <c r="AS752" i="53" s="1"/>
  <c r="P753" i="53"/>
  <c r="Q753" i="53" s="1"/>
  <c r="R753" i="53"/>
  <c r="U753" i="53"/>
  <c r="X753" i="53" s="1"/>
  <c r="Y753" i="53"/>
  <c r="AA753" i="53" s="1"/>
  <c r="Z753" i="53"/>
  <c r="AB753" i="53"/>
  <c r="AD753" i="53" s="1"/>
  <c r="AF753" i="53"/>
  <c r="AG753" i="53" s="1"/>
  <c r="AK753" i="53"/>
  <c r="AN753" i="53" s="1"/>
  <c r="AM753" i="53"/>
  <c r="AO753" i="53"/>
  <c r="AQ753" i="53" s="1"/>
  <c r="AR753" i="53"/>
  <c r="AT753" i="53" s="1"/>
  <c r="AS753" i="53"/>
  <c r="P754" i="53"/>
  <c r="Q754" i="53" s="1"/>
  <c r="U754" i="53"/>
  <c r="W754" i="53" s="1"/>
  <c r="Y754" i="53"/>
  <c r="Z754" i="53" s="1"/>
  <c r="AB754" i="53"/>
  <c r="AC754" i="53" s="1"/>
  <c r="AD754" i="53"/>
  <c r="AF754" i="53"/>
  <c r="AG754" i="53" s="1"/>
  <c r="AK754" i="53"/>
  <c r="AM754" i="53" s="1"/>
  <c r="AO754" i="53"/>
  <c r="AP754" i="53" s="1"/>
  <c r="AR754" i="53"/>
  <c r="AS754" i="53" s="1"/>
  <c r="P755" i="53"/>
  <c r="R755" i="53" s="1"/>
  <c r="Q755" i="53"/>
  <c r="T755" i="53"/>
  <c r="U755" i="53"/>
  <c r="V755" i="53" s="1"/>
  <c r="Y755" i="53"/>
  <c r="Z755" i="53" s="1"/>
  <c r="AB755" i="53"/>
  <c r="AC755" i="53" s="1"/>
  <c r="AF755" i="53"/>
  <c r="AH755" i="53" s="1"/>
  <c r="AK755" i="53"/>
  <c r="AL755" i="53" s="1"/>
  <c r="AM755" i="53"/>
  <c r="AO755" i="53"/>
  <c r="AP755" i="53" s="1"/>
  <c r="AR755" i="53"/>
  <c r="AS755" i="53" s="1"/>
  <c r="P743" i="53"/>
  <c r="Q743" i="53" s="1"/>
  <c r="U743" i="53"/>
  <c r="V743" i="53" s="1"/>
  <c r="Y743" i="53"/>
  <c r="Z743" i="53" s="1"/>
  <c r="AB743" i="53"/>
  <c r="AC743" i="53" s="1"/>
  <c r="AF743" i="53"/>
  <c r="AH743" i="53" s="1"/>
  <c r="AG743" i="53"/>
  <c r="AK743" i="53"/>
  <c r="AN743" i="53" s="1"/>
  <c r="AM743" i="53"/>
  <c r="AO743" i="53"/>
  <c r="AQ743" i="53" s="1"/>
  <c r="AP743" i="53"/>
  <c r="AR743" i="53"/>
  <c r="AS743" i="53" s="1"/>
  <c r="P744" i="53"/>
  <c r="Q744" i="53" s="1"/>
  <c r="T744" i="53"/>
  <c r="U744" i="53"/>
  <c r="V744" i="53" s="1"/>
  <c r="Y744" i="53"/>
  <c r="Z744" i="53" s="1"/>
  <c r="AB744" i="53"/>
  <c r="AD744" i="53" s="1"/>
  <c r="AC744" i="53"/>
  <c r="AF744" i="53"/>
  <c r="AG744" i="53" s="1"/>
  <c r="AJ744" i="53"/>
  <c r="AK744" i="53"/>
  <c r="AL744" i="53" s="1"/>
  <c r="AO744" i="53"/>
  <c r="AP744" i="53" s="1"/>
  <c r="AR744" i="53"/>
  <c r="AT744" i="53" s="1"/>
  <c r="AS744" i="53"/>
  <c r="B19" i="65"/>
  <c r="B12" i="65"/>
  <c r="B13" i="65" s="1"/>
  <c r="B20" i="65" l="1"/>
  <c r="B21" i="65" s="1"/>
  <c r="M126" i="64"/>
  <c r="AG747" i="53"/>
  <c r="AL746" i="53"/>
  <c r="AM771" i="53"/>
  <c r="AJ768" i="53"/>
  <c r="S766" i="53"/>
  <c r="W762" i="53"/>
  <c r="AL761" i="53"/>
  <c r="T760" i="53"/>
  <c r="Q758" i="53"/>
  <c r="R757" i="53"/>
  <c r="AI756" i="53"/>
  <c r="X756" i="53"/>
  <c r="AH774" i="53"/>
  <c r="R774" i="53"/>
  <c r="AC772" i="53"/>
  <c r="AQ744" i="53"/>
  <c r="W753" i="53"/>
  <c r="S751" i="53"/>
  <c r="AJ750" i="53"/>
  <c r="AT749" i="53"/>
  <c r="AA749" i="53"/>
  <c r="X748" i="53"/>
  <c r="X770" i="53"/>
  <c r="AN769" i="53"/>
  <c r="W769" i="53"/>
  <c r="AI768" i="53"/>
  <c r="Q768" i="53"/>
  <c r="AJ767" i="53"/>
  <c r="AI765" i="53"/>
  <c r="S764" i="53"/>
  <c r="AH763" i="53"/>
  <c r="S760" i="53"/>
  <c r="AH759" i="53"/>
  <c r="Q757" i="53"/>
  <c r="AH756" i="53"/>
  <c r="AH777" i="53"/>
  <c r="AG774" i="53"/>
  <c r="Q774" i="53"/>
  <c r="AG773" i="53"/>
  <c r="Q773" i="53"/>
  <c r="T765" i="53"/>
  <c r="R748" i="53"/>
  <c r="S765" i="53"/>
  <c r="AG778" i="53"/>
  <c r="AJ753" i="53"/>
  <c r="AC751" i="53"/>
  <c r="AP750" i="53"/>
  <c r="AT746" i="53"/>
  <c r="AD767" i="53"/>
  <c r="R765" i="53"/>
  <c r="AN764" i="53"/>
  <c r="AD762" i="53"/>
  <c r="X757" i="53"/>
  <c r="AA743" i="53"/>
  <c r="AJ755" i="53"/>
  <c r="AT754" i="53"/>
  <c r="Q752" i="53"/>
  <c r="W750" i="53"/>
  <c r="AE748" i="53"/>
  <c r="AE745" i="53"/>
  <c r="AP771" i="53"/>
  <c r="AA768" i="53"/>
  <c r="AC767" i="53"/>
  <c r="AP765" i="53"/>
  <c r="AM764" i="53"/>
  <c r="W763" i="53"/>
  <c r="AL760" i="53"/>
  <c r="AA760" i="53"/>
  <c r="V757" i="53"/>
  <c r="AP782" i="53"/>
  <c r="AE782" i="53"/>
  <c r="AD781" i="53"/>
  <c r="AS778" i="53"/>
  <c r="AS777" i="53"/>
  <c r="AG776" i="53"/>
  <c r="AM774" i="53"/>
  <c r="T743" i="53"/>
  <c r="AI755" i="53"/>
  <c r="AN754" i="53"/>
  <c r="X754" i="53"/>
  <c r="W747" i="53"/>
  <c r="AT770" i="53"/>
  <c r="AT768" i="53"/>
  <c r="R764" i="53"/>
  <c r="AT762" i="53"/>
  <c r="AT760" i="53"/>
  <c r="AI760" i="53"/>
  <c r="S759" i="53"/>
  <c r="AQ757" i="53"/>
  <c r="AH757" i="53"/>
  <c r="W782" i="53"/>
  <c r="AM779" i="53"/>
  <c r="AA779" i="53"/>
  <c r="S779" i="53"/>
  <c r="AD778" i="53"/>
  <c r="AN776" i="53"/>
  <c r="X776" i="53"/>
  <c r="AQ775" i="53"/>
  <c r="AE775" i="53"/>
  <c r="AA744" i="53"/>
  <c r="S743" i="53"/>
  <c r="AG755" i="53"/>
  <c r="S755" i="53"/>
  <c r="AL754" i="53"/>
  <c r="V754" i="53"/>
  <c r="AL752" i="53"/>
  <c r="V752" i="53"/>
  <c r="AN749" i="53"/>
  <c r="X749" i="53"/>
  <c r="AT747" i="53"/>
  <c r="AM745" i="53"/>
  <c r="X771" i="53"/>
  <c r="AE770" i="53"/>
  <c r="Z769" i="53"/>
  <c r="AI767" i="53"/>
  <c r="AJ765" i="53"/>
  <c r="Q764" i="53"/>
  <c r="X763" i="53"/>
  <c r="AE762" i="53"/>
  <c r="Z761" i="53"/>
  <c r="AG760" i="53"/>
  <c r="V760" i="53"/>
  <c r="AC759" i="53"/>
  <c r="R759" i="53"/>
  <c r="AI758" i="53"/>
  <c r="AG757" i="53"/>
  <c r="AP756" i="53"/>
  <c r="S756" i="53"/>
  <c r="V782" i="53"/>
  <c r="AQ780" i="53"/>
  <c r="AL779" i="53"/>
  <c r="R779" i="53"/>
  <c r="AL778" i="53"/>
  <c r="AC778" i="53"/>
  <c r="AJ777" i="53"/>
  <c r="AM776" i="53"/>
  <c r="W776" i="53"/>
  <c r="AD775" i="53"/>
  <c r="AL774" i="53"/>
  <c r="AC774" i="53"/>
  <c r="AE755" i="53"/>
  <c r="AH753" i="53"/>
  <c r="AJ752" i="53"/>
  <c r="T752" i="53"/>
  <c r="AI751" i="53"/>
  <c r="AH750" i="53"/>
  <c r="R750" i="53"/>
  <c r="AI749" i="53"/>
  <c r="S749" i="53"/>
  <c r="AN746" i="53"/>
  <c r="V746" i="53"/>
  <c r="AG771" i="53"/>
  <c r="AQ768" i="53"/>
  <c r="V768" i="53"/>
  <c r="T767" i="53"/>
  <c r="AJ766" i="53"/>
  <c r="V765" i="53"/>
  <c r="AH764" i="53"/>
  <c r="AT763" i="53"/>
  <c r="AG763" i="53"/>
  <c r="AQ760" i="53"/>
  <c r="AN757" i="53"/>
  <c r="AN756" i="53"/>
  <c r="AC756" i="53"/>
  <c r="Q756" i="53"/>
  <c r="AL782" i="53"/>
  <c r="AL781" i="53"/>
  <c r="V781" i="53"/>
  <c r="AG777" i="53"/>
  <c r="R777" i="53"/>
  <c r="AJ776" i="53"/>
  <c r="T776" i="53"/>
  <c r="Z774" i="53"/>
  <c r="AJ743" i="53"/>
  <c r="AN747" i="53"/>
  <c r="AE768" i="53"/>
  <c r="AI766" i="53"/>
  <c r="AI743" i="53"/>
  <c r="AM747" i="53"/>
  <c r="AE771" i="53"/>
  <c r="R771" i="53"/>
  <c r="AM770" i="53"/>
  <c r="AE769" i="53"/>
  <c r="AM768" i="53"/>
  <c r="AD768" i="53"/>
  <c r="T768" i="53"/>
  <c r="AH766" i="53"/>
  <c r="AE763" i="53"/>
  <c r="R763" i="53"/>
  <c r="AM762" i="53"/>
  <c r="AE761" i="53"/>
  <c r="AJ759" i="53"/>
  <c r="AT782" i="53"/>
  <c r="W774" i="53"/>
  <c r="AN770" i="53"/>
  <c r="AN762" i="53"/>
  <c r="X743" i="53"/>
  <c r="AE753" i="53"/>
  <c r="W743" i="53"/>
  <c r="W755" i="53"/>
  <c r="AQ754" i="53"/>
  <c r="AA754" i="53"/>
  <c r="AP753" i="53"/>
  <c r="AC753" i="53"/>
  <c r="AT752" i="53"/>
  <c r="AD752" i="53"/>
  <c r="AS751" i="53"/>
  <c r="Z750" i="53"/>
  <c r="AT748" i="53"/>
  <c r="AH748" i="53"/>
  <c r="AS745" i="53"/>
  <c r="AD771" i="53"/>
  <c r="Q771" i="53"/>
  <c r="AP769" i="53"/>
  <c r="AL768" i="53"/>
  <c r="S768" i="53"/>
  <c r="AN765" i="53"/>
  <c r="AE764" i="53"/>
  <c r="AD763" i="53"/>
  <c r="Q763" i="53"/>
  <c r="AP761" i="53"/>
  <c r="AI759" i="53"/>
  <c r="Z782" i="53"/>
  <c r="AQ778" i="53"/>
  <c r="V778" i="53"/>
  <c r="AP777" i="53"/>
  <c r="AT775" i="53"/>
  <c r="AP774" i="53"/>
  <c r="V774" i="53"/>
  <c r="AQ772" i="53"/>
  <c r="AS780" i="53"/>
  <c r="AA780" i="53"/>
  <c r="T779" i="53"/>
  <c r="Z777" i="53"/>
  <c r="AN780" i="53"/>
  <c r="X780" i="53"/>
  <c r="AN781" i="53"/>
  <c r="X781" i="53"/>
  <c r="AM780" i="53"/>
  <c r="AE780" i="53"/>
  <c r="W780" i="53"/>
  <c r="AT779" i="53"/>
  <c r="AD779" i="53"/>
  <c r="AQ776" i="53"/>
  <c r="AI776" i="53"/>
  <c r="AA776" i="53"/>
  <c r="S776" i="53"/>
  <c r="AH775" i="53"/>
  <c r="R775" i="53"/>
  <c r="AN773" i="53"/>
  <c r="X773" i="53"/>
  <c r="AM772" i="53"/>
  <c r="AE772" i="53"/>
  <c r="W772" i="53"/>
  <c r="AC779" i="53"/>
  <c r="AG775" i="53"/>
  <c r="Q775" i="53"/>
  <c r="AL772" i="53"/>
  <c r="V772" i="53"/>
  <c r="AI780" i="53"/>
  <c r="AN777" i="53"/>
  <c r="X777" i="53"/>
  <c r="AE776" i="53"/>
  <c r="AJ773" i="53"/>
  <c r="T773" i="53"/>
  <c r="AI772" i="53"/>
  <c r="S772" i="53"/>
  <c r="AJ780" i="53"/>
  <c r="T780" i="53"/>
  <c r="T772" i="53"/>
  <c r="AJ781" i="53"/>
  <c r="T781" i="53"/>
  <c r="AQ781" i="53"/>
  <c r="AI781" i="53"/>
  <c r="AA781" i="53"/>
  <c r="S781" i="53"/>
  <c r="AH780" i="53"/>
  <c r="R780" i="53"/>
  <c r="AN778" i="53"/>
  <c r="X778" i="53"/>
  <c r="AM777" i="53"/>
  <c r="AE777" i="53"/>
  <c r="W777" i="53"/>
  <c r="AT776" i="53"/>
  <c r="AD776" i="53"/>
  <c r="AQ773" i="53"/>
  <c r="AI773" i="53"/>
  <c r="AA773" i="53"/>
  <c r="S773" i="53"/>
  <c r="AH772" i="53"/>
  <c r="R772" i="53"/>
  <c r="AJ772" i="53"/>
  <c r="S780" i="53"/>
  <c r="AJ775" i="53"/>
  <c r="T775" i="53"/>
  <c r="AJ769" i="53"/>
  <c r="T769" i="53"/>
  <c r="R767" i="53"/>
  <c r="AJ761" i="53"/>
  <c r="T761" i="53"/>
  <c r="W756" i="53"/>
  <c r="AJ770" i="53"/>
  <c r="T770" i="53"/>
  <c r="AI769" i="53"/>
  <c r="S769" i="53"/>
  <c r="AN766" i="53"/>
  <c r="X766" i="53"/>
  <c r="AE765" i="53"/>
  <c r="AJ762" i="53"/>
  <c r="T762" i="53"/>
  <c r="AI761" i="53"/>
  <c r="S761" i="53"/>
  <c r="AN758" i="53"/>
  <c r="X758" i="53"/>
  <c r="AE757" i="53"/>
  <c r="AN759" i="53"/>
  <c r="AJ771" i="53"/>
  <c r="T771" i="53"/>
  <c r="AQ770" i="53"/>
  <c r="AI770" i="53"/>
  <c r="AA770" i="53"/>
  <c r="S770" i="53"/>
  <c r="AH769" i="53"/>
  <c r="R769" i="53"/>
  <c r="AN767" i="53"/>
  <c r="X767" i="53"/>
  <c r="AM766" i="53"/>
  <c r="AE766" i="53"/>
  <c r="W766" i="53"/>
  <c r="AT765" i="53"/>
  <c r="AD765" i="53"/>
  <c r="AJ763" i="53"/>
  <c r="T763" i="53"/>
  <c r="AQ762" i="53"/>
  <c r="AI762" i="53"/>
  <c r="AA762" i="53"/>
  <c r="S762" i="53"/>
  <c r="AH761" i="53"/>
  <c r="R761" i="53"/>
  <c r="X759" i="53"/>
  <c r="AM758" i="53"/>
  <c r="AE758" i="53"/>
  <c r="W758" i="53"/>
  <c r="AT757" i="53"/>
  <c r="AD757" i="53"/>
  <c r="AA771" i="53"/>
  <c r="AH770" i="53"/>
  <c r="R770" i="53"/>
  <c r="AM767" i="53"/>
  <c r="W767" i="53"/>
  <c r="AT766" i="53"/>
  <c r="AD766" i="53"/>
  <c r="AQ763" i="53"/>
  <c r="AA763" i="53"/>
  <c r="AH762" i="53"/>
  <c r="R762" i="53"/>
  <c r="AN760" i="53"/>
  <c r="X760" i="53"/>
  <c r="AM759" i="53"/>
  <c r="AE759" i="53"/>
  <c r="W759" i="53"/>
  <c r="AT758" i="53"/>
  <c r="AD758" i="53"/>
  <c r="W745" i="53"/>
  <c r="AN755" i="53"/>
  <c r="X755" i="53"/>
  <c r="AE754" i="53"/>
  <c r="AL753" i="53"/>
  <c r="V753" i="53"/>
  <c r="AC752" i="53"/>
  <c r="AJ751" i="53"/>
  <c r="T751" i="53"/>
  <c r="AI750" i="53"/>
  <c r="S750" i="53"/>
  <c r="AH749" i="53"/>
  <c r="R749" i="53"/>
  <c r="AG748" i="53"/>
  <c r="Q748" i="53"/>
  <c r="AE746" i="53"/>
  <c r="AL745" i="53"/>
  <c r="V745" i="53"/>
  <c r="AT755" i="53"/>
  <c r="AD755" i="53"/>
  <c r="T753" i="53"/>
  <c r="AQ752" i="53"/>
  <c r="AI752" i="53"/>
  <c r="AA752" i="53"/>
  <c r="S752" i="53"/>
  <c r="AH751" i="53"/>
  <c r="R751" i="53"/>
  <c r="W748" i="53"/>
  <c r="AJ745" i="53"/>
  <c r="T745" i="53"/>
  <c r="AJ754" i="53"/>
  <c r="T754" i="53"/>
  <c r="AI753" i="53"/>
  <c r="S753" i="53"/>
  <c r="X750" i="53"/>
  <c r="AM749" i="53"/>
  <c r="AE749" i="53"/>
  <c r="W749" i="53"/>
  <c r="AD748" i="53"/>
  <c r="AJ746" i="53"/>
  <c r="T746" i="53"/>
  <c r="AQ745" i="53"/>
  <c r="AI745" i="53"/>
  <c r="AA745" i="53"/>
  <c r="S745" i="53"/>
  <c r="AD749" i="53"/>
  <c r="AJ747" i="53"/>
  <c r="AQ746" i="53"/>
  <c r="AI746" i="53"/>
  <c r="AA746" i="53"/>
  <c r="S746" i="53"/>
  <c r="AH745" i="53"/>
  <c r="R745" i="53"/>
  <c r="AI754" i="53"/>
  <c r="S754" i="53"/>
  <c r="AE750" i="53"/>
  <c r="AQ755" i="53"/>
  <c r="AA755" i="53"/>
  <c r="AH754" i="53"/>
  <c r="R754" i="53"/>
  <c r="AN752" i="53"/>
  <c r="X752" i="53"/>
  <c r="AM751" i="53"/>
  <c r="AE751" i="53"/>
  <c r="W751" i="53"/>
  <c r="AT750" i="53"/>
  <c r="AD750" i="53"/>
  <c r="AJ748" i="53"/>
  <c r="T748" i="53"/>
  <c r="AQ747" i="53"/>
  <c r="AI747" i="53"/>
  <c r="AA747" i="53"/>
  <c r="AH746" i="53"/>
  <c r="R746" i="53"/>
  <c r="AN751" i="53"/>
  <c r="X751" i="53"/>
  <c r="AN744" i="53"/>
  <c r="AM744" i="53"/>
  <c r="AE744" i="53"/>
  <c r="W744" i="53"/>
  <c r="AT743" i="53"/>
  <c r="AL743" i="53"/>
  <c r="AD743" i="53"/>
  <c r="X744" i="53"/>
  <c r="AE743" i="53"/>
  <c r="AI744" i="53"/>
  <c r="S744" i="53"/>
  <c r="R743" i="53"/>
  <c r="AH744" i="53"/>
  <c r="R744" i="53"/>
  <c r="M1208" i="53"/>
  <c r="M1214" i="53"/>
  <c r="M1213" i="53"/>
  <c r="M1212" i="53"/>
  <c r="M1211" i="53"/>
  <c r="M1210" i="53"/>
  <c r="M1209" i="53"/>
  <c r="M1207" i="53"/>
  <c r="M1206" i="53"/>
  <c r="M1205" i="53"/>
  <c r="M1204" i="53"/>
  <c r="M1203" i="53"/>
  <c r="M1202" i="53"/>
  <c r="M1201" i="53"/>
  <c r="M1200" i="53"/>
  <c r="M1199" i="53"/>
  <c r="M1198" i="53"/>
  <c r="M1197" i="53"/>
  <c r="M1196" i="53"/>
  <c r="M1195" i="53"/>
  <c r="M1194" i="53"/>
  <c r="M1193" i="53"/>
  <c r="M1192" i="53"/>
  <c r="M1191" i="53"/>
  <c r="M1190" i="53"/>
  <c r="M1189" i="53"/>
  <c r="M1188" i="53"/>
  <c r="M1187" i="53"/>
  <c r="M1186" i="53"/>
  <c r="M1185" i="53"/>
  <c r="M1184" i="53"/>
  <c r="M1183" i="53"/>
  <c r="M1182" i="53"/>
  <c r="M1181" i="53"/>
  <c r="M1180" i="53"/>
  <c r="M723" i="53"/>
  <c r="P723" i="53" s="1"/>
  <c r="M724" i="53"/>
  <c r="M725" i="53"/>
  <c r="M726" i="53"/>
  <c r="AR726" i="53" s="1"/>
  <c r="M727" i="53"/>
  <c r="AR727" i="53" s="1"/>
  <c r="M728" i="53"/>
  <c r="AR728" i="53" s="1"/>
  <c r="M729" i="53"/>
  <c r="AR729" i="53" s="1"/>
  <c r="M730" i="53"/>
  <c r="M731" i="53"/>
  <c r="AB731" i="53" s="1"/>
  <c r="M732" i="53"/>
  <c r="AB732" i="53" s="1"/>
  <c r="M733" i="53"/>
  <c r="AR733" i="53" s="1"/>
  <c r="M734" i="53"/>
  <c r="M735" i="53"/>
  <c r="AB735" i="53" s="1"/>
  <c r="M736" i="53"/>
  <c r="AB736" i="53" s="1"/>
  <c r="M737" i="53"/>
  <c r="AR737" i="53" s="1"/>
  <c r="M738" i="53"/>
  <c r="M739" i="53"/>
  <c r="AR739" i="53" s="1"/>
  <c r="M740" i="53"/>
  <c r="AB740" i="53" s="1"/>
  <c r="M741" i="53"/>
  <c r="AR741" i="53" s="1"/>
  <c r="M742" i="53"/>
  <c r="AB726" i="53" l="1"/>
  <c r="AE726" i="53" s="1"/>
  <c r="AR731" i="53"/>
  <c r="AS731" i="53" s="1"/>
  <c r="AB741" i="53"/>
  <c r="AE741" i="53" s="1"/>
  <c r="AR735" i="53"/>
  <c r="AT735" i="53" s="1"/>
  <c r="AB739" i="53"/>
  <c r="AE739" i="53" s="1"/>
  <c r="AB733" i="53"/>
  <c r="AC733" i="53" s="1"/>
  <c r="AB727" i="53"/>
  <c r="AE727" i="53" s="1"/>
  <c r="AB729" i="53"/>
  <c r="AC729" i="53" s="1"/>
  <c r="AB737" i="53"/>
  <c r="AD737" i="53" s="1"/>
  <c r="AC736" i="53"/>
  <c r="AD736" i="53"/>
  <c r="AE736" i="53"/>
  <c r="AS728" i="53"/>
  <c r="AT728" i="53"/>
  <c r="AC740" i="53"/>
  <c r="AD740" i="53"/>
  <c r="AE740" i="53"/>
  <c r="AC732" i="53"/>
  <c r="AD732" i="53"/>
  <c r="AE732" i="53"/>
  <c r="AC735" i="53"/>
  <c r="AD735" i="53"/>
  <c r="P738" i="53"/>
  <c r="AF738" i="53"/>
  <c r="Y738" i="53"/>
  <c r="AO738" i="53"/>
  <c r="U738" i="53"/>
  <c r="AK738" i="53"/>
  <c r="P734" i="53"/>
  <c r="AF734" i="53"/>
  <c r="Y734" i="53"/>
  <c r="AO734" i="53"/>
  <c r="U734" i="53"/>
  <c r="AK734" i="53"/>
  <c r="P730" i="53"/>
  <c r="AF730" i="53"/>
  <c r="Y730" i="53"/>
  <c r="AO730" i="53"/>
  <c r="U730" i="53"/>
  <c r="AK730" i="53"/>
  <c r="AS727" i="53"/>
  <c r="AT727" i="53"/>
  <c r="AC731" i="53"/>
  <c r="AD731" i="53"/>
  <c r="P742" i="53"/>
  <c r="AF742" i="53"/>
  <c r="Y742" i="53"/>
  <c r="AO742" i="53"/>
  <c r="U742" i="53"/>
  <c r="AK742" i="53"/>
  <c r="AS739" i="53"/>
  <c r="AT739" i="53"/>
  <c r="AS733" i="53"/>
  <c r="AT733" i="53"/>
  <c r="P725" i="53"/>
  <c r="AF725" i="53"/>
  <c r="Y725" i="53"/>
  <c r="AO725" i="53"/>
  <c r="AB725" i="53"/>
  <c r="AR725" i="53"/>
  <c r="U725" i="53"/>
  <c r="AK725" i="53"/>
  <c r="AB742" i="53"/>
  <c r="AB738" i="53"/>
  <c r="AB734" i="53"/>
  <c r="AB730" i="53"/>
  <c r="AB728" i="53"/>
  <c r="AS741" i="53"/>
  <c r="AT741" i="53"/>
  <c r="P739" i="53"/>
  <c r="AF739" i="53"/>
  <c r="Y739" i="53"/>
  <c r="AO739" i="53"/>
  <c r="U739" i="53"/>
  <c r="AK739" i="53"/>
  <c r="P737" i="53"/>
  <c r="AF737" i="53"/>
  <c r="Y737" i="53"/>
  <c r="AO737" i="53"/>
  <c r="U737" i="53"/>
  <c r="AK737" i="53"/>
  <c r="P735" i="53"/>
  <c r="AF735" i="53"/>
  <c r="Y735" i="53"/>
  <c r="AO735" i="53"/>
  <c r="U735" i="53"/>
  <c r="AK735" i="53"/>
  <c r="P733" i="53"/>
  <c r="AF733" i="53"/>
  <c r="Y733" i="53"/>
  <c r="AO733" i="53"/>
  <c r="U733" i="53"/>
  <c r="AK733" i="53"/>
  <c r="P731" i="53"/>
  <c r="AF731" i="53"/>
  <c r="Y731" i="53"/>
  <c r="AO731" i="53"/>
  <c r="U731" i="53"/>
  <c r="AK731" i="53"/>
  <c r="P729" i="53"/>
  <c r="AF729" i="53"/>
  <c r="Y729" i="53"/>
  <c r="AO729" i="53"/>
  <c r="U729" i="53"/>
  <c r="AK729" i="53"/>
  <c r="P727" i="53"/>
  <c r="AF727" i="53"/>
  <c r="Y727" i="53"/>
  <c r="AO727" i="53"/>
  <c r="U727" i="53"/>
  <c r="AK727" i="53"/>
  <c r="P740" i="53"/>
  <c r="AF740" i="53"/>
  <c r="Y740" i="53"/>
  <c r="AO740" i="53"/>
  <c r="U740" i="53"/>
  <c r="AK740" i="53"/>
  <c r="P736" i="53"/>
  <c r="AF736" i="53"/>
  <c r="Y736" i="53"/>
  <c r="AO736" i="53"/>
  <c r="U736" i="53"/>
  <c r="AK736" i="53"/>
  <c r="P732" i="53"/>
  <c r="AF732" i="53"/>
  <c r="Y732" i="53"/>
  <c r="AO732" i="53"/>
  <c r="U732" i="53"/>
  <c r="AK732" i="53"/>
  <c r="Q723" i="53"/>
  <c r="R723" i="53"/>
  <c r="S723" i="53"/>
  <c r="T723" i="53"/>
  <c r="AS737" i="53"/>
  <c r="AT737" i="53"/>
  <c r="AS729" i="53"/>
  <c r="AT729" i="53"/>
  <c r="P741" i="53"/>
  <c r="AF741" i="53"/>
  <c r="Y741" i="53"/>
  <c r="AO741" i="53"/>
  <c r="U741" i="53"/>
  <c r="AK741" i="53"/>
  <c r="AR742" i="53"/>
  <c r="AR740" i="53"/>
  <c r="AR738" i="53"/>
  <c r="AR736" i="53"/>
  <c r="AR734" i="53"/>
  <c r="AR732" i="53"/>
  <c r="AR730" i="53"/>
  <c r="AS726" i="53"/>
  <c r="AT726" i="53"/>
  <c r="P726" i="53"/>
  <c r="AF726" i="53"/>
  <c r="Y726" i="53"/>
  <c r="AO726" i="53"/>
  <c r="U726" i="53"/>
  <c r="AK726" i="53"/>
  <c r="P724" i="53"/>
  <c r="AF724" i="53"/>
  <c r="Y724" i="53"/>
  <c r="AO724" i="53"/>
  <c r="AB724" i="53"/>
  <c r="AR724" i="53"/>
  <c r="U724" i="53"/>
  <c r="AK724" i="53"/>
  <c r="P728" i="53"/>
  <c r="AF728" i="53"/>
  <c r="Y728" i="53"/>
  <c r="AO728" i="53"/>
  <c r="U728" i="53"/>
  <c r="AK728" i="53"/>
  <c r="AE735" i="53"/>
  <c r="AE731" i="53"/>
  <c r="AK723" i="53"/>
  <c r="U723" i="53"/>
  <c r="AR723" i="53"/>
  <c r="AB723" i="53"/>
  <c r="AO723" i="53"/>
  <c r="Y723" i="53"/>
  <c r="AF723" i="53"/>
  <c r="AD726" i="53" l="1"/>
  <c r="AC726" i="53"/>
  <c r="AE733" i="53"/>
  <c r="AD727" i="53"/>
  <c r="AD739" i="53"/>
  <c r="AC739" i="53"/>
  <c r="AD729" i="53"/>
  <c r="AE729" i="53"/>
  <c r="AE737" i="53"/>
  <c r="AD733" i="53"/>
  <c r="AC727" i="53"/>
  <c r="AT731" i="53"/>
  <c r="AC737" i="53"/>
  <c r="AD741" i="53"/>
  <c r="AC741" i="53"/>
  <c r="AS735" i="53"/>
  <c r="AS723" i="53"/>
  <c r="AT723" i="53"/>
  <c r="Q724" i="53"/>
  <c r="R724" i="53"/>
  <c r="S724" i="53"/>
  <c r="T724" i="53"/>
  <c r="AG736" i="53"/>
  <c r="AI736" i="53"/>
  <c r="AH736" i="53"/>
  <c r="AJ736" i="53"/>
  <c r="AQ727" i="53"/>
  <c r="AP727" i="53"/>
  <c r="AN733" i="53"/>
  <c r="AL733" i="53"/>
  <c r="AM733" i="53"/>
  <c r="AG737" i="53"/>
  <c r="AI737" i="53"/>
  <c r="AH737" i="53"/>
  <c r="AJ737" i="53"/>
  <c r="AC728" i="53"/>
  <c r="AD728" i="53"/>
  <c r="AE728" i="53"/>
  <c r="X723" i="53"/>
  <c r="W723" i="53"/>
  <c r="V723" i="53"/>
  <c r="AN724" i="53"/>
  <c r="AL724" i="53"/>
  <c r="AM724" i="53"/>
  <c r="AN726" i="53"/>
  <c r="AL726" i="53"/>
  <c r="AM726" i="53"/>
  <c r="AS730" i="53"/>
  <c r="AT730" i="53"/>
  <c r="X741" i="53"/>
  <c r="V741" i="53"/>
  <c r="W741" i="53"/>
  <c r="AA732" i="53"/>
  <c r="Z732" i="53"/>
  <c r="Q736" i="53"/>
  <c r="S736" i="53"/>
  <c r="T736" i="53"/>
  <c r="R736" i="53"/>
  <c r="AA727" i="53"/>
  <c r="Z727" i="53"/>
  <c r="Q729" i="53"/>
  <c r="S729" i="53"/>
  <c r="R729" i="53"/>
  <c r="T729" i="53"/>
  <c r="X733" i="53"/>
  <c r="V733" i="53"/>
  <c r="W733" i="53"/>
  <c r="AA735" i="53"/>
  <c r="Z735" i="53"/>
  <c r="Q737" i="53"/>
  <c r="S737" i="53"/>
  <c r="T737" i="53"/>
  <c r="R737" i="53"/>
  <c r="AC730" i="53"/>
  <c r="AD730" i="53"/>
  <c r="AE730" i="53"/>
  <c r="AP725" i="53"/>
  <c r="AQ725" i="53"/>
  <c r="AN742" i="53"/>
  <c r="AL742" i="53"/>
  <c r="AM742" i="53"/>
  <c r="AQ730" i="53"/>
  <c r="AP730" i="53"/>
  <c r="AG734" i="53"/>
  <c r="AI734" i="53"/>
  <c r="AH734" i="53"/>
  <c r="AJ734" i="53"/>
  <c r="Q728" i="53"/>
  <c r="S728" i="53"/>
  <c r="T728" i="53"/>
  <c r="R728" i="53"/>
  <c r="AA734" i="53"/>
  <c r="Z734" i="53"/>
  <c r="AN723" i="53"/>
  <c r="AL723" i="53"/>
  <c r="AM723" i="53"/>
  <c r="X724" i="53"/>
  <c r="V724" i="53"/>
  <c r="W724" i="53"/>
  <c r="X726" i="53"/>
  <c r="V726" i="53"/>
  <c r="W726" i="53"/>
  <c r="AS732" i="53"/>
  <c r="AT732" i="53"/>
  <c r="AQ741" i="53"/>
  <c r="AP741" i="53"/>
  <c r="AG732" i="53"/>
  <c r="AI732" i="53"/>
  <c r="AH732" i="53"/>
  <c r="AJ732" i="53"/>
  <c r="AN740" i="53"/>
  <c r="AL740" i="53"/>
  <c r="AM740" i="53"/>
  <c r="AG727" i="53"/>
  <c r="AI727" i="53"/>
  <c r="AH727" i="53"/>
  <c r="AJ727" i="53"/>
  <c r="AN731" i="53"/>
  <c r="AL731" i="53"/>
  <c r="AM731" i="53"/>
  <c r="AQ733" i="53"/>
  <c r="AP733" i="53"/>
  <c r="AG735" i="53"/>
  <c r="AI735" i="53"/>
  <c r="AH735" i="53"/>
  <c r="AJ735" i="53"/>
  <c r="AN739" i="53"/>
  <c r="AL739" i="53"/>
  <c r="AM739" i="53"/>
  <c r="AC734" i="53"/>
  <c r="AD734" i="53"/>
  <c r="AE734" i="53"/>
  <c r="Z725" i="53"/>
  <c r="AA725" i="53"/>
  <c r="X742" i="53"/>
  <c r="V742" i="53"/>
  <c r="W742" i="53"/>
  <c r="AA730" i="53"/>
  <c r="Z730" i="53"/>
  <c r="Q734" i="53"/>
  <c r="S734" i="53"/>
  <c r="T734" i="53"/>
  <c r="R734" i="53"/>
  <c r="X730" i="53"/>
  <c r="V730" i="53"/>
  <c r="W730" i="53"/>
  <c r="AN728" i="53"/>
  <c r="AL728" i="53"/>
  <c r="AM728" i="53"/>
  <c r="AS724" i="53"/>
  <c r="AT724" i="53"/>
  <c r="AQ726" i="53"/>
  <c r="AP726" i="53"/>
  <c r="AS734" i="53"/>
  <c r="AT734" i="53"/>
  <c r="AA741" i="53"/>
  <c r="Z741" i="53"/>
  <c r="Q732" i="53"/>
  <c r="S732" i="53"/>
  <c r="T732" i="53"/>
  <c r="R732" i="53"/>
  <c r="X740" i="53"/>
  <c r="V740" i="53"/>
  <c r="W740" i="53"/>
  <c r="Q727" i="53"/>
  <c r="S727" i="53"/>
  <c r="R727" i="53"/>
  <c r="T727" i="53"/>
  <c r="X731" i="53"/>
  <c r="V731" i="53"/>
  <c r="W731" i="53"/>
  <c r="AA733" i="53"/>
  <c r="Z733" i="53"/>
  <c r="Q735" i="53"/>
  <c r="S735" i="53"/>
  <c r="T735" i="53"/>
  <c r="R735" i="53"/>
  <c r="X739" i="53"/>
  <c r="V739" i="53"/>
  <c r="W739" i="53"/>
  <c r="AC738" i="53"/>
  <c r="AD738" i="53"/>
  <c r="AE738" i="53"/>
  <c r="AG725" i="53"/>
  <c r="AH725" i="53"/>
  <c r="AI725" i="53"/>
  <c r="AJ725" i="53"/>
  <c r="AQ742" i="53"/>
  <c r="AP742" i="53"/>
  <c r="AG730" i="53"/>
  <c r="AI730" i="53"/>
  <c r="AJ730" i="53"/>
  <c r="AH730" i="53"/>
  <c r="AN738" i="53"/>
  <c r="AL738" i="53"/>
  <c r="AM738" i="53"/>
  <c r="AN741" i="53"/>
  <c r="AL741" i="53"/>
  <c r="AM741" i="53"/>
  <c r="AQ732" i="53"/>
  <c r="AP732" i="53"/>
  <c r="AG729" i="53"/>
  <c r="AI729" i="53"/>
  <c r="AH729" i="53"/>
  <c r="AJ729" i="53"/>
  <c r="AQ735" i="53"/>
  <c r="AP735" i="53"/>
  <c r="AC725" i="53"/>
  <c r="AD725" i="53"/>
  <c r="AE725" i="53"/>
  <c r="Q738" i="53"/>
  <c r="S738" i="53"/>
  <c r="T738" i="53"/>
  <c r="R738" i="53"/>
  <c r="AH723" i="53"/>
  <c r="AG723" i="53"/>
  <c r="AI723" i="53"/>
  <c r="AJ723" i="53"/>
  <c r="X728" i="53"/>
  <c r="V728" i="53"/>
  <c r="W728" i="53"/>
  <c r="AC724" i="53"/>
  <c r="AD724" i="53"/>
  <c r="AE724" i="53"/>
  <c r="Z726" i="53"/>
  <c r="AA726" i="53"/>
  <c r="AS736" i="53"/>
  <c r="AT736" i="53"/>
  <c r="AG741" i="53"/>
  <c r="AI741" i="53"/>
  <c r="AH741" i="53"/>
  <c r="AJ741" i="53"/>
  <c r="AN736" i="53"/>
  <c r="AL736" i="53"/>
  <c r="AM736" i="53"/>
  <c r="AQ740" i="53"/>
  <c r="AP740" i="53"/>
  <c r="AN729" i="53"/>
  <c r="AL729" i="53"/>
  <c r="AM729" i="53"/>
  <c r="AQ731" i="53"/>
  <c r="AP731" i="53"/>
  <c r="AG733" i="53"/>
  <c r="AI733" i="53"/>
  <c r="AH733" i="53"/>
  <c r="AJ733" i="53"/>
  <c r="AN737" i="53"/>
  <c r="AL737" i="53"/>
  <c r="AM737" i="53"/>
  <c r="AQ739" i="53"/>
  <c r="AP739" i="53"/>
  <c r="AC742" i="53"/>
  <c r="AD742" i="53"/>
  <c r="AE742" i="53"/>
  <c r="Q725" i="53"/>
  <c r="R725" i="53"/>
  <c r="S725" i="53"/>
  <c r="T725" i="53"/>
  <c r="AA742" i="53"/>
  <c r="Z742" i="53"/>
  <c r="Q730" i="53"/>
  <c r="S730" i="53"/>
  <c r="T730" i="53"/>
  <c r="R730" i="53"/>
  <c r="X738" i="53"/>
  <c r="V738" i="53"/>
  <c r="W738" i="53"/>
  <c r="Z723" i="53"/>
  <c r="AA723" i="53"/>
  <c r="AQ728" i="53"/>
  <c r="AP728" i="53"/>
  <c r="AP724" i="53"/>
  <c r="AQ724" i="53"/>
  <c r="AG726" i="53"/>
  <c r="AI726" i="53"/>
  <c r="AH726" i="53"/>
  <c r="AJ726" i="53"/>
  <c r="AS738" i="53"/>
  <c r="AT738" i="53"/>
  <c r="Q741" i="53"/>
  <c r="S741" i="53"/>
  <c r="R741" i="53"/>
  <c r="T741" i="53"/>
  <c r="X736" i="53"/>
  <c r="V736" i="53"/>
  <c r="W736" i="53"/>
  <c r="AA740" i="53"/>
  <c r="Z740" i="53"/>
  <c r="X729" i="53"/>
  <c r="V729" i="53"/>
  <c r="W729" i="53"/>
  <c r="AA731" i="53"/>
  <c r="Z731" i="53"/>
  <c r="Q733" i="53"/>
  <c r="S733" i="53"/>
  <c r="R733" i="53"/>
  <c r="T733" i="53"/>
  <c r="X737" i="53"/>
  <c r="V737" i="53"/>
  <c r="W737" i="53"/>
  <c r="AA739" i="53"/>
  <c r="Z739" i="53"/>
  <c r="AN725" i="53"/>
  <c r="AL725" i="53"/>
  <c r="AM725" i="53"/>
  <c r="AG742" i="53"/>
  <c r="AI742" i="53"/>
  <c r="AH742" i="53"/>
  <c r="AJ742" i="53"/>
  <c r="AN734" i="53"/>
  <c r="AL734" i="53"/>
  <c r="AM734" i="53"/>
  <c r="AQ738" i="53"/>
  <c r="AP738" i="53"/>
  <c r="AP723" i="53"/>
  <c r="AQ723" i="53"/>
  <c r="AA728" i="53"/>
  <c r="Z728" i="53"/>
  <c r="Z724" i="53"/>
  <c r="AA724" i="53"/>
  <c r="Q726" i="53"/>
  <c r="R726" i="53"/>
  <c r="S726" i="53"/>
  <c r="T726" i="53"/>
  <c r="AS740" i="53"/>
  <c r="AT740" i="53"/>
  <c r="AN732" i="53"/>
  <c r="AL732" i="53"/>
  <c r="AM732" i="53"/>
  <c r="AQ736" i="53"/>
  <c r="AP736" i="53"/>
  <c r="AG740" i="53"/>
  <c r="AI740" i="53"/>
  <c r="AH740" i="53"/>
  <c r="AJ740" i="53"/>
  <c r="AN727" i="53"/>
  <c r="AL727" i="53"/>
  <c r="AM727" i="53"/>
  <c r="AQ729" i="53"/>
  <c r="AP729" i="53"/>
  <c r="AG731" i="53"/>
  <c r="AI731" i="53"/>
  <c r="AH731" i="53"/>
  <c r="AJ731" i="53"/>
  <c r="AN735" i="53"/>
  <c r="AL735" i="53"/>
  <c r="AM735" i="53"/>
  <c r="AQ737" i="53"/>
  <c r="AP737" i="53"/>
  <c r="AG739" i="53"/>
  <c r="AI739" i="53"/>
  <c r="AH739" i="53"/>
  <c r="AJ739" i="53"/>
  <c r="X725" i="53"/>
  <c r="V725" i="53"/>
  <c r="W725" i="53"/>
  <c r="Q742" i="53"/>
  <c r="S742" i="53"/>
  <c r="T742" i="53"/>
  <c r="R742" i="53"/>
  <c r="X734" i="53"/>
  <c r="V734" i="53"/>
  <c r="W734" i="53"/>
  <c r="AA738" i="53"/>
  <c r="Z738" i="53"/>
  <c r="AC723" i="53"/>
  <c r="AD723" i="53"/>
  <c r="AE723" i="53"/>
  <c r="AG728" i="53"/>
  <c r="AI728" i="53"/>
  <c r="AH728" i="53"/>
  <c r="AJ728" i="53"/>
  <c r="AG724" i="53"/>
  <c r="AH724" i="53"/>
  <c r="AI724" i="53"/>
  <c r="AJ724" i="53"/>
  <c r="AS742" i="53"/>
  <c r="AT742" i="53"/>
  <c r="X732" i="53"/>
  <c r="V732" i="53"/>
  <c r="W732" i="53"/>
  <c r="AA736" i="53"/>
  <c r="Z736" i="53"/>
  <c r="Q740" i="53"/>
  <c r="S740" i="53"/>
  <c r="T740" i="53"/>
  <c r="R740" i="53"/>
  <c r="X727" i="53"/>
  <c r="V727" i="53"/>
  <c r="W727" i="53"/>
  <c r="AA729" i="53"/>
  <c r="Z729" i="53"/>
  <c r="Q731" i="53"/>
  <c r="S731" i="53"/>
  <c r="R731" i="53"/>
  <c r="T731" i="53"/>
  <c r="X735" i="53"/>
  <c r="V735" i="53"/>
  <c r="W735" i="53"/>
  <c r="AA737" i="53"/>
  <c r="Z737" i="53"/>
  <c r="Q739" i="53"/>
  <c r="S739" i="53"/>
  <c r="R739" i="53"/>
  <c r="T739" i="53"/>
  <c r="AS725" i="53"/>
  <c r="AT725" i="53"/>
  <c r="AN730" i="53"/>
  <c r="AL730" i="53"/>
  <c r="AM730" i="53"/>
  <c r="AQ734" i="53"/>
  <c r="AP734" i="53"/>
  <c r="AG738" i="53"/>
  <c r="AI738" i="53"/>
  <c r="AJ738" i="53"/>
  <c r="AH738" i="53"/>
  <c r="M1179" i="53" l="1"/>
  <c r="M1177" i="53"/>
  <c r="M1178" i="53"/>
  <c r="M1176" i="53"/>
  <c r="M1175" i="53"/>
  <c r="M1174" i="53"/>
  <c r="M1173" i="53"/>
  <c r="M1172" i="53"/>
  <c r="M1171" i="53"/>
  <c r="M1170" i="53"/>
  <c r="J1169" i="53"/>
  <c r="M1169" i="53" s="1"/>
  <c r="M1168" i="53"/>
  <c r="M1167" i="53"/>
  <c r="M1166" i="53"/>
  <c r="M1165" i="53"/>
  <c r="M1164" i="53"/>
  <c r="M1163" i="53"/>
  <c r="M1162" i="53"/>
  <c r="M1161" i="53"/>
  <c r="M1160" i="53"/>
  <c r="M1159" i="53"/>
  <c r="J1158" i="53"/>
  <c r="M1158" i="53" s="1"/>
  <c r="J1157" i="53"/>
  <c r="M1157" i="53" s="1"/>
  <c r="M722" i="53"/>
  <c r="AF722" i="53" s="1"/>
  <c r="M721" i="53"/>
  <c r="AB721" i="53" s="1"/>
  <c r="M720" i="53"/>
  <c r="AF720" i="53" s="1"/>
  <c r="M719" i="53"/>
  <c r="AF719" i="53" s="1"/>
  <c r="M718" i="53"/>
  <c r="AK718" i="53" s="1"/>
  <c r="M717" i="53"/>
  <c r="Y717" i="53" s="1"/>
  <c r="Z717" i="53" s="1"/>
  <c r="M716" i="53"/>
  <c r="U716" i="53" s="1"/>
  <c r="M715" i="53"/>
  <c r="Y715" i="53" s="1"/>
  <c r="Z715" i="53" s="1"/>
  <c r="M714" i="53"/>
  <c r="AB714" i="53" s="1"/>
  <c r="M713" i="53"/>
  <c r="Y713" i="53" s="1"/>
  <c r="M712" i="53"/>
  <c r="AB712" i="53" s="1"/>
  <c r="AC712" i="53" s="1"/>
  <c r="M711" i="53"/>
  <c r="AO711" i="53" s="1"/>
  <c r="M710" i="53"/>
  <c r="U710" i="53" s="1"/>
  <c r="M709" i="53"/>
  <c r="Y709" i="53" s="1"/>
  <c r="Z709" i="53" s="1"/>
  <c r="M708" i="53"/>
  <c r="P708" i="53" s="1"/>
  <c r="Q708" i="53" s="1"/>
  <c r="M707" i="53"/>
  <c r="Y707" i="53" s="1"/>
  <c r="Z707" i="53" s="1"/>
  <c r="M706" i="53"/>
  <c r="Y706" i="53" s="1"/>
  <c r="Z706" i="53" s="1"/>
  <c r="M705" i="53"/>
  <c r="AK705" i="53" s="1"/>
  <c r="AL705" i="53" s="1"/>
  <c r="M704" i="53"/>
  <c r="P704" i="53" s="1"/>
  <c r="M703" i="53"/>
  <c r="P703" i="53" s="1"/>
  <c r="M702" i="53"/>
  <c r="P702" i="53" s="1"/>
  <c r="M701" i="53"/>
  <c r="AB701" i="53" s="1"/>
  <c r="M700" i="53"/>
  <c r="AF700" i="53" s="1"/>
  <c r="AG700" i="53" s="1"/>
  <c r="AF715" i="53" l="1"/>
  <c r="AI715" i="53" s="1"/>
  <c r="U714" i="53"/>
  <c r="W714" i="53" s="1"/>
  <c r="AR707" i="53"/>
  <c r="AS707" i="53" s="1"/>
  <c r="AB722" i="53"/>
  <c r="AE722" i="53" s="1"/>
  <c r="U709" i="53"/>
  <c r="V709" i="53" s="1"/>
  <c r="AK704" i="53"/>
  <c r="AN704" i="53" s="1"/>
  <c r="AK717" i="53"/>
  <c r="AL717" i="53" s="1"/>
  <c r="AO700" i="53"/>
  <c r="AQ700" i="53" s="1"/>
  <c r="U717" i="53"/>
  <c r="V717" i="53" s="1"/>
  <c r="AB700" i="53"/>
  <c r="AE700" i="53" s="1"/>
  <c r="AK713" i="53"/>
  <c r="AL713" i="53" s="1"/>
  <c r="AF709" i="53"/>
  <c r="AJ709" i="53" s="1"/>
  <c r="AK706" i="53"/>
  <c r="AN706" i="53" s="1"/>
  <c r="P705" i="53"/>
  <c r="R705" i="53" s="1"/>
  <c r="U722" i="53"/>
  <c r="W722" i="53" s="1"/>
  <c r="AO721" i="53"/>
  <c r="AQ721" i="53" s="1"/>
  <c r="AO716" i="53"/>
  <c r="AP716" i="53" s="1"/>
  <c r="U715" i="53"/>
  <c r="U706" i="53"/>
  <c r="X706" i="53" s="1"/>
  <c r="Y704" i="53"/>
  <c r="Z704" i="53" s="1"/>
  <c r="AK721" i="53"/>
  <c r="AL721" i="53" s="1"/>
  <c r="AO720" i="53"/>
  <c r="AP720" i="53" s="1"/>
  <c r="AB716" i="53"/>
  <c r="AC716" i="53" s="1"/>
  <c r="AR714" i="53"/>
  <c r="AS714" i="53" s="1"/>
  <c r="P712" i="53"/>
  <c r="T712" i="53" s="1"/>
  <c r="P709" i="53"/>
  <c r="S709" i="53" s="1"/>
  <c r="AF707" i="53"/>
  <c r="AH707" i="53" s="1"/>
  <c r="P706" i="53"/>
  <c r="Q706" i="53" s="1"/>
  <c r="AR701" i="53"/>
  <c r="AS701" i="53" s="1"/>
  <c r="U700" i="53"/>
  <c r="X700" i="53" s="1"/>
  <c r="AB720" i="53"/>
  <c r="AC720" i="53" s="1"/>
  <c r="P716" i="53"/>
  <c r="Q716" i="53" s="1"/>
  <c r="AO714" i="53"/>
  <c r="AP714" i="53" s="1"/>
  <c r="AK711" i="53"/>
  <c r="AL711" i="53" s="1"/>
  <c r="AO701" i="53"/>
  <c r="AP701" i="53" s="1"/>
  <c r="P700" i="53"/>
  <c r="Q700" i="53" s="1"/>
  <c r="Y721" i="53"/>
  <c r="U713" i="53"/>
  <c r="V713" i="53" s="1"/>
  <c r="AO719" i="53"/>
  <c r="AP719" i="53" s="1"/>
  <c r="Y714" i="53"/>
  <c r="Z714" i="53" s="1"/>
  <c r="AB711" i="53"/>
  <c r="AE711" i="53" s="1"/>
  <c r="U707" i="53"/>
  <c r="Y701" i="53"/>
  <c r="Z701" i="53" s="1"/>
  <c r="AO722" i="53"/>
  <c r="AP722" i="53" s="1"/>
  <c r="U721" i="53"/>
  <c r="V721" i="53" s="1"/>
  <c r="AK709" i="53"/>
  <c r="AL709" i="53" s="1"/>
  <c r="Y708" i="53"/>
  <c r="AO706" i="53"/>
  <c r="AP706" i="53" s="1"/>
  <c r="AF705" i="53"/>
  <c r="AH705" i="53" s="1"/>
  <c r="AG720" i="53"/>
  <c r="AH720" i="53"/>
  <c r="AI720" i="53"/>
  <c r="AJ720" i="53"/>
  <c r="AP711" i="53"/>
  <c r="AQ711" i="53"/>
  <c r="Z713" i="53"/>
  <c r="AA713" i="53"/>
  <c r="AE714" i="53"/>
  <c r="AC714" i="53"/>
  <c r="AD714" i="53"/>
  <c r="Q703" i="53"/>
  <c r="R703" i="53"/>
  <c r="S703" i="53"/>
  <c r="T703" i="53"/>
  <c r="V716" i="53"/>
  <c r="W716" i="53"/>
  <c r="X716" i="53"/>
  <c r="AJ719" i="53"/>
  <c r="AG719" i="53"/>
  <c r="AH719" i="53"/>
  <c r="AI719" i="53"/>
  <c r="Q704" i="53"/>
  <c r="R704" i="53"/>
  <c r="S704" i="53"/>
  <c r="T704" i="53"/>
  <c r="AD721" i="53"/>
  <c r="AC721" i="53"/>
  <c r="AJ722" i="53"/>
  <c r="AG722" i="53"/>
  <c r="AH722" i="53"/>
  <c r="AI722" i="53"/>
  <c r="AC701" i="53"/>
  <c r="AE701" i="53"/>
  <c r="S702" i="53"/>
  <c r="Q702" i="53"/>
  <c r="R702" i="53"/>
  <c r="T702" i="53"/>
  <c r="V710" i="53"/>
  <c r="X710" i="53"/>
  <c r="AL718" i="53"/>
  <c r="AN718" i="53"/>
  <c r="AB702" i="53"/>
  <c r="AC702" i="53" s="1"/>
  <c r="P711" i="53"/>
  <c r="Y703" i="53"/>
  <c r="AO702" i="53"/>
  <c r="AP702" i="53" s="1"/>
  <c r="Y702" i="53"/>
  <c r="Z702" i="53" s="1"/>
  <c r="AK719" i="53"/>
  <c r="AL719" i="53" s="1"/>
  <c r="P720" i="53"/>
  <c r="AK720" i="53"/>
  <c r="Y720" i="53"/>
  <c r="AR718" i="53"/>
  <c r="AS718" i="53" s="1"/>
  <c r="AF718" i="53"/>
  <c r="AF717" i="53"/>
  <c r="AJ717" i="53" s="1"/>
  <c r="P717" i="53"/>
  <c r="S717" i="53" s="1"/>
  <c r="Y716" i="53"/>
  <c r="AR715" i="53"/>
  <c r="AK714" i="53"/>
  <c r="P714" i="53"/>
  <c r="Q714" i="53" s="1"/>
  <c r="AF713" i="53"/>
  <c r="AH713" i="53" s="1"/>
  <c r="P713" i="53"/>
  <c r="Y711" i="53"/>
  <c r="AB710" i="53"/>
  <c r="AC710" i="53" s="1"/>
  <c r="P710" i="53"/>
  <c r="AK708" i="53"/>
  <c r="AO707" i="53"/>
  <c r="AP707" i="53" s="1"/>
  <c r="AF706" i="53"/>
  <c r="AG706" i="53" s="1"/>
  <c r="AB705" i="53"/>
  <c r="AC705" i="53" s="1"/>
  <c r="U704" i="53"/>
  <c r="AF703" i="53"/>
  <c r="AK702" i="53"/>
  <c r="AM702" i="53" s="1"/>
  <c r="U702" i="53"/>
  <c r="W702" i="53" s="1"/>
  <c r="U701" i="53"/>
  <c r="AK722" i="53"/>
  <c r="AR702" i="53"/>
  <c r="AS702" i="53" s="1"/>
  <c r="Y719" i="53"/>
  <c r="AB718" i="53"/>
  <c r="AC718" i="53" s="1"/>
  <c r="P718" i="53"/>
  <c r="AK716" i="53"/>
  <c r="AO715" i="53"/>
  <c r="AP715" i="53" s="1"/>
  <c r="AF714" i="53"/>
  <c r="AG714" i="53" s="1"/>
  <c r="AR712" i="53"/>
  <c r="AS712" i="53" s="1"/>
  <c r="AR711" i="53"/>
  <c r="U711" i="53"/>
  <c r="V711" i="53" s="1"/>
  <c r="AO710" i="53"/>
  <c r="AR709" i="53"/>
  <c r="AS709" i="53" s="1"/>
  <c r="AB709" i="53"/>
  <c r="AD709" i="53" s="1"/>
  <c r="AR708" i="53"/>
  <c r="AF708" i="53"/>
  <c r="AG708" i="53" s="1"/>
  <c r="P707" i="53"/>
  <c r="T707" i="53" s="1"/>
  <c r="AR705" i="53"/>
  <c r="AF704" i="53"/>
  <c r="AK701" i="53"/>
  <c r="P701" i="53"/>
  <c r="Q701" i="53" s="1"/>
  <c r="P722" i="53"/>
  <c r="U718" i="53"/>
  <c r="W718" i="53" s="1"/>
  <c r="AB719" i="53"/>
  <c r="AK712" i="53"/>
  <c r="AR720" i="53"/>
  <c r="AS720" i="53" s="1"/>
  <c r="AR719" i="53"/>
  <c r="U719" i="53"/>
  <c r="V719" i="53" s="1"/>
  <c r="AO718" i="53"/>
  <c r="AR717" i="53"/>
  <c r="AS717" i="53" s="1"/>
  <c r="AB717" i="53"/>
  <c r="AD717" i="53" s="1"/>
  <c r="AR716" i="53"/>
  <c r="AF716" i="53"/>
  <c r="AG716" i="53" s="1"/>
  <c r="P715" i="53"/>
  <c r="AR713" i="53"/>
  <c r="AB713" i="53"/>
  <c r="U712" i="53"/>
  <c r="AF711" i="53"/>
  <c r="Y710" i="53"/>
  <c r="AO709" i="53"/>
  <c r="AP709" i="53" s="1"/>
  <c r="AB707" i="53"/>
  <c r="Y705" i="53"/>
  <c r="AO704" i="53"/>
  <c r="AB704" i="53"/>
  <c r="AC704" i="53" s="1"/>
  <c r="AO703" i="53"/>
  <c r="AF701" i="53"/>
  <c r="AG701" i="53" s="1"/>
  <c r="AK700" i="53"/>
  <c r="Y700" i="53"/>
  <c r="AR722" i="53"/>
  <c r="Y722" i="53"/>
  <c r="AF721" i="53"/>
  <c r="AJ721" i="53" s="1"/>
  <c r="P721" i="53"/>
  <c r="T721" i="53" s="1"/>
  <c r="P719" i="53"/>
  <c r="Y712" i="53"/>
  <c r="AR710" i="53"/>
  <c r="AS710" i="53" s="1"/>
  <c r="AR703" i="53"/>
  <c r="U720" i="53"/>
  <c r="Y718" i="53"/>
  <c r="AO717" i="53"/>
  <c r="AP717" i="53" s="1"/>
  <c r="AB715" i="53"/>
  <c r="AF712" i="53"/>
  <c r="AK710" i="53"/>
  <c r="AM710" i="53" s="1"/>
  <c r="U708" i="53"/>
  <c r="AK707" i="53"/>
  <c r="AB706" i="53"/>
  <c r="AO705" i="53"/>
  <c r="U705" i="53"/>
  <c r="V705" i="53" s="1"/>
  <c r="AK703" i="53"/>
  <c r="AL703" i="53" s="1"/>
  <c r="AB703" i="53"/>
  <c r="AR700" i="53"/>
  <c r="AR721" i="53"/>
  <c r="AF710" i="53"/>
  <c r="AR704" i="53"/>
  <c r="AS704" i="53" s="1"/>
  <c r="U703" i="53"/>
  <c r="V703" i="53" s="1"/>
  <c r="AK715" i="53"/>
  <c r="AO713" i="53"/>
  <c r="AO712" i="53"/>
  <c r="AO708" i="53"/>
  <c r="AB708" i="53"/>
  <c r="W707" i="53"/>
  <c r="AR706" i="53"/>
  <c r="AF702" i="53"/>
  <c r="AE721" i="53"/>
  <c r="AM718" i="53"/>
  <c r="W710" i="53"/>
  <c r="AA706" i="53"/>
  <c r="AD701" i="53"/>
  <c r="AA715" i="53"/>
  <c r="T708" i="53"/>
  <c r="AA707" i="53"/>
  <c r="AJ700" i="53"/>
  <c r="AE712" i="53"/>
  <c r="S708" i="53"/>
  <c r="AN705" i="53"/>
  <c r="AI700" i="53"/>
  <c r="AA709" i="53"/>
  <c r="AA717" i="53"/>
  <c r="AD712" i="53"/>
  <c r="R708" i="53"/>
  <c r="AM705" i="53"/>
  <c r="AH700" i="53"/>
  <c r="AT712" i="53" l="1"/>
  <c r="AI709" i="53"/>
  <c r="AJ716" i="53"/>
  <c r="S714" i="53"/>
  <c r="AH715" i="53"/>
  <c r="AI706" i="53"/>
  <c r="AI716" i="53"/>
  <c r="AJ701" i="53"/>
  <c r="AQ707" i="53"/>
  <c r="AQ706" i="53"/>
  <c r="V714" i="53"/>
  <c r="AT701" i="53"/>
  <c r="AG715" i="53"/>
  <c r="AT704" i="53"/>
  <c r="S712" i="53"/>
  <c r="AQ722" i="53"/>
  <c r="AD700" i="53"/>
  <c r="AL704" i="53"/>
  <c r="T705" i="53"/>
  <c r="AM704" i="53"/>
  <c r="T717" i="53"/>
  <c r="AM721" i="53"/>
  <c r="AC700" i="53"/>
  <c r="AT707" i="53"/>
  <c r="AC722" i="53"/>
  <c r="T714" i="53"/>
  <c r="AM709" i="53"/>
  <c r="AC711" i="53"/>
  <c r="AQ716" i="53"/>
  <c r="AQ702" i="53"/>
  <c r="AM713" i="53"/>
  <c r="AA714" i="53"/>
  <c r="AN709" i="53"/>
  <c r="AH701" i="53"/>
  <c r="AD710" i="53"/>
  <c r="AT717" i="53"/>
  <c r="AJ708" i="53"/>
  <c r="T700" i="53"/>
  <c r="AJ715" i="53"/>
  <c r="R700" i="53"/>
  <c r="R714" i="53"/>
  <c r="AJ707" i="53"/>
  <c r="AP700" i="53"/>
  <c r="AI708" i="53"/>
  <c r="AD702" i="53"/>
  <c r="AH714" i="53"/>
  <c r="AA701" i="53"/>
  <c r="X714" i="53"/>
  <c r="R706" i="53"/>
  <c r="AI701" i="53"/>
  <c r="AQ709" i="53"/>
  <c r="R716" i="53"/>
  <c r="T716" i="53"/>
  <c r="S706" i="53"/>
  <c r="AE710" i="53"/>
  <c r="T706" i="53"/>
  <c r="X709" i="53"/>
  <c r="AQ701" i="53"/>
  <c r="S700" i="53"/>
  <c r="X713" i="53"/>
  <c r="AA704" i="53"/>
  <c r="X721" i="53"/>
  <c r="AT702" i="53"/>
  <c r="AT720" i="53"/>
  <c r="AD722" i="53"/>
  <c r="AM717" i="53"/>
  <c r="X717" i="53"/>
  <c r="W717" i="53"/>
  <c r="AD705" i="53"/>
  <c r="W713" i="53"/>
  <c r="T709" i="53"/>
  <c r="AQ715" i="53"/>
  <c r="AE702" i="53"/>
  <c r="AN711" i="53"/>
  <c r="W709" i="53"/>
  <c r="AN717" i="53"/>
  <c r="AJ714" i="53"/>
  <c r="X703" i="53"/>
  <c r="AH708" i="53"/>
  <c r="AT710" i="53"/>
  <c r="AN703" i="53"/>
  <c r="AN713" i="53"/>
  <c r="AM711" i="53"/>
  <c r="AQ714" i="53"/>
  <c r="W721" i="53"/>
  <c r="W703" i="53"/>
  <c r="AM719" i="53"/>
  <c r="AI714" i="53"/>
  <c r="AE704" i="53"/>
  <c r="AM703" i="53"/>
  <c r="X722" i="53"/>
  <c r="AD711" i="53"/>
  <c r="AQ720" i="53"/>
  <c r="AQ717" i="53"/>
  <c r="AP721" i="53"/>
  <c r="V722" i="53"/>
  <c r="AD716" i="53"/>
  <c r="AQ719" i="53"/>
  <c r="W700" i="53"/>
  <c r="V700" i="53"/>
  <c r="S716" i="53"/>
  <c r="AG705" i="53"/>
  <c r="AI705" i="53"/>
  <c r="AJ705" i="53"/>
  <c r="AA721" i="53"/>
  <c r="Z721" i="53"/>
  <c r="Q705" i="53"/>
  <c r="S705" i="53"/>
  <c r="AI717" i="53"/>
  <c r="AT714" i="53"/>
  <c r="AM706" i="53"/>
  <c r="AL706" i="53"/>
  <c r="S701" i="53"/>
  <c r="AE720" i="53"/>
  <c r="AT709" i="53"/>
  <c r="Z708" i="53"/>
  <c r="AA708" i="53"/>
  <c r="X707" i="53"/>
  <c r="V707" i="53"/>
  <c r="AI707" i="53"/>
  <c r="AG707" i="53"/>
  <c r="W706" i="53"/>
  <c r="V706" i="53"/>
  <c r="AH709" i="53"/>
  <c r="AG709" i="53"/>
  <c r="AD720" i="53"/>
  <c r="W719" i="53"/>
  <c r="R701" i="53"/>
  <c r="T701" i="53"/>
  <c r="AE716" i="53"/>
  <c r="R709" i="53"/>
  <c r="Q709" i="53"/>
  <c r="X715" i="53"/>
  <c r="V715" i="53"/>
  <c r="W715" i="53"/>
  <c r="AD704" i="53"/>
  <c r="AN721" i="53"/>
  <c r="Q712" i="53"/>
  <c r="R712" i="53"/>
  <c r="AD713" i="53"/>
  <c r="AC713" i="53"/>
  <c r="Q713" i="53"/>
  <c r="T713" i="53"/>
  <c r="S713" i="53"/>
  <c r="R713" i="53"/>
  <c r="W705" i="53"/>
  <c r="AI702" i="53"/>
  <c r="AG702" i="53"/>
  <c r="AH702" i="53"/>
  <c r="AJ702" i="53"/>
  <c r="AE706" i="53"/>
  <c r="AC706" i="53"/>
  <c r="AD706" i="53"/>
  <c r="AG712" i="53"/>
  <c r="AH712" i="53"/>
  <c r="AI712" i="53"/>
  <c r="AJ712" i="53"/>
  <c r="X720" i="53"/>
  <c r="V720" i="53"/>
  <c r="W720" i="53"/>
  <c r="Z722" i="53"/>
  <c r="AA722" i="53"/>
  <c r="Z705" i="53"/>
  <c r="AA705" i="53"/>
  <c r="S715" i="53"/>
  <c r="Q715" i="53"/>
  <c r="R715" i="53"/>
  <c r="AT705" i="53"/>
  <c r="AS705" i="53"/>
  <c r="AT711" i="53"/>
  <c r="AS711" i="53"/>
  <c r="Z720" i="53"/>
  <c r="AA720" i="53"/>
  <c r="AC708" i="53"/>
  <c r="AD708" i="53"/>
  <c r="AE708" i="53"/>
  <c r="AA718" i="53"/>
  <c r="Z718" i="53"/>
  <c r="X704" i="53"/>
  <c r="V704" i="53"/>
  <c r="W704" i="53"/>
  <c r="X705" i="53"/>
  <c r="AT713" i="53"/>
  <c r="AS713" i="53"/>
  <c r="AS700" i="53"/>
  <c r="AT700" i="53"/>
  <c r="AN707" i="53"/>
  <c r="AL707" i="53"/>
  <c r="AM707" i="53"/>
  <c r="AS722" i="53"/>
  <c r="AT722" i="53"/>
  <c r="AE707" i="53"/>
  <c r="AC707" i="53"/>
  <c r="AD707" i="53"/>
  <c r="AN712" i="53"/>
  <c r="AM712" i="53"/>
  <c r="AL712" i="53"/>
  <c r="S707" i="53"/>
  <c r="Q707" i="53"/>
  <c r="R707" i="53"/>
  <c r="AM722" i="53"/>
  <c r="AL722" i="53"/>
  <c r="AN722" i="53"/>
  <c r="AM714" i="53"/>
  <c r="AL714" i="53"/>
  <c r="AN720" i="53"/>
  <c r="AM720" i="53"/>
  <c r="AL720" i="53"/>
  <c r="AA703" i="53"/>
  <c r="Z703" i="53"/>
  <c r="AI721" i="53"/>
  <c r="AG721" i="53"/>
  <c r="AH721" i="53"/>
  <c r="AG704" i="53"/>
  <c r="AH704" i="53"/>
  <c r="AI704" i="53"/>
  <c r="AJ704" i="53"/>
  <c r="AG713" i="53"/>
  <c r="AI713" i="53"/>
  <c r="AJ713" i="53"/>
  <c r="AE718" i="53"/>
  <c r="AE703" i="53"/>
  <c r="AC703" i="53"/>
  <c r="AD703" i="53"/>
  <c r="V708" i="53"/>
  <c r="W708" i="53"/>
  <c r="X708" i="53"/>
  <c r="AC715" i="53"/>
  <c r="AD715" i="53"/>
  <c r="AE715" i="53"/>
  <c r="AT703" i="53"/>
  <c r="AS703" i="53"/>
  <c r="Z700" i="53"/>
  <c r="AA700" i="53"/>
  <c r="AS716" i="53"/>
  <c r="AT716" i="53"/>
  <c r="AE719" i="53"/>
  <c r="AD719" i="53"/>
  <c r="AC719" i="53"/>
  <c r="V701" i="53"/>
  <c r="W701" i="53"/>
  <c r="X701" i="53"/>
  <c r="AL708" i="53"/>
  <c r="AM708" i="53"/>
  <c r="AN708" i="53"/>
  <c r="AT715" i="53"/>
  <c r="AS715" i="53"/>
  <c r="Q720" i="53"/>
  <c r="T720" i="53"/>
  <c r="R720" i="53"/>
  <c r="S720" i="53"/>
  <c r="R711" i="53"/>
  <c r="S711" i="53"/>
  <c r="T711" i="53"/>
  <c r="Q711" i="53"/>
  <c r="AL701" i="53"/>
  <c r="AN701" i="53"/>
  <c r="AM701" i="53"/>
  <c r="AP708" i="53"/>
  <c r="AQ708" i="53"/>
  <c r="AP704" i="53"/>
  <c r="AQ704" i="53"/>
  <c r="AA719" i="53"/>
  <c r="Z719" i="53"/>
  <c r="AS706" i="53"/>
  <c r="AT706" i="53"/>
  <c r="AN700" i="53"/>
  <c r="AL700" i="53"/>
  <c r="AM700" i="53"/>
  <c r="AA710" i="53"/>
  <c r="Z710" i="53"/>
  <c r="AC717" i="53"/>
  <c r="AE717" i="53"/>
  <c r="V718" i="53"/>
  <c r="X718" i="53"/>
  <c r="AS708" i="53"/>
  <c r="AT708" i="53"/>
  <c r="V702" i="53"/>
  <c r="X702" i="53"/>
  <c r="S710" i="53"/>
  <c r="Q710" i="53"/>
  <c r="T710" i="53"/>
  <c r="R710" i="53"/>
  <c r="Z716" i="53"/>
  <c r="AA716" i="53"/>
  <c r="AI718" i="53"/>
  <c r="AH718" i="53"/>
  <c r="AG718" i="53"/>
  <c r="AJ718" i="53"/>
  <c r="AE705" i="53"/>
  <c r="AE713" i="53"/>
  <c r="W711" i="53"/>
  <c r="X719" i="53"/>
  <c r="AP712" i="53"/>
  <c r="AQ712" i="53"/>
  <c r="AI710" i="53"/>
  <c r="AJ710" i="53"/>
  <c r="AH710" i="53"/>
  <c r="AG710" i="53"/>
  <c r="Z712" i="53"/>
  <c r="AA712" i="53"/>
  <c r="AG711" i="53"/>
  <c r="AH711" i="53"/>
  <c r="AI711" i="53"/>
  <c r="AJ711" i="53"/>
  <c r="T722" i="53"/>
  <c r="R722" i="53"/>
  <c r="Q722" i="53"/>
  <c r="S722" i="53"/>
  <c r="AC709" i="53"/>
  <c r="AE709" i="53"/>
  <c r="AM716" i="53"/>
  <c r="AN716" i="53"/>
  <c r="AL716" i="53"/>
  <c r="AL702" i="53"/>
  <c r="AN702" i="53"/>
  <c r="R717" i="53"/>
  <c r="Q717" i="53"/>
  <c r="AN715" i="53"/>
  <c r="AL715" i="53"/>
  <c r="AM715" i="53"/>
  <c r="S721" i="53"/>
  <c r="Q721" i="53"/>
  <c r="R721" i="53"/>
  <c r="AQ710" i="53"/>
  <c r="AP710" i="53"/>
  <c r="AP705" i="53"/>
  <c r="AQ705" i="53"/>
  <c r="AS719" i="53"/>
  <c r="AT719" i="53"/>
  <c r="AD718" i="53"/>
  <c r="AA702" i="53"/>
  <c r="AH716" i="53"/>
  <c r="AN714" i="53"/>
  <c r="AJ706" i="53"/>
  <c r="AH706" i="53"/>
  <c r="AT718" i="53"/>
  <c r="X711" i="53"/>
  <c r="T715" i="53"/>
  <c r="AN719" i="53"/>
  <c r="AP713" i="53"/>
  <c r="AQ713" i="53"/>
  <c r="AT721" i="53"/>
  <c r="AS721" i="53"/>
  <c r="AL710" i="53"/>
  <c r="AN710" i="53"/>
  <c r="S719" i="53"/>
  <c r="T719" i="53"/>
  <c r="Q719" i="53"/>
  <c r="R719" i="53"/>
  <c r="AP703" i="53"/>
  <c r="AQ703" i="53"/>
  <c r="X712" i="53"/>
  <c r="V712" i="53"/>
  <c r="W712" i="53"/>
  <c r="AQ718" i="53"/>
  <c r="AP718" i="53"/>
  <c r="S718" i="53"/>
  <c r="Q718" i="53"/>
  <c r="R718" i="53"/>
  <c r="T718" i="53"/>
  <c r="AJ703" i="53"/>
  <c r="AI703" i="53"/>
  <c r="AG703" i="53"/>
  <c r="AH703" i="53"/>
  <c r="AA711" i="53"/>
  <c r="Z711" i="53"/>
  <c r="AH717" i="53"/>
  <c r="AG717" i="53"/>
  <c r="M1156" i="53"/>
  <c r="M1155" i="53"/>
  <c r="J1154" i="53"/>
  <c r="M1154" i="53" s="1"/>
  <c r="M1153" i="53"/>
  <c r="M1152" i="53"/>
  <c r="M1151" i="53"/>
  <c r="M1150" i="53"/>
  <c r="M1149" i="53"/>
  <c r="M1148" i="53"/>
  <c r="M1147" i="53"/>
  <c r="M1146" i="53"/>
  <c r="M1145" i="53"/>
  <c r="M1144" i="53"/>
  <c r="M1143" i="53"/>
  <c r="M1142" i="53"/>
  <c r="M1140" i="53"/>
  <c r="M1139" i="53"/>
  <c r="M1138" i="53"/>
  <c r="M1134" i="53"/>
  <c r="J1141" i="53"/>
  <c r="M1141" i="53" s="1"/>
  <c r="J1137" i="53"/>
  <c r="M1137" i="53" s="1"/>
  <c r="J1136" i="53"/>
  <c r="M1136" i="53" s="1"/>
  <c r="J1135" i="53"/>
  <c r="M1135" i="53" s="1"/>
  <c r="M1121" i="53"/>
  <c r="M1122" i="53"/>
  <c r="M1125" i="53"/>
  <c r="M1126" i="53"/>
  <c r="M1127" i="53"/>
  <c r="M1128" i="53"/>
  <c r="M1129" i="53"/>
  <c r="M1130" i="53"/>
  <c r="M1131" i="53"/>
  <c r="M1132" i="53"/>
  <c r="M1133" i="53"/>
  <c r="J1124" i="53"/>
  <c r="M1124" i="53" s="1"/>
  <c r="J1123" i="53"/>
  <c r="M1123" i="53" s="1"/>
  <c r="J1120" i="53"/>
  <c r="M1120" i="53" s="1"/>
  <c r="J1119" i="53"/>
  <c r="M1119" i="53" s="1"/>
  <c r="J1118" i="53"/>
  <c r="M1118" i="53" s="1"/>
  <c r="M683" i="53"/>
  <c r="AK683" i="53" s="1"/>
  <c r="M684" i="53"/>
  <c r="U684" i="53" s="1"/>
  <c r="V684" i="53" s="1"/>
  <c r="M685" i="53"/>
  <c r="M686" i="53"/>
  <c r="M688" i="53"/>
  <c r="Y688" i="53" s="1"/>
  <c r="Z688" i="53" s="1"/>
  <c r="M689" i="53"/>
  <c r="Y689" i="53" s="1"/>
  <c r="M690" i="53"/>
  <c r="M691" i="53"/>
  <c r="U691" i="53" s="1"/>
  <c r="V691" i="53" s="1"/>
  <c r="M692" i="53"/>
  <c r="AB692" i="53" s="1"/>
  <c r="M694" i="53"/>
  <c r="M695" i="53"/>
  <c r="AB695" i="53" s="1"/>
  <c r="M696" i="53"/>
  <c r="Y696" i="53" s="1"/>
  <c r="Z696" i="53" s="1"/>
  <c r="M697" i="53"/>
  <c r="Y697" i="53" s="1"/>
  <c r="M698" i="53"/>
  <c r="AB698" i="53" s="1"/>
  <c r="AC698" i="53" s="1"/>
  <c r="M682" i="53"/>
  <c r="U682" i="53" s="1"/>
  <c r="X682" i="53" s="1"/>
  <c r="J699" i="53"/>
  <c r="M699" i="53" s="1"/>
  <c r="J693" i="53"/>
  <c r="M693" i="53" s="1"/>
  <c r="J687" i="53"/>
  <c r="M687" i="53" s="1"/>
  <c r="AR698" i="53" l="1"/>
  <c r="AS698" i="53" s="1"/>
  <c r="P692" i="53"/>
  <c r="R692" i="53" s="1"/>
  <c r="AR691" i="53"/>
  <c r="AS691" i="53" s="1"/>
  <c r="U689" i="53"/>
  <c r="W689" i="53" s="1"/>
  <c r="AR696" i="53"/>
  <c r="AT696" i="53" s="1"/>
  <c r="AF683" i="53"/>
  <c r="AG683" i="53" s="1"/>
  <c r="AO696" i="53"/>
  <c r="AP696" i="53" s="1"/>
  <c r="U696" i="53"/>
  <c r="V696" i="53" s="1"/>
  <c r="P691" i="53"/>
  <c r="Q691" i="53" s="1"/>
  <c r="AK692" i="53"/>
  <c r="AL692" i="53" s="1"/>
  <c r="AK697" i="53"/>
  <c r="AM697" i="53" s="1"/>
  <c r="U688" i="53"/>
  <c r="X688" i="53" s="1"/>
  <c r="AB697" i="53"/>
  <c r="AE697" i="53" s="1"/>
  <c r="AR695" i="53"/>
  <c r="AS695" i="53" s="1"/>
  <c r="Y692" i="53"/>
  <c r="Z692" i="53" s="1"/>
  <c r="AK689" i="53"/>
  <c r="AN689" i="53" s="1"/>
  <c r="AF684" i="53"/>
  <c r="AH684" i="53" s="1"/>
  <c r="U697" i="53"/>
  <c r="V697" i="53" s="1"/>
  <c r="AR688" i="53"/>
  <c r="AT688" i="53" s="1"/>
  <c r="AF695" i="53"/>
  <c r="AG695" i="53" s="1"/>
  <c r="AK691" i="53"/>
  <c r="AL691" i="53" s="1"/>
  <c r="AO688" i="53"/>
  <c r="AP688" i="53" s="1"/>
  <c r="P684" i="53"/>
  <c r="R684" i="53" s="1"/>
  <c r="Y683" i="53"/>
  <c r="AO695" i="53"/>
  <c r="AP695" i="53" s="1"/>
  <c r="AK695" i="53"/>
  <c r="AN695" i="53" s="1"/>
  <c r="AB684" i="53"/>
  <c r="AD684" i="53" s="1"/>
  <c r="Y695" i="53"/>
  <c r="Z695" i="53" s="1"/>
  <c r="AB691" i="53"/>
  <c r="AC691" i="53" s="1"/>
  <c r="AR683" i="53"/>
  <c r="AS683" i="53" s="1"/>
  <c r="U683" i="53"/>
  <c r="V683" i="53" s="1"/>
  <c r="P695" i="53"/>
  <c r="Q695" i="53" s="1"/>
  <c r="AO682" i="53"/>
  <c r="AP682" i="53" s="1"/>
  <c r="AR697" i="53"/>
  <c r="AS697" i="53" s="1"/>
  <c r="AF696" i="53"/>
  <c r="AJ696" i="53" s="1"/>
  <c r="AO692" i="53"/>
  <c r="AP692" i="53" s="1"/>
  <c r="AF688" i="53"/>
  <c r="AH688" i="53" s="1"/>
  <c r="AO683" i="53"/>
  <c r="P682" i="53"/>
  <c r="R682" i="53" s="1"/>
  <c r="AK693" i="53"/>
  <c r="Y693" i="53"/>
  <c r="AA693" i="53" s="1"/>
  <c r="AB693" i="53"/>
  <c r="AE693" i="53" s="1"/>
  <c r="AO693" i="53"/>
  <c r="AQ693" i="53" s="1"/>
  <c r="P693" i="53"/>
  <c r="Q693" i="53" s="1"/>
  <c r="AR693" i="53"/>
  <c r="AF693" i="53"/>
  <c r="AG693" i="53" s="1"/>
  <c r="U693" i="53"/>
  <c r="AO694" i="53"/>
  <c r="AP694" i="53" s="1"/>
  <c r="AB694" i="53"/>
  <c r="Y694" i="53"/>
  <c r="Z694" i="53" s="1"/>
  <c r="AR694" i="53"/>
  <c r="AF694" i="53"/>
  <c r="AJ694" i="53" s="1"/>
  <c r="U698" i="53"/>
  <c r="X698" i="53" s="1"/>
  <c r="AK698" i="53"/>
  <c r="AN698" i="53" s="1"/>
  <c r="Y698" i="53"/>
  <c r="AO698" i="53"/>
  <c r="P698" i="53"/>
  <c r="AF698" i="53"/>
  <c r="Y690" i="53"/>
  <c r="U690" i="53"/>
  <c r="X690" i="53" s="1"/>
  <c r="AK690" i="53"/>
  <c r="AN690" i="53" s="1"/>
  <c r="AO690" i="53"/>
  <c r="P690" i="53"/>
  <c r="AB690" i="53"/>
  <c r="AC690" i="53" s="1"/>
  <c r="AR690" i="53"/>
  <c r="AS690" i="53" s="1"/>
  <c r="AF690" i="53"/>
  <c r="Z689" i="53"/>
  <c r="AA689" i="53"/>
  <c r="AB687" i="53"/>
  <c r="AE687" i="53" s="1"/>
  <c r="AR687" i="53"/>
  <c r="P687" i="53"/>
  <c r="Q687" i="53" s="1"/>
  <c r="AK687" i="53"/>
  <c r="U687" i="53"/>
  <c r="AF687" i="53"/>
  <c r="AG687" i="53" s="1"/>
  <c r="Y687" i="53"/>
  <c r="AO687" i="53"/>
  <c r="AP687" i="53" s="1"/>
  <c r="P685" i="53"/>
  <c r="R685" i="53" s="1"/>
  <c r="AR685" i="53"/>
  <c r="AF685" i="53"/>
  <c r="AH685" i="53" s="1"/>
  <c r="AK685" i="53"/>
  <c r="U685" i="53"/>
  <c r="Y685" i="53"/>
  <c r="AA685" i="53" s="1"/>
  <c r="AB685" i="53"/>
  <c r="AO685" i="53"/>
  <c r="AQ685" i="53" s="1"/>
  <c r="U694" i="53"/>
  <c r="AA697" i="53"/>
  <c r="Z697" i="53"/>
  <c r="AC695" i="53"/>
  <c r="AD695" i="53"/>
  <c r="AK686" i="53"/>
  <c r="AN686" i="53" s="1"/>
  <c r="P686" i="53"/>
  <c r="T686" i="53" s="1"/>
  <c r="AF686" i="53"/>
  <c r="AJ686" i="53" s="1"/>
  <c r="U686" i="53"/>
  <c r="X686" i="53" s="1"/>
  <c r="Y686" i="53"/>
  <c r="Z686" i="53" s="1"/>
  <c r="AO686" i="53"/>
  <c r="AP686" i="53" s="1"/>
  <c r="AB686" i="53"/>
  <c r="AR686" i="53"/>
  <c r="AK694" i="53"/>
  <c r="P694" i="53"/>
  <c r="T694" i="53" s="1"/>
  <c r="Y699" i="53"/>
  <c r="Z699" i="53" s="1"/>
  <c r="P699" i="53"/>
  <c r="Q699" i="53" s="1"/>
  <c r="AR699" i="53"/>
  <c r="AB699" i="53"/>
  <c r="AO699" i="53"/>
  <c r="AP699" i="53" s="1"/>
  <c r="U699" i="53"/>
  <c r="AF699" i="53"/>
  <c r="AG699" i="53" s="1"/>
  <c r="AK699" i="53"/>
  <c r="AD692" i="53"/>
  <c r="AE692" i="53"/>
  <c r="AC692" i="53"/>
  <c r="AM683" i="53"/>
  <c r="AL683" i="53"/>
  <c r="U692" i="53"/>
  <c r="V692" i="53" s="1"/>
  <c r="AK682" i="53"/>
  <c r="AM682" i="53" s="1"/>
  <c r="AB682" i="53"/>
  <c r="AF697" i="53"/>
  <c r="AJ697" i="53" s="1"/>
  <c r="P697" i="53"/>
  <c r="T697" i="53" s="1"/>
  <c r="U695" i="53"/>
  <c r="AF692" i="53"/>
  <c r="AJ692" i="53" s="1"/>
  <c r="AF691" i="53"/>
  <c r="AI691" i="53" s="1"/>
  <c r="AF689" i="53"/>
  <c r="AI689" i="53" s="1"/>
  <c r="P689" i="53"/>
  <c r="T689" i="53" s="1"/>
  <c r="AR684" i="53"/>
  <c r="AB683" i="53"/>
  <c r="AC683" i="53" s="1"/>
  <c r="P683" i="53"/>
  <c r="R683" i="53" s="1"/>
  <c r="AB696" i="53"/>
  <c r="AC696" i="53" s="1"/>
  <c r="P696" i="53"/>
  <c r="AR692" i="53"/>
  <c r="Y691" i="53"/>
  <c r="AB688" i="53"/>
  <c r="P688" i="53"/>
  <c r="AK684" i="53"/>
  <c r="AL684" i="53" s="1"/>
  <c r="Y684" i="53"/>
  <c r="AR682" i="53"/>
  <c r="AF682" i="53"/>
  <c r="AR689" i="53"/>
  <c r="AS689" i="53" s="1"/>
  <c r="AB689" i="53"/>
  <c r="AE689" i="53" s="1"/>
  <c r="Y682" i="53"/>
  <c r="AO684" i="53"/>
  <c r="AO697" i="53"/>
  <c r="AK696" i="53"/>
  <c r="AN696" i="53" s="1"/>
  <c r="AO691" i="53"/>
  <c r="AO689" i="53"/>
  <c r="AK688" i="53"/>
  <c r="AE698" i="53"/>
  <c r="X691" i="53"/>
  <c r="AN683" i="53"/>
  <c r="W682" i="53"/>
  <c r="AD698" i="53"/>
  <c r="W691" i="53"/>
  <c r="X684" i="53"/>
  <c r="V682" i="53"/>
  <c r="AA696" i="53"/>
  <c r="AA688" i="53"/>
  <c r="W684" i="53"/>
  <c r="AE695" i="53"/>
  <c r="AI695" i="53" l="1"/>
  <c r="V689" i="53"/>
  <c r="AH699" i="53"/>
  <c r="X689" i="53"/>
  <c r="AT698" i="53"/>
  <c r="AA695" i="53"/>
  <c r="R691" i="53"/>
  <c r="AT691" i="53"/>
  <c r="AN692" i="53"/>
  <c r="AJ695" i="53"/>
  <c r="S692" i="53"/>
  <c r="Q692" i="53"/>
  <c r="AH695" i="53"/>
  <c r="AQ695" i="53"/>
  <c r="S691" i="53"/>
  <c r="AT697" i="53"/>
  <c r="T692" i="53"/>
  <c r="AD683" i="53"/>
  <c r="AD697" i="53"/>
  <c r="AN691" i="53"/>
  <c r="AC697" i="53"/>
  <c r="AS688" i="53"/>
  <c r="AI683" i="53"/>
  <c r="AE691" i="53"/>
  <c r="AM684" i="53"/>
  <c r="AD691" i="53"/>
  <c r="AM691" i="53"/>
  <c r="AS696" i="53"/>
  <c r="W683" i="53"/>
  <c r="AL698" i="53"/>
  <c r="AI697" i="53"/>
  <c r="AQ696" i="53"/>
  <c r="AM689" i="53"/>
  <c r="X696" i="53"/>
  <c r="AH686" i="53"/>
  <c r="AL689" i="53"/>
  <c r="AJ683" i="53"/>
  <c r="AM698" i="53"/>
  <c r="AJ689" i="53"/>
  <c r="X683" i="53"/>
  <c r="AD690" i="53"/>
  <c r="Q684" i="53"/>
  <c r="AA694" i="53"/>
  <c r="AI696" i="53"/>
  <c r="AT695" i="53"/>
  <c r="AG696" i="53"/>
  <c r="T691" i="53"/>
  <c r="AH683" i="53"/>
  <c r="T684" i="53"/>
  <c r="AT690" i="53"/>
  <c r="S684" i="53"/>
  <c r="W696" i="53"/>
  <c r="AM692" i="53"/>
  <c r="AG692" i="53"/>
  <c r="AQ682" i="53"/>
  <c r="AL695" i="53"/>
  <c r="T699" i="53"/>
  <c r="R695" i="53"/>
  <c r="AQ687" i="53"/>
  <c r="R694" i="53"/>
  <c r="AH693" i="53"/>
  <c r="AL697" i="53"/>
  <c r="AN697" i="53"/>
  <c r="AM695" i="53"/>
  <c r="S695" i="53"/>
  <c r="S694" i="53"/>
  <c r="AI684" i="53"/>
  <c r="W688" i="53"/>
  <c r="S683" i="53"/>
  <c r="W690" i="53"/>
  <c r="V688" i="53"/>
  <c r="AP685" i="53"/>
  <c r="AA686" i="53"/>
  <c r="AM690" i="53"/>
  <c r="T687" i="53"/>
  <c r="Q682" i="53"/>
  <c r="T682" i="53"/>
  <c r="AQ683" i="53"/>
  <c r="AP683" i="53"/>
  <c r="AA683" i="53"/>
  <c r="Z683" i="53"/>
  <c r="AH687" i="53"/>
  <c r="Q694" i="53"/>
  <c r="AE683" i="53"/>
  <c r="AL690" i="53"/>
  <c r="V698" i="53"/>
  <c r="AG684" i="53"/>
  <c r="AJ687" i="53"/>
  <c r="T695" i="53"/>
  <c r="W698" i="53"/>
  <c r="AQ692" i="53"/>
  <c r="AG688" i="53"/>
  <c r="AI688" i="53"/>
  <c r="AJ688" i="53"/>
  <c r="Z685" i="53"/>
  <c r="AA692" i="53"/>
  <c r="S682" i="53"/>
  <c r="S697" i="53"/>
  <c r="AQ688" i="53"/>
  <c r="AN684" i="53"/>
  <c r="AH694" i="53"/>
  <c r="AG685" i="53"/>
  <c r="Z693" i="53"/>
  <c r="R699" i="53"/>
  <c r="AC684" i="53"/>
  <c r="AE684" i="53"/>
  <c r="AJ684" i="53"/>
  <c r="AT683" i="53"/>
  <c r="S687" i="53"/>
  <c r="X692" i="53"/>
  <c r="S686" i="53"/>
  <c r="AE690" i="53"/>
  <c r="AP693" i="53"/>
  <c r="S699" i="53"/>
  <c r="AH696" i="53"/>
  <c r="W697" i="53"/>
  <c r="X697" i="53"/>
  <c r="AL688" i="53"/>
  <c r="AM688" i="53"/>
  <c r="Q688" i="53"/>
  <c r="R688" i="53"/>
  <c r="S688" i="53"/>
  <c r="T688" i="53"/>
  <c r="AS684" i="53"/>
  <c r="AT684" i="53"/>
  <c r="AG697" i="53"/>
  <c r="AH697" i="53"/>
  <c r="AL694" i="53"/>
  <c r="AM694" i="53"/>
  <c r="W685" i="53"/>
  <c r="V685" i="53"/>
  <c r="X685" i="53"/>
  <c r="AA687" i="53"/>
  <c r="Z687" i="53"/>
  <c r="AL693" i="53"/>
  <c r="AM693" i="53"/>
  <c r="AN693" i="53"/>
  <c r="AJ699" i="53"/>
  <c r="AP689" i="53"/>
  <c r="AQ689" i="53"/>
  <c r="AD688" i="53"/>
  <c r="AE688" i="53"/>
  <c r="Q689" i="53"/>
  <c r="R689" i="53"/>
  <c r="AD682" i="53"/>
  <c r="AE682" i="53"/>
  <c r="AC682" i="53"/>
  <c r="X699" i="53"/>
  <c r="V699" i="53"/>
  <c r="W699" i="53"/>
  <c r="AL685" i="53"/>
  <c r="AM685" i="53"/>
  <c r="AN685" i="53"/>
  <c r="Z690" i="53"/>
  <c r="AA690" i="53"/>
  <c r="V693" i="53"/>
  <c r="W693" i="53"/>
  <c r="X693" i="53"/>
  <c r="S689" i="53"/>
  <c r="AG694" i="53"/>
  <c r="AI687" i="53"/>
  <c r="AC688" i="53"/>
  <c r="AQ691" i="53"/>
  <c r="AP691" i="53"/>
  <c r="AA691" i="53"/>
  <c r="Z691" i="53"/>
  <c r="AG689" i="53"/>
  <c r="AH689" i="53"/>
  <c r="AN682" i="53"/>
  <c r="AL682" i="53"/>
  <c r="AL686" i="53"/>
  <c r="AM686" i="53"/>
  <c r="AI685" i="53"/>
  <c r="AJ685" i="53"/>
  <c r="W687" i="53"/>
  <c r="V687" i="53"/>
  <c r="X687" i="53"/>
  <c r="AH690" i="53"/>
  <c r="AI690" i="53"/>
  <c r="AJ690" i="53"/>
  <c r="AG690" i="53"/>
  <c r="AH698" i="53"/>
  <c r="AG698" i="53"/>
  <c r="AI698" i="53"/>
  <c r="AJ698" i="53"/>
  <c r="AI693" i="53"/>
  <c r="AJ693" i="53"/>
  <c r="AT692" i="53"/>
  <c r="AS692" i="53"/>
  <c r="AG691" i="53"/>
  <c r="AH691" i="53"/>
  <c r="AJ691" i="53"/>
  <c r="AC699" i="53"/>
  <c r="AD699" i="53"/>
  <c r="AE699" i="53"/>
  <c r="AT686" i="53"/>
  <c r="AS686" i="53"/>
  <c r="AS685" i="53"/>
  <c r="AT685" i="53"/>
  <c r="AL687" i="53"/>
  <c r="AM687" i="53"/>
  <c r="AN687" i="53"/>
  <c r="R698" i="53"/>
  <c r="Q698" i="53"/>
  <c r="T698" i="53"/>
  <c r="S698" i="53"/>
  <c r="AC689" i="53"/>
  <c r="AL696" i="53"/>
  <c r="AM696" i="53"/>
  <c r="AS682" i="53"/>
  <c r="AT682" i="53"/>
  <c r="Q696" i="53"/>
  <c r="S696" i="53"/>
  <c r="T696" i="53"/>
  <c r="R696" i="53"/>
  <c r="AS699" i="53"/>
  <c r="AT699" i="53"/>
  <c r="AD686" i="53"/>
  <c r="AE686" i="53"/>
  <c r="AC686" i="53"/>
  <c r="V694" i="53"/>
  <c r="W694" i="53"/>
  <c r="S685" i="53"/>
  <c r="T685" i="53"/>
  <c r="AP698" i="53"/>
  <c r="AQ698" i="53"/>
  <c r="S693" i="53"/>
  <c r="T693" i="53"/>
  <c r="X694" i="53"/>
  <c r="Q686" i="53"/>
  <c r="Q685" i="53"/>
  <c r="V690" i="53"/>
  <c r="AD689" i="53"/>
  <c r="AI694" i="53"/>
  <c r="AA699" i="53"/>
  <c r="AQ697" i="53"/>
  <c r="AP697" i="53"/>
  <c r="AD696" i="53"/>
  <c r="AE696" i="53"/>
  <c r="AH692" i="53"/>
  <c r="AI692" i="53"/>
  <c r="AS687" i="53"/>
  <c r="AT687" i="53"/>
  <c r="S690" i="53"/>
  <c r="T690" i="53"/>
  <c r="Q690" i="53"/>
  <c r="R690" i="53"/>
  <c r="Z698" i="53"/>
  <c r="AA698" i="53"/>
  <c r="AT694" i="53"/>
  <c r="AS694" i="53"/>
  <c r="AH682" i="53"/>
  <c r="AG682" i="53"/>
  <c r="AI682" i="53"/>
  <c r="AJ682" i="53"/>
  <c r="AS693" i="53"/>
  <c r="AT693" i="53"/>
  <c r="AN694" i="53"/>
  <c r="AG686" i="53"/>
  <c r="AI686" i="53"/>
  <c r="AQ694" i="53"/>
  <c r="AI699" i="53"/>
  <c r="AP684" i="53"/>
  <c r="AQ684" i="53"/>
  <c r="Z684" i="53"/>
  <c r="AA684" i="53"/>
  <c r="Q683" i="53"/>
  <c r="T683" i="53"/>
  <c r="W695" i="53"/>
  <c r="V695" i="53"/>
  <c r="X695" i="53"/>
  <c r="AC685" i="53"/>
  <c r="AD685" i="53"/>
  <c r="AC687" i="53"/>
  <c r="AD687" i="53"/>
  <c r="AP690" i="53"/>
  <c r="AQ690" i="53"/>
  <c r="AC693" i="53"/>
  <c r="AD693" i="53"/>
  <c r="AN688" i="53"/>
  <c r="AE685" i="53"/>
  <c r="R687" i="53"/>
  <c r="W692" i="53"/>
  <c r="R686" i="53"/>
  <c r="AQ686" i="53"/>
  <c r="AT689" i="53"/>
  <c r="R693" i="53"/>
  <c r="AQ699" i="53"/>
  <c r="Z682" i="53"/>
  <c r="AA682" i="53"/>
  <c r="Q697" i="53"/>
  <c r="R697" i="53"/>
  <c r="AL699" i="53"/>
  <c r="AM699" i="53"/>
  <c r="AN699" i="53"/>
  <c r="V686" i="53"/>
  <c r="W686" i="53"/>
  <c r="AD694" i="53"/>
  <c r="AC694" i="53"/>
  <c r="AE694" i="53"/>
  <c r="C25" i="42" l="1"/>
  <c r="C24" i="42"/>
  <c r="C23" i="42"/>
  <c r="C22" i="42"/>
  <c r="C17" i="42"/>
  <c r="C16" i="42"/>
  <c r="C15" i="42"/>
  <c r="C14" i="42"/>
  <c r="C13" i="42"/>
  <c r="C12" i="42"/>
  <c r="C11" i="42"/>
  <c r="C10" i="42"/>
  <c r="C9" i="42"/>
  <c r="C8" i="42"/>
  <c r="L195" i="13"/>
  <c r="L15" i="13"/>
  <c r="C10" i="58"/>
  <c r="G16" i="13"/>
  <c r="M1103" i="53" l="1"/>
  <c r="M1102" i="53"/>
  <c r="M1101" i="53"/>
  <c r="O785" i="53" l="1"/>
  <c r="D4" i="58" l="1"/>
  <c r="L61" i="13" s="1"/>
  <c r="D8" i="58"/>
  <c r="L117" i="13" s="1"/>
  <c r="D5" i="58"/>
  <c r="L72" i="13" s="1"/>
  <c r="D9" i="58"/>
  <c r="L128" i="13" s="1"/>
  <c r="D3" i="58"/>
  <c r="L26" i="13" s="1"/>
  <c r="D7" i="58"/>
  <c r="L106" i="13" s="1"/>
  <c r="D6" i="58"/>
  <c r="L83" i="13" s="1"/>
  <c r="P574" i="53"/>
  <c r="R574" i="53" s="1"/>
  <c r="U574" i="53"/>
  <c r="V574" i="53" s="1"/>
  <c r="Y574" i="53"/>
  <c r="Z574" i="53" s="1"/>
  <c r="AB574" i="53"/>
  <c r="AC574" i="53" s="1"/>
  <c r="AF574" i="53"/>
  <c r="AK574" i="53"/>
  <c r="AL574" i="53" s="1"/>
  <c r="AO574" i="53"/>
  <c r="AR574" i="53"/>
  <c r="AS574" i="53" s="1"/>
  <c r="P575" i="53"/>
  <c r="Q575" i="53" s="1"/>
  <c r="U575" i="53"/>
  <c r="V575" i="53" s="1"/>
  <c r="Y575" i="53"/>
  <c r="Z575" i="53" s="1"/>
  <c r="AB575" i="53"/>
  <c r="AF575" i="53"/>
  <c r="AG575" i="53" s="1"/>
  <c r="AK575" i="53"/>
  <c r="AL575" i="53" s="1"/>
  <c r="AO575" i="53"/>
  <c r="AP575" i="53" s="1"/>
  <c r="AR575" i="53"/>
  <c r="P576" i="53"/>
  <c r="Q576" i="53" s="1"/>
  <c r="U576" i="53"/>
  <c r="Y576" i="53"/>
  <c r="AA576" i="53" s="1"/>
  <c r="AB576" i="53"/>
  <c r="AC576" i="53" s="1"/>
  <c r="AF576" i="53"/>
  <c r="AG576" i="53" s="1"/>
  <c r="AK576" i="53"/>
  <c r="AO576" i="53"/>
  <c r="AR576" i="53"/>
  <c r="AT576" i="53" s="1"/>
  <c r="P577" i="53"/>
  <c r="Q577" i="53" s="1"/>
  <c r="U577" i="53"/>
  <c r="V577" i="53" s="1"/>
  <c r="Y577" i="53"/>
  <c r="Z577" i="53" s="1"/>
  <c r="AB577" i="53"/>
  <c r="AE577" i="53" s="1"/>
  <c r="AF577" i="53"/>
  <c r="AK577" i="53"/>
  <c r="AL577" i="53" s="1"/>
  <c r="AO577" i="53"/>
  <c r="AP577" i="53" s="1"/>
  <c r="AR577" i="53"/>
  <c r="AS577" i="53" s="1"/>
  <c r="P578" i="53"/>
  <c r="Q578" i="53" s="1"/>
  <c r="U578" i="53"/>
  <c r="Y578" i="53"/>
  <c r="Z578" i="53" s="1"/>
  <c r="AB578" i="53"/>
  <c r="AC578" i="53" s="1"/>
  <c r="AF578" i="53"/>
  <c r="AK578" i="53"/>
  <c r="AN578" i="53" s="1"/>
  <c r="AO578" i="53"/>
  <c r="AP578" i="53" s="1"/>
  <c r="AR578" i="53"/>
  <c r="P579" i="53"/>
  <c r="T579" i="53" s="1"/>
  <c r="U579" i="53"/>
  <c r="W579" i="53" s="1"/>
  <c r="Y579" i="53"/>
  <c r="Z579" i="53" s="1"/>
  <c r="AB579" i="53"/>
  <c r="AD579" i="53" s="1"/>
  <c r="AF579" i="53"/>
  <c r="AJ579" i="53" s="1"/>
  <c r="AK579" i="53"/>
  <c r="AL579" i="53" s="1"/>
  <c r="AO579" i="53"/>
  <c r="AP579" i="53" s="1"/>
  <c r="AR579" i="53"/>
  <c r="AT579" i="53" s="1"/>
  <c r="P580" i="53"/>
  <c r="Q580" i="53" s="1"/>
  <c r="U580" i="53"/>
  <c r="W580" i="53" s="1"/>
  <c r="Y580" i="53"/>
  <c r="AB580" i="53"/>
  <c r="AF580" i="53"/>
  <c r="AG580" i="53" s="1"/>
  <c r="AK580" i="53"/>
  <c r="AL580" i="53" s="1"/>
  <c r="AO580" i="53"/>
  <c r="AR580" i="53"/>
  <c r="AS580" i="53" s="1"/>
  <c r="P581" i="53"/>
  <c r="Q581" i="53" s="1"/>
  <c r="U581" i="53"/>
  <c r="V581" i="53" s="1"/>
  <c r="Y581" i="53"/>
  <c r="AA581" i="53" s="1"/>
  <c r="AB581" i="53"/>
  <c r="AC581" i="53" s="1"/>
  <c r="AF581" i="53"/>
  <c r="AH581" i="53" s="1"/>
  <c r="AK581" i="53"/>
  <c r="AL581" i="53" s="1"/>
  <c r="AO581" i="53"/>
  <c r="AR581" i="53"/>
  <c r="AS581" i="53" s="1"/>
  <c r="P582" i="53"/>
  <c r="T582" i="53" s="1"/>
  <c r="U582" i="53"/>
  <c r="V582" i="53" s="1"/>
  <c r="Y582" i="53"/>
  <c r="AA582" i="53" s="1"/>
  <c r="AB582" i="53"/>
  <c r="AC582" i="53" s="1"/>
  <c r="AF582" i="53"/>
  <c r="AJ582" i="53" s="1"/>
  <c r="AK582" i="53"/>
  <c r="AM582" i="53" s="1"/>
  <c r="AO582" i="53"/>
  <c r="AR582" i="53"/>
  <c r="AS582" i="53" s="1"/>
  <c r="P583" i="53"/>
  <c r="Q583" i="53" s="1"/>
  <c r="U583" i="53"/>
  <c r="V583" i="53" s="1"/>
  <c r="Y583" i="53"/>
  <c r="AA583" i="53" s="1"/>
  <c r="AB583" i="53"/>
  <c r="AF583" i="53"/>
  <c r="AH583" i="53" s="1"/>
  <c r="AK583" i="53"/>
  <c r="AL583" i="53" s="1"/>
  <c r="AO583" i="53"/>
  <c r="AR583" i="53"/>
  <c r="P584" i="53"/>
  <c r="Q584" i="53" s="1"/>
  <c r="U584" i="53"/>
  <c r="Y584" i="53"/>
  <c r="Z584" i="53" s="1"/>
  <c r="AB584" i="53"/>
  <c r="AC584" i="53" s="1"/>
  <c r="AF584" i="53"/>
  <c r="AJ584" i="53" s="1"/>
  <c r="AK584" i="53"/>
  <c r="AO584" i="53"/>
  <c r="AQ584" i="53" s="1"/>
  <c r="AR584" i="53"/>
  <c r="P585" i="53"/>
  <c r="Q585" i="53" s="1"/>
  <c r="U585" i="53"/>
  <c r="V585" i="53" s="1"/>
  <c r="Y585" i="53"/>
  <c r="Z585" i="53" s="1"/>
  <c r="AB585" i="53"/>
  <c r="AE585" i="53" s="1"/>
  <c r="AF585" i="53"/>
  <c r="AG585" i="53" s="1"/>
  <c r="AK585" i="53"/>
  <c r="AL585" i="53" s="1"/>
  <c r="AO585" i="53"/>
  <c r="AR585" i="53"/>
  <c r="AT585" i="53" s="1"/>
  <c r="P586" i="53"/>
  <c r="T586" i="53" s="1"/>
  <c r="U586" i="53"/>
  <c r="Y586" i="53"/>
  <c r="AA586" i="53" s="1"/>
  <c r="AB586" i="53"/>
  <c r="AF586" i="53"/>
  <c r="AG586" i="53" s="1"/>
  <c r="AK586" i="53"/>
  <c r="AN586" i="53" s="1"/>
  <c r="AO586" i="53"/>
  <c r="AR586" i="53"/>
  <c r="AS586" i="53" s="1"/>
  <c r="P587" i="53"/>
  <c r="U587" i="53"/>
  <c r="W587" i="53" s="1"/>
  <c r="Y587" i="53"/>
  <c r="AB587" i="53"/>
  <c r="AF587" i="53"/>
  <c r="AJ587" i="53" s="1"/>
  <c r="AK587" i="53"/>
  <c r="AN587" i="53" s="1"/>
  <c r="AO587" i="53"/>
  <c r="AR587" i="53"/>
  <c r="P588" i="53"/>
  <c r="U588" i="53"/>
  <c r="V588" i="53" s="1"/>
  <c r="Y588" i="53"/>
  <c r="AB588" i="53"/>
  <c r="AE588" i="53" s="1"/>
  <c r="AF588" i="53"/>
  <c r="AG588" i="53" s="1"/>
  <c r="AK588" i="53"/>
  <c r="AN588" i="53" s="1"/>
  <c r="AO588" i="53"/>
  <c r="AR588" i="53"/>
  <c r="AT588" i="53" s="1"/>
  <c r="P589" i="53"/>
  <c r="U589" i="53"/>
  <c r="Y589" i="53"/>
  <c r="AA589" i="53" s="1"/>
  <c r="AB589" i="53"/>
  <c r="AC589" i="53" s="1"/>
  <c r="AF589" i="53"/>
  <c r="AH589" i="53" s="1"/>
  <c r="AK589" i="53"/>
  <c r="AL589" i="53" s="1"/>
  <c r="AO589" i="53"/>
  <c r="AR589" i="53"/>
  <c r="P590" i="53"/>
  <c r="T590" i="53" s="1"/>
  <c r="U590" i="53"/>
  <c r="V590" i="53" s="1"/>
  <c r="Y590" i="53"/>
  <c r="Z590" i="53" s="1"/>
  <c r="AB590" i="53"/>
  <c r="AC590" i="53" s="1"/>
  <c r="AF590" i="53"/>
  <c r="AK590" i="53"/>
  <c r="AO590" i="53"/>
  <c r="AQ590" i="53" s="1"/>
  <c r="AR590" i="53"/>
  <c r="AS590" i="53" s="1"/>
  <c r="P591" i="53"/>
  <c r="T591" i="53" s="1"/>
  <c r="U591" i="53"/>
  <c r="Y591" i="53"/>
  <c r="AA591" i="53" s="1"/>
  <c r="AB591" i="53"/>
  <c r="AF591" i="53"/>
  <c r="AJ591" i="53" s="1"/>
  <c r="AK591" i="53"/>
  <c r="AL591" i="53" s="1"/>
  <c r="AO591" i="53"/>
  <c r="AR591" i="53"/>
  <c r="P592" i="53"/>
  <c r="Q592" i="53" s="1"/>
  <c r="U592" i="53"/>
  <c r="Y592" i="53"/>
  <c r="AA592" i="53" s="1"/>
  <c r="AB592" i="53"/>
  <c r="AF592" i="53"/>
  <c r="AH592" i="53" s="1"/>
  <c r="AK592" i="53"/>
  <c r="AO592" i="53"/>
  <c r="AR592" i="53"/>
  <c r="AT592" i="53" s="1"/>
  <c r="P593" i="53"/>
  <c r="T593" i="53" s="1"/>
  <c r="U593" i="53"/>
  <c r="V593" i="53" s="1"/>
  <c r="Y593" i="53"/>
  <c r="AA593" i="53" s="1"/>
  <c r="AB593" i="53"/>
  <c r="AF593" i="53"/>
  <c r="AG593" i="53" s="1"/>
  <c r="AK593" i="53"/>
  <c r="AL593" i="53" s="1"/>
  <c r="AO593" i="53"/>
  <c r="AR593" i="53"/>
  <c r="AS593" i="53" s="1"/>
  <c r="P594" i="53"/>
  <c r="U594" i="53"/>
  <c r="X594" i="53" s="1"/>
  <c r="Y594" i="53"/>
  <c r="Z594" i="53" s="1"/>
  <c r="AB594" i="53"/>
  <c r="AC594" i="53" s="1"/>
  <c r="AF594" i="53"/>
  <c r="AH594" i="53" s="1"/>
  <c r="AK594" i="53"/>
  <c r="AN594" i="53" s="1"/>
  <c r="AO594" i="53"/>
  <c r="AR594" i="53"/>
  <c r="AT594" i="53" s="1"/>
  <c r="P595" i="53"/>
  <c r="T595" i="53" s="1"/>
  <c r="U595" i="53"/>
  <c r="V595" i="53" s="1"/>
  <c r="Y595" i="53"/>
  <c r="AA595" i="53" s="1"/>
  <c r="AB595" i="53"/>
  <c r="AF595" i="53"/>
  <c r="AJ595" i="53" s="1"/>
  <c r="AK595" i="53"/>
  <c r="AL595" i="53" s="1"/>
  <c r="AO595" i="53"/>
  <c r="AQ595" i="53" s="1"/>
  <c r="AR595" i="53"/>
  <c r="AS595" i="53" s="1"/>
  <c r="P596" i="53"/>
  <c r="U596" i="53"/>
  <c r="V596" i="53" s="1"/>
  <c r="Y596" i="53"/>
  <c r="AB596" i="53"/>
  <c r="AC596" i="53" s="1"/>
  <c r="AF596" i="53"/>
  <c r="AG596" i="53" s="1"/>
  <c r="AK596" i="53"/>
  <c r="AL596" i="53" s="1"/>
  <c r="AO596" i="53"/>
  <c r="AR596" i="53"/>
  <c r="AS596" i="53" s="1"/>
  <c r="P597" i="53"/>
  <c r="Q597" i="53" s="1"/>
  <c r="U597" i="53"/>
  <c r="V597" i="53" s="1"/>
  <c r="Y597" i="53"/>
  <c r="AB597" i="53"/>
  <c r="AD597" i="53" s="1"/>
  <c r="AF597" i="53"/>
  <c r="AH597" i="53" s="1"/>
  <c r="AK597" i="53"/>
  <c r="AN597" i="53" s="1"/>
  <c r="AO597" i="53"/>
  <c r="AR597" i="53"/>
  <c r="AS597" i="53" s="1"/>
  <c r="P598" i="53"/>
  <c r="R598" i="53" s="1"/>
  <c r="U598" i="53"/>
  <c r="V598" i="53" s="1"/>
  <c r="Y598" i="53"/>
  <c r="AB598" i="53"/>
  <c r="AD598" i="53" s="1"/>
  <c r="AF598" i="53"/>
  <c r="AJ598" i="53" s="1"/>
  <c r="AK598" i="53"/>
  <c r="AL598" i="53" s="1"/>
  <c r="AO598" i="53"/>
  <c r="AR598" i="53"/>
  <c r="AT598" i="53" s="1"/>
  <c r="P599" i="53"/>
  <c r="U599" i="53"/>
  <c r="Y599" i="53"/>
  <c r="Z599" i="53" s="1"/>
  <c r="AB599" i="53"/>
  <c r="AF599" i="53"/>
  <c r="AG599" i="53" s="1"/>
  <c r="AK599" i="53"/>
  <c r="AM599" i="53" s="1"/>
  <c r="AO599" i="53"/>
  <c r="AQ599" i="53" s="1"/>
  <c r="AR599" i="53"/>
  <c r="P600" i="53"/>
  <c r="Q600" i="53" s="1"/>
  <c r="U600" i="53"/>
  <c r="Y600" i="53"/>
  <c r="AA600" i="53" s="1"/>
  <c r="AB600" i="53"/>
  <c r="AC600" i="53" s="1"/>
  <c r="AF600" i="53"/>
  <c r="AI600" i="53" s="1"/>
  <c r="AK600" i="53"/>
  <c r="AO600" i="53"/>
  <c r="AP600" i="53" s="1"/>
  <c r="AR600" i="53"/>
  <c r="AT600" i="53" s="1"/>
  <c r="P601" i="53"/>
  <c r="Q601" i="53" s="1"/>
  <c r="U601" i="53"/>
  <c r="V601" i="53" s="1"/>
  <c r="Y601" i="53"/>
  <c r="Z601" i="53" s="1"/>
  <c r="AB601" i="53"/>
  <c r="AF601" i="53"/>
  <c r="AH601" i="53" s="1"/>
  <c r="AK601" i="53"/>
  <c r="AL601" i="53" s="1"/>
  <c r="AO601" i="53"/>
  <c r="AP601" i="53" s="1"/>
  <c r="AR601" i="53"/>
  <c r="P602" i="53"/>
  <c r="R602" i="53" s="1"/>
  <c r="U602" i="53"/>
  <c r="Y602" i="53"/>
  <c r="Z602" i="53" s="1"/>
  <c r="AB602" i="53"/>
  <c r="AD602" i="53" s="1"/>
  <c r="AF602" i="53"/>
  <c r="AH602" i="53" s="1"/>
  <c r="AK602" i="53"/>
  <c r="AO602" i="53"/>
  <c r="AR602" i="53"/>
  <c r="AS602" i="53" s="1"/>
  <c r="P603" i="53"/>
  <c r="U603" i="53"/>
  <c r="Y603" i="53"/>
  <c r="AB603" i="53"/>
  <c r="AE603" i="53" s="1"/>
  <c r="AF603" i="53"/>
  <c r="AJ603" i="53" s="1"/>
  <c r="AK603" i="53"/>
  <c r="AM603" i="53" s="1"/>
  <c r="AO603" i="53"/>
  <c r="AQ603" i="53" s="1"/>
  <c r="AR603" i="53"/>
  <c r="AT603" i="53" s="1"/>
  <c r="P604" i="53"/>
  <c r="U604" i="53"/>
  <c r="X604" i="53" s="1"/>
  <c r="Y604" i="53"/>
  <c r="AA604" i="53" s="1"/>
  <c r="AB604" i="53"/>
  <c r="AE604" i="53" s="1"/>
  <c r="AF604" i="53"/>
  <c r="AJ604" i="53" s="1"/>
  <c r="AK604" i="53"/>
  <c r="AM604" i="53" s="1"/>
  <c r="AO604" i="53"/>
  <c r="AQ604" i="53" s="1"/>
  <c r="AR604" i="53"/>
  <c r="AT604" i="53" s="1"/>
  <c r="P605" i="53"/>
  <c r="Q605" i="53" s="1"/>
  <c r="U605" i="53"/>
  <c r="W605" i="53" s="1"/>
  <c r="Y605" i="53"/>
  <c r="AB605" i="53"/>
  <c r="AD605" i="53" s="1"/>
  <c r="AF605" i="53"/>
  <c r="AK605" i="53"/>
  <c r="AM605" i="53" s="1"/>
  <c r="AO605" i="53"/>
  <c r="AR605" i="53"/>
  <c r="AS605" i="53" s="1"/>
  <c r="P606" i="53"/>
  <c r="R606" i="53" s="1"/>
  <c r="U606" i="53"/>
  <c r="W606" i="53" s="1"/>
  <c r="Y606" i="53"/>
  <c r="AA606" i="53" s="1"/>
  <c r="AB606" i="53"/>
  <c r="AC606" i="53" s="1"/>
  <c r="AF606" i="53"/>
  <c r="AH606" i="53" s="1"/>
  <c r="AK606" i="53"/>
  <c r="AN606" i="53" s="1"/>
  <c r="AO606" i="53"/>
  <c r="AQ606" i="53" s="1"/>
  <c r="AR606" i="53"/>
  <c r="P607" i="53"/>
  <c r="S607" i="53" s="1"/>
  <c r="U607" i="53"/>
  <c r="V607" i="53" s="1"/>
  <c r="Y607" i="53"/>
  <c r="AB607" i="53"/>
  <c r="AF607" i="53"/>
  <c r="AH607" i="53" s="1"/>
  <c r="AK607" i="53"/>
  <c r="AO607" i="53"/>
  <c r="AR607" i="53"/>
  <c r="AT607" i="53" s="1"/>
  <c r="P608" i="53"/>
  <c r="R608" i="53" s="1"/>
  <c r="U608" i="53"/>
  <c r="Y608" i="53"/>
  <c r="Z608" i="53" s="1"/>
  <c r="AB608" i="53"/>
  <c r="AF608" i="53"/>
  <c r="AH608" i="53" s="1"/>
  <c r="AK608" i="53"/>
  <c r="AO608" i="53"/>
  <c r="AP608" i="53" s="1"/>
  <c r="AR608" i="53"/>
  <c r="P609" i="53"/>
  <c r="Q609" i="53" s="1"/>
  <c r="U609" i="53"/>
  <c r="Y609" i="53"/>
  <c r="AB609" i="53"/>
  <c r="AC609" i="53" s="1"/>
  <c r="AF609" i="53"/>
  <c r="AK609" i="53"/>
  <c r="AO609" i="53"/>
  <c r="AP609" i="53" s="1"/>
  <c r="AR609" i="53"/>
  <c r="P610" i="53"/>
  <c r="T610" i="53" s="1"/>
  <c r="U610" i="53"/>
  <c r="Y610" i="53"/>
  <c r="AA610" i="53" s="1"/>
  <c r="AB610" i="53"/>
  <c r="AF610" i="53"/>
  <c r="AG610" i="53" s="1"/>
  <c r="AK610" i="53"/>
  <c r="AO610" i="53"/>
  <c r="AR610" i="53"/>
  <c r="AT610" i="53" s="1"/>
  <c r="P611" i="53"/>
  <c r="Q611" i="53" s="1"/>
  <c r="U611" i="53"/>
  <c r="X611" i="53" s="1"/>
  <c r="Y611" i="53"/>
  <c r="Z611" i="53" s="1"/>
  <c r="AB611" i="53"/>
  <c r="AD611" i="53" s="1"/>
  <c r="AF611" i="53"/>
  <c r="AH611" i="53" s="1"/>
  <c r="AK611" i="53"/>
  <c r="AN611" i="53" s="1"/>
  <c r="AO611" i="53"/>
  <c r="AP611" i="53" s="1"/>
  <c r="AR611" i="53"/>
  <c r="P612" i="53"/>
  <c r="T612" i="53" s="1"/>
  <c r="U612" i="53"/>
  <c r="W612" i="53" s="1"/>
  <c r="Y612" i="53"/>
  <c r="AA612" i="53" s="1"/>
  <c r="AB612" i="53"/>
  <c r="AF612" i="53"/>
  <c r="AJ612" i="53" s="1"/>
  <c r="AK612" i="53"/>
  <c r="AL612" i="53" s="1"/>
  <c r="AO612" i="53"/>
  <c r="AQ612" i="53" s="1"/>
  <c r="AR612" i="53"/>
  <c r="AT612" i="53" s="1"/>
  <c r="P613" i="53"/>
  <c r="Q613" i="53" s="1"/>
  <c r="U613" i="53"/>
  <c r="Y613" i="53"/>
  <c r="AB613" i="53"/>
  <c r="AD613" i="53" s="1"/>
  <c r="AF613" i="53"/>
  <c r="AG613" i="53" s="1"/>
  <c r="AK613" i="53"/>
  <c r="AM613" i="53" s="1"/>
  <c r="AO613" i="53"/>
  <c r="AR613" i="53"/>
  <c r="AS613" i="53" s="1"/>
  <c r="P614" i="53"/>
  <c r="R614" i="53" s="1"/>
  <c r="U614" i="53"/>
  <c r="Y614" i="53"/>
  <c r="AB614" i="53"/>
  <c r="AF614" i="53"/>
  <c r="AG614" i="53" s="1"/>
  <c r="AK614" i="53"/>
  <c r="AM614" i="53" s="1"/>
  <c r="AO614" i="53"/>
  <c r="AQ614" i="53" s="1"/>
  <c r="AR614" i="53"/>
  <c r="AS614" i="53" s="1"/>
  <c r="P615" i="53"/>
  <c r="R615" i="53" s="1"/>
  <c r="U615" i="53"/>
  <c r="Y615" i="53"/>
  <c r="AA615" i="53" s="1"/>
  <c r="AB615" i="53"/>
  <c r="AC615" i="53" s="1"/>
  <c r="AF615" i="53"/>
  <c r="AI615" i="53" s="1"/>
  <c r="AK615" i="53"/>
  <c r="AL615" i="53" s="1"/>
  <c r="AO615" i="53"/>
  <c r="AP615" i="53" s="1"/>
  <c r="AR615" i="53"/>
  <c r="AT615" i="53" s="1"/>
  <c r="P616" i="53"/>
  <c r="U616" i="53"/>
  <c r="Y616" i="53"/>
  <c r="AA616" i="53" s="1"/>
  <c r="AB616" i="53"/>
  <c r="AF616" i="53"/>
  <c r="AJ616" i="53" s="1"/>
  <c r="AK616" i="53"/>
  <c r="AM616" i="53" s="1"/>
  <c r="AO616" i="53"/>
  <c r="AP616" i="53" s="1"/>
  <c r="AR616" i="53"/>
  <c r="P617" i="53"/>
  <c r="U617" i="53"/>
  <c r="Y617" i="53"/>
  <c r="Z617" i="53" s="1"/>
  <c r="AB617" i="53"/>
  <c r="AF617" i="53"/>
  <c r="AJ617" i="53" s="1"/>
  <c r="AK617" i="53"/>
  <c r="AO617" i="53"/>
  <c r="AR617" i="53"/>
  <c r="AT617" i="53" s="1"/>
  <c r="P618" i="53"/>
  <c r="Q618" i="53" s="1"/>
  <c r="U618" i="53"/>
  <c r="V618" i="53" s="1"/>
  <c r="Y618" i="53"/>
  <c r="Z618" i="53" s="1"/>
  <c r="AB618" i="53"/>
  <c r="AF618" i="53"/>
  <c r="AG618" i="53" s="1"/>
  <c r="AK618" i="53"/>
  <c r="AL618" i="53" s="1"/>
  <c r="AO618" i="53"/>
  <c r="AP618" i="53" s="1"/>
  <c r="AR618" i="53"/>
  <c r="AS618" i="53" s="1"/>
  <c r="P619" i="53"/>
  <c r="U619" i="53"/>
  <c r="X619" i="53" s="1"/>
  <c r="Y619" i="53"/>
  <c r="Z619" i="53" s="1"/>
  <c r="AB619" i="53"/>
  <c r="AD619" i="53" s="1"/>
  <c r="AF619" i="53"/>
  <c r="AH619" i="53" s="1"/>
  <c r="AK619" i="53"/>
  <c r="AM619" i="53" s="1"/>
  <c r="AO619" i="53"/>
  <c r="AP619" i="53" s="1"/>
  <c r="AR619" i="53"/>
  <c r="AS619" i="53" s="1"/>
  <c r="P620" i="53"/>
  <c r="T620" i="53" s="1"/>
  <c r="U620" i="53"/>
  <c r="W620" i="53" s="1"/>
  <c r="Y620" i="53"/>
  <c r="AA620" i="53" s="1"/>
  <c r="AB620" i="53"/>
  <c r="AC620" i="53" s="1"/>
  <c r="AF620" i="53"/>
  <c r="AJ620" i="53" s="1"/>
  <c r="AK620" i="53"/>
  <c r="AN620" i="53" s="1"/>
  <c r="AO620" i="53"/>
  <c r="AQ620" i="53" s="1"/>
  <c r="AR620" i="53"/>
  <c r="P621" i="53"/>
  <c r="Q621" i="53" s="1"/>
  <c r="U621" i="53"/>
  <c r="W621" i="53" s="1"/>
  <c r="Y621" i="53"/>
  <c r="AB621" i="53"/>
  <c r="AC621" i="53" s="1"/>
  <c r="AF621" i="53"/>
  <c r="AG621" i="53" s="1"/>
  <c r="AK621" i="53"/>
  <c r="AL621" i="53" s="1"/>
  <c r="AO621" i="53"/>
  <c r="AR621" i="53"/>
  <c r="AT621" i="53" s="1"/>
  <c r="P622" i="53"/>
  <c r="U622" i="53"/>
  <c r="W622" i="53" s="1"/>
  <c r="Y622" i="53"/>
  <c r="AB622" i="53"/>
  <c r="AD622" i="53" s="1"/>
  <c r="AF622" i="53"/>
  <c r="AG622" i="53" s="1"/>
  <c r="AK622" i="53"/>
  <c r="AL622" i="53" s="1"/>
  <c r="AO622" i="53"/>
  <c r="AQ622" i="53" s="1"/>
  <c r="AR622" i="53"/>
  <c r="P623" i="53"/>
  <c r="S623" i="53" s="1"/>
  <c r="U623" i="53"/>
  <c r="Y623" i="53"/>
  <c r="AA623" i="53" s="1"/>
  <c r="AB623" i="53"/>
  <c r="AD623" i="53" s="1"/>
  <c r="AF623" i="53"/>
  <c r="AH623" i="53" s="1"/>
  <c r="AK623" i="53"/>
  <c r="AL623" i="53" s="1"/>
  <c r="AO623" i="53"/>
  <c r="AQ623" i="53" s="1"/>
  <c r="AR623" i="53"/>
  <c r="P624" i="53"/>
  <c r="Q624" i="53" s="1"/>
  <c r="U624" i="53"/>
  <c r="W624" i="53" s="1"/>
  <c r="Y624" i="53"/>
  <c r="Z624" i="53" s="1"/>
  <c r="AB624" i="53"/>
  <c r="AF624" i="53"/>
  <c r="AH624" i="53" s="1"/>
  <c r="AK624" i="53"/>
  <c r="AM624" i="53" s="1"/>
  <c r="AO624" i="53"/>
  <c r="AP624" i="53" s="1"/>
  <c r="AR624" i="53"/>
  <c r="P625" i="53"/>
  <c r="S625" i="53" s="1"/>
  <c r="U625" i="53"/>
  <c r="Y625" i="53"/>
  <c r="AB625" i="53"/>
  <c r="AC625" i="53" s="1"/>
  <c r="AF625" i="53"/>
  <c r="AI625" i="53" s="1"/>
  <c r="AK625" i="53"/>
  <c r="AO625" i="53"/>
  <c r="AP625" i="53" s="1"/>
  <c r="AR625" i="53"/>
  <c r="P626" i="53"/>
  <c r="U626" i="53"/>
  <c r="V626" i="53" s="1"/>
  <c r="Y626" i="53"/>
  <c r="Z626" i="53" s="1"/>
  <c r="AB626" i="53"/>
  <c r="AE626" i="53" s="1"/>
  <c r="AF626" i="53"/>
  <c r="AI626" i="53" s="1"/>
  <c r="AK626" i="53"/>
  <c r="AO626" i="53"/>
  <c r="AQ626" i="53" s="1"/>
  <c r="AR626" i="53"/>
  <c r="P627" i="53"/>
  <c r="Q627" i="53" s="1"/>
  <c r="U627" i="53"/>
  <c r="V627" i="53" s="1"/>
  <c r="Y627" i="53"/>
  <c r="AB627" i="53"/>
  <c r="AE627" i="53" s="1"/>
  <c r="AF627" i="53"/>
  <c r="AH627" i="53" s="1"/>
  <c r="AK627" i="53"/>
  <c r="AN627" i="53" s="1"/>
  <c r="AO627" i="53"/>
  <c r="AP627" i="53" s="1"/>
  <c r="AR627" i="53"/>
  <c r="P628" i="53"/>
  <c r="T628" i="53" s="1"/>
  <c r="U628" i="53"/>
  <c r="W628" i="53" s="1"/>
  <c r="Y628" i="53"/>
  <c r="AA628" i="53" s="1"/>
  <c r="AB628" i="53"/>
  <c r="AF628" i="53"/>
  <c r="AJ628" i="53" s="1"/>
  <c r="AK628" i="53"/>
  <c r="AM628" i="53" s="1"/>
  <c r="AO628" i="53"/>
  <c r="AR628" i="53"/>
  <c r="P629" i="53"/>
  <c r="Q629" i="53" s="1"/>
  <c r="U629" i="53"/>
  <c r="X629" i="53" s="1"/>
  <c r="Y629" i="53"/>
  <c r="AB629" i="53"/>
  <c r="AD629" i="53" s="1"/>
  <c r="AF629" i="53"/>
  <c r="AG629" i="53" s="1"/>
  <c r="AK629" i="53"/>
  <c r="AM629" i="53" s="1"/>
  <c r="AO629" i="53"/>
  <c r="AR629" i="53"/>
  <c r="AT629" i="53" s="1"/>
  <c r="P630" i="53"/>
  <c r="R630" i="53" s="1"/>
  <c r="U630" i="53"/>
  <c r="X630" i="53" s="1"/>
  <c r="Y630" i="53"/>
  <c r="AB630" i="53"/>
  <c r="AC630" i="53" s="1"/>
  <c r="AF630" i="53"/>
  <c r="AG630" i="53" s="1"/>
  <c r="AK630" i="53"/>
  <c r="AM630" i="53" s="1"/>
  <c r="AO630" i="53"/>
  <c r="AQ630" i="53" s="1"/>
  <c r="AR630" i="53"/>
  <c r="AS630" i="53" s="1"/>
  <c r="P631" i="53"/>
  <c r="R631" i="53" s="1"/>
  <c r="U631" i="53"/>
  <c r="V631" i="53" s="1"/>
  <c r="Y631" i="53"/>
  <c r="AA631" i="53" s="1"/>
  <c r="AB631" i="53"/>
  <c r="AC631" i="53" s="1"/>
  <c r="AF631" i="53"/>
  <c r="AH631" i="53" s="1"/>
  <c r="AK631" i="53"/>
  <c r="AL631" i="53" s="1"/>
  <c r="AO631" i="53"/>
  <c r="AP631" i="53" s="1"/>
  <c r="AR631" i="53"/>
  <c r="P632" i="53"/>
  <c r="S632" i="53" s="1"/>
  <c r="U632" i="53"/>
  <c r="W632" i="53" s="1"/>
  <c r="Y632" i="53"/>
  <c r="AB632" i="53"/>
  <c r="AF632" i="53"/>
  <c r="AK632" i="53"/>
  <c r="AO632" i="53"/>
  <c r="AP632" i="53" s="1"/>
  <c r="AR632" i="53"/>
  <c r="P633" i="53"/>
  <c r="S633" i="53" s="1"/>
  <c r="U633" i="53"/>
  <c r="Y633" i="53"/>
  <c r="Z633" i="53" s="1"/>
  <c r="AB633" i="53"/>
  <c r="AC633" i="53" s="1"/>
  <c r="AF633" i="53"/>
  <c r="AG633" i="53" s="1"/>
  <c r="AK633" i="53"/>
  <c r="AO633" i="53"/>
  <c r="AP633" i="53" s="1"/>
  <c r="AR633" i="53"/>
  <c r="AT633" i="53" s="1"/>
  <c r="P634" i="53"/>
  <c r="S634" i="53" s="1"/>
  <c r="U634" i="53"/>
  <c r="V634" i="53" s="1"/>
  <c r="Y634" i="53"/>
  <c r="Z634" i="53" s="1"/>
  <c r="AB634" i="53"/>
  <c r="AE634" i="53" s="1"/>
  <c r="AF634" i="53"/>
  <c r="AG634" i="53" s="1"/>
  <c r="AK634" i="53"/>
  <c r="AO634" i="53"/>
  <c r="AQ634" i="53" s="1"/>
  <c r="AR634" i="53"/>
  <c r="AS634" i="53" s="1"/>
  <c r="P635" i="53"/>
  <c r="Q635" i="53" s="1"/>
  <c r="U635" i="53"/>
  <c r="X635" i="53" s="1"/>
  <c r="Y635" i="53"/>
  <c r="Z635" i="53" s="1"/>
  <c r="AB635" i="53"/>
  <c r="AD635" i="53" s="1"/>
  <c r="AF635" i="53"/>
  <c r="AH635" i="53" s="1"/>
  <c r="AK635" i="53"/>
  <c r="AO635" i="53"/>
  <c r="AR635" i="53"/>
  <c r="AS635" i="53" s="1"/>
  <c r="P636" i="53"/>
  <c r="T636" i="53" s="1"/>
  <c r="U636" i="53"/>
  <c r="V636" i="53" s="1"/>
  <c r="Y636" i="53"/>
  <c r="AA636" i="53" s="1"/>
  <c r="AB636" i="53"/>
  <c r="AE636" i="53" s="1"/>
  <c r="AF636" i="53"/>
  <c r="AJ636" i="53" s="1"/>
  <c r="AK636" i="53"/>
  <c r="AO636" i="53"/>
  <c r="AQ636" i="53" s="1"/>
  <c r="AR636" i="53"/>
  <c r="AS636" i="53" s="1"/>
  <c r="P637" i="53"/>
  <c r="U637" i="53"/>
  <c r="X637" i="53" s="1"/>
  <c r="Y637" i="53"/>
  <c r="AB637" i="53"/>
  <c r="AC637" i="53" s="1"/>
  <c r="AF637" i="53"/>
  <c r="AG637" i="53" s="1"/>
  <c r="AK637" i="53"/>
  <c r="AM637" i="53" s="1"/>
  <c r="AO637" i="53"/>
  <c r="AR637" i="53"/>
  <c r="AT637" i="53" s="1"/>
  <c r="P638" i="53"/>
  <c r="R638" i="53" s="1"/>
  <c r="U638" i="53"/>
  <c r="X638" i="53" s="1"/>
  <c r="Y638" i="53"/>
  <c r="AA638" i="53" s="1"/>
  <c r="AB638" i="53"/>
  <c r="AE638" i="53" s="1"/>
  <c r="AF638" i="53"/>
  <c r="AG638" i="53" s="1"/>
  <c r="AK638" i="53"/>
  <c r="AN638" i="53" s="1"/>
  <c r="AO638" i="53"/>
  <c r="AR638" i="53"/>
  <c r="AS638" i="53" s="1"/>
  <c r="P639" i="53"/>
  <c r="T639" i="53" s="1"/>
  <c r="U639" i="53"/>
  <c r="V639" i="53" s="1"/>
  <c r="Y639" i="53"/>
  <c r="Z639" i="53" s="1"/>
  <c r="AB639" i="53"/>
  <c r="AE639" i="53" s="1"/>
  <c r="AF639" i="53"/>
  <c r="AI639" i="53" s="1"/>
  <c r="AK639" i="53"/>
  <c r="AL639" i="53" s="1"/>
  <c r="AO639" i="53"/>
  <c r="AQ639" i="53" s="1"/>
  <c r="AR639" i="53"/>
  <c r="P640" i="53"/>
  <c r="S640" i="53" s="1"/>
  <c r="U640" i="53"/>
  <c r="W640" i="53" s="1"/>
  <c r="Y640" i="53"/>
  <c r="Z640" i="53" s="1"/>
  <c r="AB640" i="53"/>
  <c r="AF640" i="53"/>
  <c r="AJ640" i="53" s="1"/>
  <c r="AK640" i="53"/>
  <c r="AN640" i="53" s="1"/>
  <c r="AO640" i="53"/>
  <c r="AP640" i="53" s="1"/>
  <c r="AR640" i="53"/>
  <c r="P641" i="53"/>
  <c r="R641" i="53" s="1"/>
  <c r="U641" i="53"/>
  <c r="Y641" i="53"/>
  <c r="AA641" i="53" s="1"/>
  <c r="AB641" i="53"/>
  <c r="AF641" i="53"/>
  <c r="AH641" i="53" s="1"/>
  <c r="AK641" i="53"/>
  <c r="AO641" i="53"/>
  <c r="AR641" i="53"/>
  <c r="AT641" i="53" s="1"/>
  <c r="P642" i="53"/>
  <c r="Q642" i="53" s="1"/>
  <c r="U642" i="53"/>
  <c r="V642" i="53" s="1"/>
  <c r="Y642" i="53"/>
  <c r="Z642" i="53" s="1"/>
  <c r="AB642" i="53"/>
  <c r="AD642" i="53" s="1"/>
  <c r="AF642" i="53"/>
  <c r="AJ642" i="53" s="1"/>
  <c r="AK642" i="53"/>
  <c r="AL642" i="53" s="1"/>
  <c r="AO642" i="53"/>
  <c r="AQ642" i="53" s="1"/>
  <c r="AR642" i="53"/>
  <c r="P643" i="53"/>
  <c r="T643" i="53" s="1"/>
  <c r="U643" i="53"/>
  <c r="Y643" i="53"/>
  <c r="Z643" i="53" s="1"/>
  <c r="AB643" i="53"/>
  <c r="AC643" i="53" s="1"/>
  <c r="AF643" i="53"/>
  <c r="AI643" i="53" s="1"/>
  <c r="AK643" i="53"/>
  <c r="AO643" i="53"/>
  <c r="AR643" i="53"/>
  <c r="AT643" i="53" s="1"/>
  <c r="P644" i="53"/>
  <c r="U644" i="53"/>
  <c r="V644" i="53" s="1"/>
  <c r="Y644" i="53"/>
  <c r="Z644" i="53" s="1"/>
  <c r="AB644" i="53"/>
  <c r="AC644" i="53" s="1"/>
  <c r="AF644" i="53"/>
  <c r="AJ644" i="53" s="1"/>
  <c r="AK644" i="53"/>
  <c r="AL644" i="53" s="1"/>
  <c r="AO644" i="53"/>
  <c r="AR644" i="53"/>
  <c r="AS644" i="53" s="1"/>
  <c r="P645" i="53"/>
  <c r="Q645" i="53" s="1"/>
  <c r="U645" i="53"/>
  <c r="W645" i="53" s="1"/>
  <c r="Y645" i="53"/>
  <c r="AB645" i="53"/>
  <c r="AC645" i="53" s="1"/>
  <c r="AF645" i="53"/>
  <c r="AG645" i="53" s="1"/>
  <c r="AK645" i="53"/>
  <c r="AM645" i="53" s="1"/>
  <c r="AO645" i="53"/>
  <c r="AR645" i="53"/>
  <c r="AS645" i="53" s="1"/>
  <c r="P646" i="53"/>
  <c r="R646" i="53" s="1"/>
  <c r="U646" i="53"/>
  <c r="W646" i="53" s="1"/>
  <c r="Y646" i="53"/>
  <c r="AA646" i="53" s="1"/>
  <c r="AB646" i="53"/>
  <c r="AC646" i="53" s="1"/>
  <c r="AF646" i="53"/>
  <c r="AG646" i="53" s="1"/>
  <c r="AK646" i="53"/>
  <c r="AL646" i="53" s="1"/>
  <c r="AO646" i="53"/>
  <c r="AQ646" i="53" s="1"/>
  <c r="AR646" i="53"/>
  <c r="P647" i="53"/>
  <c r="U647" i="53"/>
  <c r="V647" i="53" s="1"/>
  <c r="Y647" i="53"/>
  <c r="AB647" i="53"/>
  <c r="AE647" i="53" s="1"/>
  <c r="AF647" i="53"/>
  <c r="AJ647" i="53" s="1"/>
  <c r="AK647" i="53"/>
  <c r="AM647" i="53" s="1"/>
  <c r="AO647" i="53"/>
  <c r="AR647" i="53"/>
  <c r="AS647" i="53" s="1"/>
  <c r="P648" i="53"/>
  <c r="U648" i="53"/>
  <c r="Y648" i="53"/>
  <c r="AB648" i="53"/>
  <c r="AF648" i="53"/>
  <c r="AH648" i="53" s="1"/>
  <c r="AK648" i="53"/>
  <c r="AO648" i="53"/>
  <c r="AP648" i="53" s="1"/>
  <c r="AR648" i="53"/>
  <c r="P649" i="53"/>
  <c r="S649" i="53" s="1"/>
  <c r="U649" i="53"/>
  <c r="Y649" i="53"/>
  <c r="Z649" i="53" s="1"/>
  <c r="AB649" i="53"/>
  <c r="AC649" i="53" s="1"/>
  <c r="AF649" i="53"/>
  <c r="AH649" i="53" s="1"/>
  <c r="AK649" i="53"/>
  <c r="AO649" i="53"/>
  <c r="AP649" i="53" s="1"/>
  <c r="AR649" i="53"/>
  <c r="P650" i="53"/>
  <c r="S650" i="53" s="1"/>
  <c r="U650" i="53"/>
  <c r="W650" i="53" s="1"/>
  <c r="Y650" i="53"/>
  <c r="AA650" i="53" s="1"/>
  <c r="AB650" i="53"/>
  <c r="AF650" i="53"/>
  <c r="AG650" i="53" s="1"/>
  <c r="AK650" i="53"/>
  <c r="AM650" i="53" s="1"/>
  <c r="AO650" i="53"/>
  <c r="AP650" i="53" s="1"/>
  <c r="AR650" i="53"/>
  <c r="AT650" i="53" s="1"/>
  <c r="P651" i="53"/>
  <c r="R651" i="53" s="1"/>
  <c r="U651" i="53"/>
  <c r="X651" i="53" s="1"/>
  <c r="Y651" i="53"/>
  <c r="AB651" i="53"/>
  <c r="AC651" i="53" s="1"/>
  <c r="AF651" i="53"/>
  <c r="AG651" i="53" s="1"/>
  <c r="AK651" i="53"/>
  <c r="AN651" i="53" s="1"/>
  <c r="AO651" i="53"/>
  <c r="AP651" i="53" s="1"/>
  <c r="AR651" i="53"/>
  <c r="AS651" i="53" s="1"/>
  <c r="P652" i="53"/>
  <c r="R652" i="53" s="1"/>
  <c r="U652" i="53"/>
  <c r="V652" i="53" s="1"/>
  <c r="Y652" i="53"/>
  <c r="Z652" i="53" s="1"/>
  <c r="AB652" i="53"/>
  <c r="AD652" i="53" s="1"/>
  <c r="AF652" i="53"/>
  <c r="AG652" i="53" s="1"/>
  <c r="AK652" i="53"/>
  <c r="AL652" i="53" s="1"/>
  <c r="AO652" i="53"/>
  <c r="AQ652" i="53" s="1"/>
  <c r="AR652" i="53"/>
  <c r="AT652" i="53" s="1"/>
  <c r="P653" i="53"/>
  <c r="R653" i="53" s="1"/>
  <c r="U653" i="53"/>
  <c r="Y653" i="53"/>
  <c r="Z653" i="53" s="1"/>
  <c r="AB653" i="53"/>
  <c r="AE653" i="53" s="1"/>
  <c r="AF653" i="53"/>
  <c r="AI653" i="53" s="1"/>
  <c r="AK653" i="53"/>
  <c r="AM653" i="53" s="1"/>
  <c r="AO653" i="53"/>
  <c r="AP653" i="53" s="1"/>
  <c r="AR653" i="53"/>
  <c r="AS653" i="53" s="1"/>
  <c r="P654" i="53"/>
  <c r="U654" i="53"/>
  <c r="Y654" i="53"/>
  <c r="AA654" i="53" s="1"/>
  <c r="AB654" i="53"/>
  <c r="AC654" i="53" s="1"/>
  <c r="AF654" i="53"/>
  <c r="AH654" i="53" s="1"/>
  <c r="AK654" i="53"/>
  <c r="AN654" i="53" s="1"/>
  <c r="AO654" i="53"/>
  <c r="AQ654" i="53" s="1"/>
  <c r="AR654" i="53"/>
  <c r="AS654" i="53" s="1"/>
  <c r="P655" i="53"/>
  <c r="R655" i="53" s="1"/>
  <c r="U655" i="53"/>
  <c r="X655" i="53" s="1"/>
  <c r="Y655" i="53"/>
  <c r="Z655" i="53" s="1"/>
  <c r="AB655" i="53"/>
  <c r="AD655" i="53" s="1"/>
  <c r="AF655" i="53"/>
  <c r="AH655" i="53" s="1"/>
  <c r="AK655" i="53"/>
  <c r="AO655" i="53"/>
  <c r="AR655" i="53"/>
  <c r="AS655" i="53" s="1"/>
  <c r="P656" i="53"/>
  <c r="S656" i="53" s="1"/>
  <c r="U656" i="53"/>
  <c r="X656" i="53" s="1"/>
  <c r="Y656" i="53"/>
  <c r="AB656" i="53"/>
  <c r="AF656" i="53"/>
  <c r="AH656" i="53" s="1"/>
  <c r="AK656" i="53"/>
  <c r="AL656" i="53" s="1"/>
  <c r="AO656" i="53"/>
  <c r="AP656" i="53" s="1"/>
  <c r="AR656" i="53"/>
  <c r="AS656" i="53" s="1"/>
  <c r="P657" i="53"/>
  <c r="S657" i="53" s="1"/>
  <c r="U657" i="53"/>
  <c r="V657" i="53" s="1"/>
  <c r="Y657" i="53"/>
  <c r="AA657" i="53" s="1"/>
  <c r="AB657" i="53"/>
  <c r="AF657" i="53"/>
  <c r="AI657" i="53" s="1"/>
  <c r="AK657" i="53"/>
  <c r="AL657" i="53" s="1"/>
  <c r="AO657" i="53"/>
  <c r="AQ657" i="53" s="1"/>
  <c r="AR657" i="53"/>
  <c r="AT657" i="53" s="1"/>
  <c r="P658" i="53"/>
  <c r="Q658" i="53" s="1"/>
  <c r="U658" i="53"/>
  <c r="W658" i="53" s="1"/>
  <c r="Y658" i="53"/>
  <c r="Z658" i="53" s="1"/>
  <c r="AB658" i="53"/>
  <c r="AE658" i="53" s="1"/>
  <c r="AF658" i="53"/>
  <c r="AJ658" i="53" s="1"/>
  <c r="AK658" i="53"/>
  <c r="AM658" i="53" s="1"/>
  <c r="AO658" i="53"/>
  <c r="AP658" i="53" s="1"/>
  <c r="AR658" i="53"/>
  <c r="AS658" i="53" s="1"/>
  <c r="P659" i="53"/>
  <c r="S659" i="53" s="1"/>
  <c r="U659" i="53"/>
  <c r="X659" i="53" s="1"/>
  <c r="Y659" i="53"/>
  <c r="Z659" i="53" s="1"/>
  <c r="AB659" i="53"/>
  <c r="AC659" i="53" s="1"/>
  <c r="AF659" i="53"/>
  <c r="AH659" i="53" s="1"/>
  <c r="AK659" i="53"/>
  <c r="AN659" i="53" s="1"/>
  <c r="AO659" i="53"/>
  <c r="AQ659" i="53" s="1"/>
  <c r="AR659" i="53"/>
  <c r="AS659" i="53" s="1"/>
  <c r="P660" i="53"/>
  <c r="Q660" i="53" s="1"/>
  <c r="U660" i="53"/>
  <c r="V660" i="53" s="1"/>
  <c r="Y660" i="53"/>
  <c r="Z660" i="53" s="1"/>
  <c r="AB660" i="53"/>
  <c r="AD660" i="53" s="1"/>
  <c r="AF660" i="53"/>
  <c r="AG660" i="53" s="1"/>
  <c r="AK660" i="53"/>
  <c r="AO660" i="53"/>
  <c r="AR660" i="53"/>
  <c r="AT660" i="53" s="1"/>
  <c r="P661" i="53"/>
  <c r="R661" i="53" s="1"/>
  <c r="U661" i="53"/>
  <c r="Y661" i="53"/>
  <c r="Z661" i="53" s="1"/>
  <c r="AB661" i="53"/>
  <c r="AE661" i="53" s="1"/>
  <c r="AF661" i="53"/>
  <c r="AH661" i="53" s="1"/>
  <c r="AK661" i="53"/>
  <c r="AM661" i="53" s="1"/>
  <c r="AO661" i="53"/>
  <c r="AP661" i="53" s="1"/>
  <c r="AR661" i="53"/>
  <c r="P662" i="53"/>
  <c r="S662" i="53" s="1"/>
  <c r="U662" i="53"/>
  <c r="X662" i="53" s="1"/>
  <c r="Y662" i="53"/>
  <c r="AA662" i="53" s="1"/>
  <c r="AB662" i="53"/>
  <c r="AC662" i="53" s="1"/>
  <c r="AF662" i="53"/>
  <c r="AG662" i="53" s="1"/>
  <c r="AK662" i="53"/>
  <c r="AO662" i="53"/>
  <c r="AQ662" i="53" s="1"/>
  <c r="AR662" i="53"/>
  <c r="AS662" i="53" s="1"/>
  <c r="P663" i="53"/>
  <c r="R663" i="53" s="1"/>
  <c r="U663" i="53"/>
  <c r="X663" i="53" s="1"/>
  <c r="Y663" i="53"/>
  <c r="Z663" i="53" s="1"/>
  <c r="AB663" i="53"/>
  <c r="AE663" i="53" s="1"/>
  <c r="AF663" i="53"/>
  <c r="AH663" i="53" s="1"/>
  <c r="AK663" i="53"/>
  <c r="AN663" i="53" s="1"/>
  <c r="AO663" i="53"/>
  <c r="AQ663" i="53" s="1"/>
  <c r="AR663" i="53"/>
  <c r="AT663" i="53" s="1"/>
  <c r="P664" i="53"/>
  <c r="R664" i="53" s="1"/>
  <c r="U664" i="53"/>
  <c r="W664" i="53" s="1"/>
  <c r="Y664" i="53"/>
  <c r="Z664" i="53" s="1"/>
  <c r="AB664" i="53"/>
  <c r="AC664" i="53" s="1"/>
  <c r="AF664" i="53"/>
  <c r="AH664" i="53" s="1"/>
  <c r="AK664" i="53"/>
  <c r="AM664" i="53" s="1"/>
  <c r="AO664" i="53"/>
  <c r="AP664" i="53" s="1"/>
  <c r="AR664" i="53"/>
  <c r="AS664" i="53" s="1"/>
  <c r="P665" i="53"/>
  <c r="S665" i="53" s="1"/>
  <c r="U665" i="53"/>
  <c r="V665" i="53" s="1"/>
  <c r="Y665" i="53"/>
  <c r="AA665" i="53" s="1"/>
  <c r="AB665" i="53"/>
  <c r="AD665" i="53" s="1"/>
  <c r="AF665" i="53"/>
  <c r="AG665" i="53" s="1"/>
  <c r="AK665" i="53"/>
  <c r="AL665" i="53" s="1"/>
  <c r="AO665" i="53"/>
  <c r="AR665" i="53"/>
  <c r="AT665" i="53" s="1"/>
  <c r="P666" i="53"/>
  <c r="Q666" i="53" s="1"/>
  <c r="U666" i="53"/>
  <c r="V666" i="53" s="1"/>
  <c r="Y666" i="53"/>
  <c r="Z666" i="53" s="1"/>
  <c r="AB666" i="53"/>
  <c r="AC666" i="53" s="1"/>
  <c r="AF666" i="53"/>
  <c r="AG666" i="53" s="1"/>
  <c r="AK666" i="53"/>
  <c r="AL666" i="53" s="1"/>
  <c r="AO666" i="53"/>
  <c r="AP666" i="53" s="1"/>
  <c r="AR666" i="53"/>
  <c r="AS666" i="53" s="1"/>
  <c r="P667" i="53"/>
  <c r="R667" i="53" s="1"/>
  <c r="U667" i="53"/>
  <c r="X667" i="53" s="1"/>
  <c r="Y667" i="53"/>
  <c r="Z667" i="53" s="1"/>
  <c r="AB667" i="53"/>
  <c r="AC667" i="53" s="1"/>
  <c r="AF667" i="53"/>
  <c r="AG667" i="53" s="1"/>
  <c r="AK667" i="53"/>
  <c r="AN667" i="53" s="1"/>
  <c r="AO667" i="53"/>
  <c r="AP667" i="53" s="1"/>
  <c r="AR667" i="53"/>
  <c r="AS667" i="53" s="1"/>
  <c r="P668" i="53"/>
  <c r="R668" i="53" s="1"/>
  <c r="U668" i="53"/>
  <c r="V668" i="53" s="1"/>
  <c r="Y668" i="53"/>
  <c r="AA668" i="53" s="1"/>
  <c r="AB668" i="53"/>
  <c r="AD668" i="53" s="1"/>
  <c r="AF668" i="53"/>
  <c r="AG668" i="53" s="1"/>
  <c r="AK668" i="53"/>
  <c r="AL668" i="53" s="1"/>
  <c r="AO668" i="53"/>
  <c r="AQ668" i="53" s="1"/>
  <c r="AR668" i="53"/>
  <c r="AT668" i="53" s="1"/>
  <c r="P669" i="53"/>
  <c r="Q669" i="53" s="1"/>
  <c r="U669" i="53"/>
  <c r="W669" i="53" s="1"/>
  <c r="Y669" i="53"/>
  <c r="Z669" i="53" s="1"/>
  <c r="AB669" i="53"/>
  <c r="AC669" i="53" s="1"/>
  <c r="AF669" i="53"/>
  <c r="AG669" i="53" s="1"/>
  <c r="AK669" i="53"/>
  <c r="AL669" i="53" s="1"/>
  <c r="AO669" i="53"/>
  <c r="AP669" i="53" s="1"/>
  <c r="AR669" i="53"/>
  <c r="AS669" i="53" s="1"/>
  <c r="P670" i="53"/>
  <c r="S670" i="53" s="1"/>
  <c r="U670" i="53"/>
  <c r="V670" i="53" s="1"/>
  <c r="Y670" i="53"/>
  <c r="Z670" i="53" s="1"/>
  <c r="AB670" i="53"/>
  <c r="AC670" i="53" s="1"/>
  <c r="AF670" i="53"/>
  <c r="AI670" i="53" s="1"/>
  <c r="AK670" i="53"/>
  <c r="AL670" i="53" s="1"/>
  <c r="AO670" i="53"/>
  <c r="AP670" i="53" s="1"/>
  <c r="AR670" i="53"/>
  <c r="AS670" i="53" s="1"/>
  <c r="P671" i="53"/>
  <c r="Q671" i="53" s="1"/>
  <c r="U671" i="53"/>
  <c r="V671" i="53" s="1"/>
  <c r="Y671" i="53"/>
  <c r="Z671" i="53" s="1"/>
  <c r="AB671" i="53"/>
  <c r="AE671" i="53" s="1"/>
  <c r="AF671" i="53"/>
  <c r="AG671" i="53" s="1"/>
  <c r="AK671" i="53"/>
  <c r="AL671" i="53" s="1"/>
  <c r="AO671" i="53"/>
  <c r="AP671" i="53" s="1"/>
  <c r="AR671" i="53"/>
  <c r="AS671" i="53" s="1"/>
  <c r="P672" i="53"/>
  <c r="R672" i="53" s="1"/>
  <c r="U672" i="53"/>
  <c r="X672" i="53" s="1"/>
  <c r="Y672" i="53"/>
  <c r="Z672" i="53" s="1"/>
  <c r="AB672" i="53"/>
  <c r="AC672" i="53" s="1"/>
  <c r="AF672" i="53"/>
  <c r="AH672" i="53" s="1"/>
  <c r="AK672" i="53"/>
  <c r="AN672" i="53" s="1"/>
  <c r="AO672" i="53"/>
  <c r="AP672" i="53" s="1"/>
  <c r="AR672" i="53"/>
  <c r="AS672" i="53" s="1"/>
  <c r="P673" i="53"/>
  <c r="Q673" i="53" s="1"/>
  <c r="U673" i="53"/>
  <c r="Y673" i="53"/>
  <c r="AA673" i="53" s="1"/>
  <c r="AB673" i="53"/>
  <c r="AC673" i="53" s="1"/>
  <c r="AF673" i="53"/>
  <c r="AG673" i="53" s="1"/>
  <c r="AK673" i="53"/>
  <c r="AO673" i="53"/>
  <c r="AQ673" i="53" s="1"/>
  <c r="AR673" i="53"/>
  <c r="AS673" i="53" s="1"/>
  <c r="P674" i="53"/>
  <c r="Q674" i="53" s="1"/>
  <c r="U674" i="53"/>
  <c r="V674" i="53" s="1"/>
  <c r="Y674" i="53"/>
  <c r="Z674" i="53" s="1"/>
  <c r="AB674" i="53"/>
  <c r="AE674" i="53" s="1"/>
  <c r="AF674" i="53"/>
  <c r="AG674" i="53" s="1"/>
  <c r="AK674" i="53"/>
  <c r="AL674" i="53" s="1"/>
  <c r="AO674" i="53"/>
  <c r="AP674" i="53" s="1"/>
  <c r="AR674" i="53"/>
  <c r="AS674" i="53" s="1"/>
  <c r="P675" i="53"/>
  <c r="R675" i="53" s="1"/>
  <c r="U675" i="53"/>
  <c r="X675" i="53" s="1"/>
  <c r="Y675" i="53"/>
  <c r="Z675" i="53" s="1"/>
  <c r="AB675" i="53"/>
  <c r="AC675" i="53" s="1"/>
  <c r="AF675" i="53"/>
  <c r="AG675" i="53" s="1"/>
  <c r="AK675" i="53"/>
  <c r="AN675" i="53" s="1"/>
  <c r="AO675" i="53"/>
  <c r="AP675" i="53" s="1"/>
  <c r="AR675" i="53"/>
  <c r="AS675" i="53" s="1"/>
  <c r="P676" i="53"/>
  <c r="Q676" i="53" s="1"/>
  <c r="U676" i="53"/>
  <c r="V676" i="53" s="1"/>
  <c r="Y676" i="53"/>
  <c r="Z676" i="53" s="1"/>
  <c r="AB676" i="53"/>
  <c r="AD676" i="53" s="1"/>
  <c r="AF676" i="53"/>
  <c r="AG676" i="53" s="1"/>
  <c r="AK676" i="53"/>
  <c r="AL676" i="53" s="1"/>
  <c r="AO676" i="53"/>
  <c r="AQ676" i="53" s="1"/>
  <c r="AR676" i="53"/>
  <c r="AS676" i="53" s="1"/>
  <c r="P677" i="53"/>
  <c r="Q677" i="53" s="1"/>
  <c r="U677" i="53"/>
  <c r="W677" i="53" s="1"/>
  <c r="Y677" i="53"/>
  <c r="Z677" i="53" s="1"/>
  <c r="AB677" i="53"/>
  <c r="AC677" i="53" s="1"/>
  <c r="AF677" i="53"/>
  <c r="AG677" i="53" s="1"/>
  <c r="AK677" i="53"/>
  <c r="AM677" i="53" s="1"/>
  <c r="AO677" i="53"/>
  <c r="AP677" i="53" s="1"/>
  <c r="AR677" i="53"/>
  <c r="AS677" i="53" s="1"/>
  <c r="P678" i="53"/>
  <c r="Q678" i="53" s="1"/>
  <c r="U678" i="53"/>
  <c r="V678" i="53" s="1"/>
  <c r="Y678" i="53"/>
  <c r="Z678" i="53" s="1"/>
  <c r="AB678" i="53"/>
  <c r="AC678" i="53" s="1"/>
  <c r="AF678" i="53"/>
  <c r="AG678" i="53" s="1"/>
  <c r="AK678" i="53"/>
  <c r="AL678" i="53" s="1"/>
  <c r="AO678" i="53"/>
  <c r="AP678" i="53" s="1"/>
  <c r="AR678" i="53"/>
  <c r="AS678" i="53" s="1"/>
  <c r="P679" i="53"/>
  <c r="Q679" i="53" s="1"/>
  <c r="U679" i="53"/>
  <c r="V679" i="53" s="1"/>
  <c r="Y679" i="53"/>
  <c r="Z679" i="53" s="1"/>
  <c r="AB679" i="53"/>
  <c r="AC679" i="53" s="1"/>
  <c r="AF679" i="53"/>
  <c r="AG679" i="53" s="1"/>
  <c r="AK679" i="53"/>
  <c r="AL679" i="53" s="1"/>
  <c r="AO679" i="53"/>
  <c r="AP679" i="53" s="1"/>
  <c r="AR679" i="53"/>
  <c r="AS679" i="53" s="1"/>
  <c r="P680" i="53"/>
  <c r="R680" i="53" s="1"/>
  <c r="U680" i="53"/>
  <c r="V680" i="53" s="1"/>
  <c r="Y680" i="53"/>
  <c r="Z680" i="53" s="1"/>
  <c r="AB680" i="53"/>
  <c r="AC680" i="53" s="1"/>
  <c r="AF680" i="53"/>
  <c r="AH680" i="53" s="1"/>
  <c r="AK680" i="53"/>
  <c r="AL680" i="53" s="1"/>
  <c r="AO680" i="53"/>
  <c r="AP680" i="53" s="1"/>
  <c r="AR680" i="53"/>
  <c r="AS680" i="53" s="1"/>
  <c r="P681" i="53"/>
  <c r="Q681" i="53" s="1"/>
  <c r="U681" i="53"/>
  <c r="V681" i="53" s="1"/>
  <c r="Y681" i="53"/>
  <c r="AA681" i="53" s="1"/>
  <c r="AB681" i="53"/>
  <c r="AC681" i="53" s="1"/>
  <c r="AF681" i="53"/>
  <c r="AG681" i="53" s="1"/>
  <c r="AK681" i="53"/>
  <c r="AL681" i="53" s="1"/>
  <c r="AO681" i="53"/>
  <c r="AQ681" i="53" s="1"/>
  <c r="AR681" i="53"/>
  <c r="AS681" i="53" s="1"/>
  <c r="D10" i="58" l="1"/>
  <c r="AT635" i="53"/>
  <c r="T627" i="53"/>
  <c r="AA639" i="53"/>
  <c r="AL586" i="53"/>
  <c r="AA601" i="53"/>
  <c r="AC655" i="53"/>
  <c r="AP663" i="53"/>
  <c r="AT580" i="53"/>
  <c r="AQ616" i="53"/>
  <c r="X598" i="53"/>
  <c r="AN599" i="53"/>
  <c r="R585" i="53"/>
  <c r="AI617" i="53"/>
  <c r="AT659" i="53"/>
  <c r="AA655" i="53"/>
  <c r="AJ641" i="53"/>
  <c r="AJ626" i="53"/>
  <c r="Z593" i="53"/>
  <c r="AT634" i="53"/>
  <c r="W631" i="53"/>
  <c r="V612" i="53"/>
  <c r="AI586" i="53"/>
  <c r="AH638" i="53"/>
  <c r="AM623" i="53"/>
  <c r="AA617" i="53"/>
  <c r="AN616" i="53"/>
  <c r="AS612" i="53"/>
  <c r="AL582" i="53"/>
  <c r="AS579" i="53"/>
  <c r="T577" i="53"/>
  <c r="X575" i="53"/>
  <c r="AA574" i="53"/>
  <c r="AT674" i="53"/>
  <c r="AJ619" i="53"/>
  <c r="AQ618" i="53"/>
  <c r="AG616" i="53"/>
  <c r="AS607" i="53"/>
  <c r="AE598" i="53"/>
  <c r="AS663" i="53"/>
  <c r="R625" i="53"/>
  <c r="X624" i="53"/>
  <c r="AI619" i="53"/>
  <c r="AI594" i="53"/>
  <c r="Z654" i="53"/>
  <c r="AD636" i="53"/>
  <c r="AG627" i="53"/>
  <c r="V624" i="53"/>
  <c r="AC623" i="53"/>
  <c r="AN612" i="53"/>
  <c r="Q602" i="53"/>
  <c r="AT596" i="53"/>
  <c r="AS588" i="53"/>
  <c r="S577" i="53"/>
  <c r="AD646" i="53"/>
  <c r="AT638" i="53"/>
  <c r="Z628" i="53"/>
  <c r="AQ611" i="53"/>
  <c r="Z600" i="53"/>
  <c r="AC585" i="53"/>
  <c r="X580" i="53"/>
  <c r="R577" i="53"/>
  <c r="AJ670" i="53"/>
  <c r="AQ669" i="53"/>
  <c r="W659" i="53"/>
  <c r="AS637" i="53"/>
  <c r="AH634" i="53"/>
  <c r="T618" i="53"/>
  <c r="AE602" i="53"/>
  <c r="AN581" i="53"/>
  <c r="AE579" i="53"/>
  <c r="Q680" i="53"/>
  <c r="AH670" i="53"/>
  <c r="V664" i="53"/>
  <c r="S618" i="53"/>
  <c r="AG611" i="53"/>
  <c r="AC602" i="53"/>
  <c r="AN596" i="53"/>
  <c r="AP595" i="53"/>
  <c r="Z591" i="53"/>
  <c r="Z583" i="53"/>
  <c r="X574" i="53"/>
  <c r="AM659" i="53"/>
  <c r="W656" i="53"/>
  <c r="AJ618" i="53"/>
  <c r="AD588" i="53"/>
  <c r="AT679" i="53"/>
  <c r="AJ668" i="53"/>
  <c r="AL659" i="53"/>
  <c r="V656" i="53"/>
  <c r="AC629" i="53"/>
  <c r="AT619" i="53"/>
  <c r="AH618" i="53"/>
  <c r="AS617" i="53"/>
  <c r="AL605" i="53"/>
  <c r="AJ600" i="53"/>
  <c r="AC588" i="53"/>
  <c r="AI576" i="53"/>
  <c r="W675" i="53"/>
  <c r="X665" i="53"/>
  <c r="Q662" i="53"/>
  <c r="AT658" i="53"/>
  <c r="Q633" i="53"/>
  <c r="X632" i="53"/>
  <c r="AE623" i="53"/>
  <c r="AI616" i="53"/>
  <c r="AS615" i="53"/>
  <c r="AE606" i="53"/>
  <c r="AC598" i="53"/>
  <c r="AI592" i="53"/>
  <c r="AI583" i="53"/>
  <c r="W581" i="53"/>
  <c r="AP676" i="53"/>
  <c r="Z668" i="53"/>
  <c r="AJ667" i="53"/>
  <c r="X664" i="53"/>
  <c r="T661" i="53"/>
  <c r="AG659" i="53"/>
  <c r="AI655" i="53"/>
  <c r="AT654" i="53"/>
  <c r="Z636" i="53"/>
  <c r="AN624" i="53"/>
  <c r="AH616" i="53"/>
  <c r="Z612" i="53"/>
  <c r="AT602" i="53"/>
  <c r="W596" i="53"/>
  <c r="AL594" i="53"/>
  <c r="AG592" i="53"/>
  <c r="AN582" i="53"/>
  <c r="X579" i="53"/>
  <c r="AJ675" i="53"/>
  <c r="Q672" i="53"/>
  <c r="AD663" i="53"/>
  <c r="AN656" i="53"/>
  <c r="AE644" i="53"/>
  <c r="AJ643" i="53"/>
  <c r="W639" i="53"/>
  <c r="Q630" i="53"/>
  <c r="T625" i="53"/>
  <c r="AN623" i="53"/>
  <c r="Z623" i="53"/>
  <c r="AE621" i="53"/>
  <c r="AQ619" i="53"/>
  <c r="AI618" i="53"/>
  <c r="AH614" i="53"/>
  <c r="Q606" i="53"/>
  <c r="AL599" i="53"/>
  <c r="X595" i="53"/>
  <c r="AJ593" i="53"/>
  <c r="AM589" i="53"/>
  <c r="AQ575" i="53"/>
  <c r="S575" i="53"/>
  <c r="W667" i="53"/>
  <c r="AE596" i="53"/>
  <c r="AQ577" i="53"/>
  <c r="AT671" i="53"/>
  <c r="AI668" i="53"/>
  <c r="V667" i="53"/>
  <c r="AH652" i="53"/>
  <c r="AG641" i="53"/>
  <c r="AM639" i="53"/>
  <c r="AG631" i="53"/>
  <c r="AT618" i="53"/>
  <c r="AD596" i="53"/>
  <c r="R592" i="53"/>
  <c r="AA590" i="53"/>
  <c r="X588" i="53"/>
  <c r="AC579" i="53"/>
  <c r="AJ592" i="53"/>
  <c r="AG670" i="53"/>
  <c r="AP668" i="53"/>
  <c r="AM656" i="53"/>
  <c r="X650" i="53"/>
  <c r="AA644" i="53"/>
  <c r="AC636" i="53"/>
  <c r="AC634" i="53"/>
  <c r="AS629" i="53"/>
  <c r="S627" i="53"/>
  <c r="AL624" i="53"/>
  <c r="AN622" i="53"/>
  <c r="AQ615" i="53"/>
  <c r="AP612" i="53"/>
  <c r="AM611" i="53"/>
  <c r="AT605" i="53"/>
  <c r="W604" i="53"/>
  <c r="W595" i="53"/>
  <c r="AA585" i="53"/>
  <c r="R584" i="53"/>
  <c r="AM581" i="53"/>
  <c r="AH676" i="53"/>
  <c r="V675" i="53"/>
  <c r="AN674" i="53"/>
  <c r="AD672" i="53"/>
  <c r="AI667" i="53"/>
  <c r="T667" i="53"/>
  <c r="AA663" i="53"/>
  <c r="AD662" i="53"/>
  <c r="AJ659" i="53"/>
  <c r="Z657" i="53"/>
  <c r="V650" i="53"/>
  <c r="R642" i="53"/>
  <c r="AG640" i="53"/>
  <c r="AN639" i="53"/>
  <c r="W635" i="53"/>
  <c r="AP634" i="53"/>
  <c r="AE630" i="53"/>
  <c r="R627" i="53"/>
  <c r="AD626" i="53"/>
  <c r="AM622" i="53"/>
  <c r="AS621" i="53"/>
  <c r="AE613" i="53"/>
  <c r="X612" i="53"/>
  <c r="AL611" i="53"/>
  <c r="AJ610" i="53"/>
  <c r="AE605" i="53"/>
  <c r="V604" i="53"/>
  <c r="AQ601" i="53"/>
  <c r="S600" i="53"/>
  <c r="X590" i="53"/>
  <c r="AE589" i="53"/>
  <c r="AJ586" i="53"/>
  <c r="Q582" i="53"/>
  <c r="AQ671" i="53"/>
  <c r="S668" i="53"/>
  <c r="Q667" i="53"/>
  <c r="AN646" i="53"/>
  <c r="X644" i="53"/>
  <c r="T624" i="53"/>
  <c r="AJ602" i="53"/>
  <c r="X680" i="53"/>
  <c r="AI675" i="53"/>
  <c r="T675" i="53"/>
  <c r="AP673" i="53"/>
  <c r="AT672" i="53"/>
  <c r="AN664" i="53"/>
  <c r="AJ661" i="53"/>
  <c r="AE651" i="53"/>
  <c r="Q649" i="53"/>
  <c r="AM646" i="53"/>
  <c r="AE645" i="53"/>
  <c r="W644" i="53"/>
  <c r="AP636" i="53"/>
  <c r="T635" i="53"/>
  <c r="AN631" i="53"/>
  <c r="AA626" i="53"/>
  <c r="AJ625" i="53"/>
  <c r="Q625" i="53"/>
  <c r="S624" i="53"/>
  <c r="AA618" i="53"/>
  <c r="AL616" i="53"/>
  <c r="AN615" i="53"/>
  <c r="AM612" i="53"/>
  <c r="AJ611" i="53"/>
  <c r="V611" i="53"/>
  <c r="AP606" i="53"/>
  <c r="V606" i="53"/>
  <c r="AI602" i="53"/>
  <c r="T602" i="53"/>
  <c r="AA599" i="53"/>
  <c r="AI598" i="53"/>
  <c r="AI593" i="53"/>
  <c r="Z589" i="53"/>
  <c r="AI584" i="53"/>
  <c r="AT581" i="53"/>
  <c r="V580" i="53"/>
  <c r="W574" i="53"/>
  <c r="W680" i="53"/>
  <c r="AQ679" i="53"/>
  <c r="AH675" i="53"/>
  <c r="Q675" i="53"/>
  <c r="AD674" i="53"/>
  <c r="W672" i="53"/>
  <c r="AT666" i="53"/>
  <c r="T664" i="53"/>
  <c r="AM663" i="53"/>
  <c r="W662" i="53"/>
  <c r="AP659" i="53"/>
  <c r="AP652" i="53"/>
  <c r="T652" i="53"/>
  <c r="AD651" i="53"/>
  <c r="AJ650" i="53"/>
  <c r="AD645" i="53"/>
  <c r="AE637" i="53"/>
  <c r="W636" i="53"/>
  <c r="AJ635" i="53"/>
  <c r="AJ634" i="53"/>
  <c r="AM631" i="53"/>
  <c r="W630" i="53"/>
  <c r="AP626" i="53"/>
  <c r="AH625" i="53"/>
  <c r="AA624" i="53"/>
  <c r="R624" i="53"/>
  <c r="AN621" i="53"/>
  <c r="W619" i="53"/>
  <c r="AM615" i="53"/>
  <c r="AP614" i="53"/>
  <c r="AI611" i="53"/>
  <c r="AN605" i="53"/>
  <c r="V605" i="53"/>
  <c r="AD604" i="53"/>
  <c r="AG602" i="53"/>
  <c r="S602" i="53"/>
  <c r="AJ601" i="53"/>
  <c r="T601" i="53"/>
  <c r="AP599" i="53"/>
  <c r="AG598" i="53"/>
  <c r="W597" i="53"/>
  <c r="V594" i="53"/>
  <c r="AH593" i="53"/>
  <c r="AJ585" i="53"/>
  <c r="T585" i="53"/>
  <c r="AN583" i="53"/>
  <c r="AC674" i="53"/>
  <c r="X666" i="53"/>
  <c r="AI664" i="53"/>
  <c r="S664" i="53"/>
  <c r="AA659" i="53"/>
  <c r="X647" i="53"/>
  <c r="AT645" i="53"/>
  <c r="AD637" i="53"/>
  <c r="AI635" i="53"/>
  <c r="AI634" i="53"/>
  <c r="AM621" i="53"/>
  <c r="X620" i="53"/>
  <c r="V619" i="53"/>
  <c r="AC604" i="53"/>
  <c r="AP603" i="53"/>
  <c r="S601" i="53"/>
  <c r="AT595" i="53"/>
  <c r="Z586" i="53"/>
  <c r="S585" i="53"/>
  <c r="AE582" i="53"/>
  <c r="Z581" i="53"/>
  <c r="AA577" i="53"/>
  <c r="S576" i="53"/>
  <c r="S654" i="53"/>
  <c r="T654" i="53"/>
  <c r="AP643" i="53"/>
  <c r="AQ643" i="53"/>
  <c r="AN635" i="53"/>
  <c r="AM635" i="53"/>
  <c r="W608" i="53"/>
  <c r="V608" i="53"/>
  <c r="X608" i="53"/>
  <c r="AG680" i="53"/>
  <c r="AA679" i="53"/>
  <c r="AJ678" i="53"/>
  <c r="T678" i="53"/>
  <c r="AL677" i="53"/>
  <c r="V677" i="53"/>
  <c r="AA676" i="53"/>
  <c r="S675" i="53"/>
  <c r="Z673" i="53"/>
  <c r="AL672" i="53"/>
  <c r="AM672" i="53"/>
  <c r="V672" i="53"/>
  <c r="AE668" i="53"/>
  <c r="AH667" i="53"/>
  <c r="AL664" i="53"/>
  <c r="AH662" i="53"/>
  <c r="T662" i="53"/>
  <c r="AI661" i="53"/>
  <c r="AP660" i="53"/>
  <c r="AQ660" i="53"/>
  <c r="T658" i="53"/>
  <c r="R658" i="53"/>
  <c r="V655" i="53"/>
  <c r="W655" i="53"/>
  <c r="AI654" i="53"/>
  <c r="AG654" i="53"/>
  <c r="AJ654" i="53"/>
  <c r="W653" i="53"/>
  <c r="V653" i="53"/>
  <c r="X653" i="53"/>
  <c r="Q652" i="53"/>
  <c r="S652" i="53"/>
  <c r="AQ649" i="53"/>
  <c r="AI648" i="53"/>
  <c r="AJ648" i="53"/>
  <c r="AP647" i="53"/>
  <c r="AQ647" i="53"/>
  <c r="W647" i="53"/>
  <c r="V646" i="53"/>
  <c r="X646" i="53"/>
  <c r="X643" i="53"/>
  <c r="V643" i="53"/>
  <c r="W643" i="53"/>
  <c r="X640" i="53"/>
  <c r="AC638" i="53"/>
  <c r="AD638" i="53"/>
  <c r="AA634" i="53"/>
  <c r="AQ633" i="53"/>
  <c r="AN630" i="53"/>
  <c r="V630" i="53"/>
  <c r="AN629" i="53"/>
  <c r="AL629" i="53"/>
  <c r="AS628" i="53"/>
  <c r="AT628" i="53"/>
  <c r="AI627" i="53"/>
  <c r="AJ627" i="53"/>
  <c r="R619" i="53"/>
  <c r="Q619" i="53"/>
  <c r="T619" i="53"/>
  <c r="S619" i="53"/>
  <c r="AN662" i="53"/>
  <c r="AM662" i="53"/>
  <c r="AT649" i="53"/>
  <c r="AS649" i="53"/>
  <c r="AM636" i="53"/>
  <c r="AN636" i="53"/>
  <c r="AI632" i="53"/>
  <c r="AJ632" i="53"/>
  <c r="AE612" i="53"/>
  <c r="AC612" i="53"/>
  <c r="AD612" i="53"/>
  <c r="AT578" i="53"/>
  <c r="AS578" i="53"/>
  <c r="AP576" i="53"/>
  <c r="AQ576" i="53"/>
  <c r="AE681" i="53"/>
  <c r="AT680" i="53"/>
  <c r="AI678" i="53"/>
  <c r="S678" i="53"/>
  <c r="AG672" i="53"/>
  <c r="AC668" i="53"/>
  <c r="Q668" i="53"/>
  <c r="T668" i="53"/>
  <c r="AP665" i="53"/>
  <c r="AQ665" i="53"/>
  <c r="T665" i="53"/>
  <c r="R662" i="53"/>
  <c r="AL660" i="53"/>
  <c r="AM660" i="53"/>
  <c r="T659" i="53"/>
  <c r="AS657" i="53"/>
  <c r="R656" i="53"/>
  <c r="Q656" i="53"/>
  <c r="T656" i="53"/>
  <c r="AQ650" i="53"/>
  <c r="Z650" i="53"/>
  <c r="AH646" i="53"/>
  <c r="AP644" i="53"/>
  <c r="AQ644" i="53"/>
  <c r="S643" i="53"/>
  <c r="Z641" i="53"/>
  <c r="AL640" i="53"/>
  <c r="AM640" i="53"/>
  <c r="V640" i="53"/>
  <c r="Z638" i="53"/>
  <c r="AL630" i="53"/>
  <c r="AQ628" i="53"/>
  <c r="AP628" i="53"/>
  <c r="AT626" i="53"/>
  <c r="AS626" i="53"/>
  <c r="AH620" i="53"/>
  <c r="AH678" i="53"/>
  <c r="AJ677" i="53"/>
  <c r="AJ676" i="53"/>
  <c r="AM675" i="53"/>
  <c r="R665" i="53"/>
  <c r="V663" i="53"/>
  <c r="W663" i="53"/>
  <c r="AJ660" i="53"/>
  <c r="AD658" i="53"/>
  <c r="AC656" i="53"/>
  <c r="AE656" i="53"/>
  <c r="AT655" i="53"/>
  <c r="AA652" i="53"/>
  <c r="Z651" i="53"/>
  <c r="AA651" i="53"/>
  <c r="AL647" i="53"/>
  <c r="AN647" i="53"/>
  <c r="Q647" i="53"/>
  <c r="S647" i="53"/>
  <c r="R643" i="53"/>
  <c r="AG642" i="53"/>
  <c r="AH642" i="53"/>
  <c r="AI642" i="53"/>
  <c r="AI640" i="53"/>
  <c r="AM638" i="53"/>
  <c r="AC627" i="53"/>
  <c r="AD627" i="53"/>
  <c r="V623" i="53"/>
  <c r="W623" i="53"/>
  <c r="X623" i="53"/>
  <c r="V615" i="53"/>
  <c r="W615" i="53"/>
  <c r="X615" i="53"/>
  <c r="AE680" i="53"/>
  <c r="R678" i="53"/>
  <c r="T677" i="53"/>
  <c r="V673" i="53"/>
  <c r="W673" i="53"/>
  <c r="X673" i="53"/>
  <c r="X669" i="53"/>
  <c r="AI662" i="53"/>
  <c r="AJ662" i="53"/>
  <c r="R659" i="53"/>
  <c r="AP681" i="53"/>
  <c r="Z681" i="53"/>
  <c r="AD680" i="53"/>
  <c r="AI677" i="53"/>
  <c r="S677" i="53"/>
  <c r="AI676" i="53"/>
  <c r="AL675" i="53"/>
  <c r="AE672" i="53"/>
  <c r="V669" i="53"/>
  <c r="AE666" i="53"/>
  <c r="AD666" i="53"/>
  <c r="AH665" i="53"/>
  <c r="Q665" i="53"/>
  <c r="S663" i="53"/>
  <c r="AI660" i="53"/>
  <c r="Q659" i="53"/>
  <c r="AC658" i="53"/>
  <c r="Z656" i="53"/>
  <c r="AA656" i="53"/>
  <c r="AN650" i="53"/>
  <c r="R649" i="53"/>
  <c r="T649" i="53"/>
  <c r="W648" i="53"/>
  <c r="V648" i="53"/>
  <c r="X648" i="53"/>
  <c r="AS646" i="53"/>
  <c r="AT646" i="53"/>
  <c r="AE646" i="53"/>
  <c r="AN644" i="53"/>
  <c r="AM644" i="53"/>
  <c r="AG643" i="53"/>
  <c r="AH643" i="53"/>
  <c r="Q643" i="53"/>
  <c r="AH640" i="53"/>
  <c r="Q640" i="53"/>
  <c r="S639" i="53"/>
  <c r="AL638" i="53"/>
  <c r="R635" i="53"/>
  <c r="S635" i="53"/>
  <c r="AI633" i="53"/>
  <c r="R633" i="53"/>
  <c r="T633" i="53"/>
  <c r="AL628" i="53"/>
  <c r="AN628" i="53"/>
  <c r="AN680" i="53"/>
  <c r="AE679" i="53"/>
  <c r="T676" i="53"/>
  <c r="AL673" i="53"/>
  <c r="AM673" i="53"/>
  <c r="AN673" i="53"/>
  <c r="AC671" i="53"/>
  <c r="AD671" i="53"/>
  <c r="T670" i="53"/>
  <c r="AM669" i="53"/>
  <c r="AN669" i="53"/>
  <c r="AS661" i="53"/>
  <c r="AT661" i="53"/>
  <c r="W661" i="53"/>
  <c r="X661" i="53"/>
  <c r="AP654" i="53"/>
  <c r="X654" i="53"/>
  <c r="V654" i="53"/>
  <c r="W654" i="53"/>
  <c r="AH653" i="53"/>
  <c r="AG653" i="53"/>
  <c r="AJ651" i="53"/>
  <c r="T651" i="53"/>
  <c r="AL650" i="53"/>
  <c r="AG649" i="53"/>
  <c r="AI649" i="53"/>
  <c r="AJ649" i="53"/>
  <c r="S648" i="53"/>
  <c r="T648" i="53"/>
  <c r="AA642" i="53"/>
  <c r="AD639" i="53"/>
  <c r="R639" i="53"/>
  <c r="V638" i="53"/>
  <c r="W638" i="53"/>
  <c r="AN637" i="53"/>
  <c r="AL637" i="53"/>
  <c r="AE635" i="53"/>
  <c r="AC635" i="53"/>
  <c r="AE631" i="53"/>
  <c r="AS622" i="53"/>
  <c r="AT622" i="53"/>
  <c r="V614" i="53"/>
  <c r="W614" i="53"/>
  <c r="X614" i="53"/>
  <c r="AG609" i="53"/>
  <c r="AI609" i="53"/>
  <c r="AJ609" i="53"/>
  <c r="AH609" i="53"/>
  <c r="AL607" i="53"/>
  <c r="AN607" i="53"/>
  <c r="AM607" i="53"/>
  <c r="AN681" i="53"/>
  <c r="X681" i="53"/>
  <c r="AM680" i="53"/>
  <c r="AD679" i="53"/>
  <c r="S676" i="53"/>
  <c r="AA671" i="53"/>
  <c r="R670" i="53"/>
  <c r="AJ669" i="53"/>
  <c r="T669" i="53"/>
  <c r="AL667" i="53"/>
  <c r="AM667" i="53"/>
  <c r="AC663" i="53"/>
  <c r="AP655" i="53"/>
  <c r="AQ655" i="53"/>
  <c r="R654" i="53"/>
  <c r="S651" i="53"/>
  <c r="AT647" i="53"/>
  <c r="AC647" i="53"/>
  <c r="AD647" i="53"/>
  <c r="AE643" i="53"/>
  <c r="AD643" i="53"/>
  <c r="AS642" i="53"/>
  <c r="AT642" i="53"/>
  <c r="Q641" i="53"/>
  <c r="S641" i="53"/>
  <c r="T641" i="53"/>
  <c r="AS639" i="53"/>
  <c r="AT639" i="53"/>
  <c r="AC639" i="53"/>
  <c r="Q639" i="53"/>
  <c r="Q638" i="53"/>
  <c r="AP635" i="53"/>
  <c r="AQ635" i="53"/>
  <c r="AA635" i="53"/>
  <c r="AH633" i="53"/>
  <c r="AJ633" i="53"/>
  <c r="AT631" i="53"/>
  <c r="AS631" i="53"/>
  <c r="AD631" i="53"/>
  <c r="AT630" i="53"/>
  <c r="Q626" i="53"/>
  <c r="T626" i="53"/>
  <c r="R626" i="53"/>
  <c r="S626" i="53"/>
  <c r="AT623" i="53"/>
  <c r="AS623" i="53"/>
  <c r="X622" i="53"/>
  <c r="W616" i="53"/>
  <c r="X616" i="53"/>
  <c r="V616" i="53"/>
  <c r="AM681" i="53"/>
  <c r="W681" i="53"/>
  <c r="AQ677" i="53"/>
  <c r="AA677" i="53"/>
  <c r="AC676" i="53"/>
  <c r="R676" i="53"/>
  <c r="X674" i="53"/>
  <c r="AE673" i="53"/>
  <c r="Q670" i="53"/>
  <c r="AI669" i="53"/>
  <c r="S669" i="53"/>
  <c r="AA660" i="53"/>
  <c r="AD657" i="53"/>
  <c r="AE657" i="53"/>
  <c r="AL655" i="53"/>
  <c r="AN655" i="53"/>
  <c r="Q654" i="53"/>
  <c r="AA653" i="53"/>
  <c r="AH651" i="53"/>
  <c r="AI651" i="53"/>
  <c r="Q651" i="53"/>
  <c r="AA649" i="53"/>
  <c r="AM648" i="53"/>
  <c r="AL648" i="53"/>
  <c r="AN648" i="53"/>
  <c r="AA647" i="53"/>
  <c r="Z647" i="53"/>
  <c r="V645" i="53"/>
  <c r="X645" i="53"/>
  <c r="AA643" i="53"/>
  <c r="AP642" i="53"/>
  <c r="AP639" i="53"/>
  <c r="AL635" i="53"/>
  <c r="Q634" i="53"/>
  <c r="R634" i="53"/>
  <c r="T634" i="53"/>
  <c r="AM632" i="53"/>
  <c r="AL632" i="53"/>
  <c r="AN632" i="53"/>
  <c r="AC628" i="53"/>
  <c r="AE628" i="53"/>
  <c r="V622" i="53"/>
  <c r="AS620" i="53"/>
  <c r="AT620" i="53"/>
  <c r="Q617" i="53"/>
  <c r="S617" i="53"/>
  <c r="T617" i="53"/>
  <c r="R617" i="53"/>
  <c r="AA669" i="53"/>
  <c r="AS668" i="53"/>
  <c r="AH668" i="53"/>
  <c r="AD667" i="53"/>
  <c r="S667" i="53"/>
  <c r="AN666" i="53"/>
  <c r="AL663" i="53"/>
  <c r="AD661" i="53"/>
  <c r="AE660" i="53"/>
  <c r="AI659" i="53"/>
  <c r="V659" i="53"/>
  <c r="AA658" i="53"/>
  <c r="T657" i="53"/>
  <c r="AE655" i="53"/>
  <c r="X652" i="53"/>
  <c r="AM651" i="53"/>
  <c r="AS650" i="53"/>
  <c r="AD644" i="53"/>
  <c r="T642" i="53"/>
  <c r="AI641" i="53"/>
  <c r="AG635" i="53"/>
  <c r="V635" i="53"/>
  <c r="V632" i="53"/>
  <c r="AP630" i="53"/>
  <c r="AD630" i="53"/>
  <c r="AE629" i="53"/>
  <c r="AQ627" i="53"/>
  <c r="AG625" i="53"/>
  <c r="Q622" i="53"/>
  <c r="R622" i="53"/>
  <c r="AE619" i="53"/>
  <c r="AC619" i="53"/>
  <c r="AG617" i="53"/>
  <c r="AH617" i="53"/>
  <c r="AC613" i="53"/>
  <c r="S611" i="53"/>
  <c r="AI610" i="53"/>
  <c r="Q610" i="53"/>
  <c r="R610" i="53"/>
  <c r="S610" i="53"/>
  <c r="S608" i="53"/>
  <c r="T607" i="53"/>
  <c r="Q607" i="53"/>
  <c r="R607" i="53"/>
  <c r="AD606" i="53"/>
  <c r="AP602" i="53"/>
  <c r="AQ602" i="53"/>
  <c r="AG601" i="53"/>
  <c r="AI601" i="53"/>
  <c r="R601" i="53"/>
  <c r="AG600" i="53"/>
  <c r="AH600" i="53"/>
  <c r="AP593" i="53"/>
  <c r="AQ593" i="53"/>
  <c r="V591" i="53"/>
  <c r="X591" i="53"/>
  <c r="AP582" i="53"/>
  <c r="AQ582" i="53"/>
  <c r="AI652" i="53"/>
  <c r="S642" i="53"/>
  <c r="X639" i="53"/>
  <c r="X636" i="53"/>
  <c r="AD634" i="53"/>
  <c r="X631" i="53"/>
  <c r="AG626" i="53"/>
  <c r="AH626" i="53"/>
  <c r="AT614" i="53"/>
  <c r="AT613" i="53"/>
  <c r="AH610" i="53"/>
  <c r="AM608" i="53"/>
  <c r="AL608" i="53"/>
  <c r="AN608" i="53"/>
  <c r="AS606" i="53"/>
  <c r="AT606" i="53"/>
  <c r="AS604" i="53"/>
  <c r="AS603" i="53"/>
  <c r="AN602" i="53"/>
  <c r="AL602" i="53"/>
  <c r="AA602" i="53"/>
  <c r="AC597" i="53"/>
  <c r="AE597" i="53"/>
  <c r="Q586" i="53"/>
  <c r="R586" i="53"/>
  <c r="S586" i="53"/>
  <c r="AC580" i="53"/>
  <c r="AD580" i="53"/>
  <c r="AE580" i="53"/>
  <c r="AJ615" i="53"/>
  <c r="AG615" i="53"/>
  <c r="AH615" i="53"/>
  <c r="AC614" i="53"/>
  <c r="AD614" i="53"/>
  <c r="AE614" i="53"/>
  <c r="R611" i="53"/>
  <c r="T611" i="53"/>
  <c r="AQ609" i="53"/>
  <c r="Q608" i="53"/>
  <c r="T608" i="53"/>
  <c r="AD607" i="53"/>
  <c r="AC607" i="53"/>
  <c r="AE607" i="53"/>
  <c r="AC603" i="53"/>
  <c r="AD603" i="53"/>
  <c r="AD594" i="53"/>
  <c r="AE594" i="53"/>
  <c r="AQ591" i="53"/>
  <c r="AP591" i="53"/>
  <c r="Z587" i="53"/>
  <c r="AA587" i="53"/>
  <c r="AG578" i="53"/>
  <c r="AI578" i="53"/>
  <c r="AJ578" i="53"/>
  <c r="Z627" i="53"/>
  <c r="AA627" i="53"/>
  <c r="AC622" i="53"/>
  <c r="AE622" i="53"/>
  <c r="AD621" i="53"/>
  <c r="V620" i="53"/>
  <c r="AC611" i="53"/>
  <c r="AE611" i="53"/>
  <c r="AS610" i="53"/>
  <c r="AE610" i="53"/>
  <c r="AC610" i="53"/>
  <c r="AD610" i="53"/>
  <c r="X606" i="53"/>
  <c r="AC605" i="53"/>
  <c r="AP604" i="53"/>
  <c r="AA603" i="53"/>
  <c r="Z603" i="53"/>
  <c r="AQ600" i="53"/>
  <c r="W599" i="53"/>
  <c r="V599" i="53"/>
  <c r="X599" i="53"/>
  <c r="Q593" i="53"/>
  <c r="R593" i="53"/>
  <c r="S593" i="53"/>
  <c r="AL588" i="53"/>
  <c r="AM588" i="53"/>
  <c r="AP585" i="53"/>
  <c r="AQ585" i="53"/>
  <c r="AD615" i="53"/>
  <c r="AE615" i="53"/>
  <c r="AL613" i="53"/>
  <c r="AA611" i="53"/>
  <c r="Z610" i="53"/>
  <c r="S609" i="53"/>
  <c r="AA608" i="53"/>
  <c r="X607" i="53"/>
  <c r="AD595" i="53"/>
  <c r="AC595" i="53"/>
  <c r="AE595" i="53"/>
  <c r="AP594" i="53"/>
  <c r="AQ594" i="53"/>
  <c r="AL590" i="53"/>
  <c r="AM590" i="53"/>
  <c r="AN590" i="53"/>
  <c r="AS589" i="53"/>
  <c r="AT589" i="53"/>
  <c r="AG577" i="53"/>
  <c r="AH577" i="53"/>
  <c r="AI577" i="53"/>
  <c r="AJ577" i="53"/>
  <c r="Z615" i="53"/>
  <c r="AP610" i="53"/>
  <c r="AQ610" i="53"/>
  <c r="AQ607" i="53"/>
  <c r="AP607" i="53"/>
  <c r="W607" i="53"/>
  <c r="AL606" i="53"/>
  <c r="AM606" i="53"/>
  <c r="AJ590" i="53"/>
  <c r="AH590" i="53"/>
  <c r="AI590" i="53"/>
  <c r="V589" i="53"/>
  <c r="W589" i="53"/>
  <c r="X589" i="53"/>
  <c r="AT587" i="53"/>
  <c r="AS587" i="53"/>
  <c r="X578" i="53"/>
  <c r="W578" i="53"/>
  <c r="AL614" i="53"/>
  <c r="AN614" i="53"/>
  <c r="R609" i="53"/>
  <c r="T609" i="53"/>
  <c r="AL603" i="53"/>
  <c r="AN603" i="53"/>
  <c r="AH599" i="53"/>
  <c r="AI599" i="53"/>
  <c r="AJ599" i="53"/>
  <c r="Z598" i="53"/>
  <c r="AA598" i="53"/>
  <c r="AL597" i="53"/>
  <c r="AM597" i="53"/>
  <c r="Q594" i="53"/>
  <c r="S594" i="53"/>
  <c r="T594" i="53"/>
  <c r="AE593" i="53"/>
  <c r="AD593" i="53"/>
  <c r="Q589" i="53"/>
  <c r="R589" i="53"/>
  <c r="AP587" i="53"/>
  <c r="AQ587" i="53"/>
  <c r="AP586" i="53"/>
  <c r="AQ586" i="53"/>
  <c r="AP620" i="53"/>
  <c r="Z620" i="53"/>
  <c r="AG619" i="53"/>
  <c r="R618" i="53"/>
  <c r="Q614" i="53"/>
  <c r="Z606" i="53"/>
  <c r="AS600" i="53"/>
  <c r="AS598" i="53"/>
  <c r="W598" i="53"/>
  <c r="AA594" i="53"/>
  <c r="T592" i="53"/>
  <c r="AN591" i="53"/>
  <c r="Q591" i="53"/>
  <c r="AD589" i="53"/>
  <c r="AH586" i="53"/>
  <c r="AH584" i="53"/>
  <c r="T584" i="53"/>
  <c r="AQ578" i="53"/>
  <c r="AE578" i="53"/>
  <c r="T578" i="53"/>
  <c r="AC577" i="53"/>
  <c r="AN574" i="53"/>
  <c r="T600" i="53"/>
  <c r="X597" i="53"/>
  <c r="AJ594" i="53"/>
  <c r="S592" i="53"/>
  <c r="AN589" i="53"/>
  <c r="AG584" i="53"/>
  <c r="S584" i="53"/>
  <c r="AJ583" i="53"/>
  <c r="X583" i="53"/>
  <c r="Z582" i="53"/>
  <c r="AG581" i="53"/>
  <c r="X581" i="53"/>
  <c r="AD578" i="53"/>
  <c r="S578" i="53"/>
  <c r="AJ576" i="53"/>
  <c r="T576" i="53"/>
  <c r="AN575" i="53"/>
  <c r="T575" i="53"/>
  <c r="AM574" i="53"/>
  <c r="R600" i="53"/>
  <c r="AN598" i="53"/>
  <c r="AG597" i="53"/>
  <c r="X596" i="53"/>
  <c r="Z595" i="53"/>
  <c r="AS594" i="53"/>
  <c r="AG594" i="53"/>
  <c r="AS592" i="53"/>
  <c r="AP590" i="53"/>
  <c r="AE590" i="53"/>
  <c r="W590" i="53"/>
  <c r="W588" i="53"/>
  <c r="AL587" i="53"/>
  <c r="X587" i="53"/>
  <c r="AM586" i="53"/>
  <c r="AS585" i="53"/>
  <c r="AI585" i="53"/>
  <c r="AP584" i="53"/>
  <c r="AG583" i="53"/>
  <c r="R583" i="53"/>
  <c r="X582" i="53"/>
  <c r="AE581" i="53"/>
  <c r="V579" i="53"/>
  <c r="AL578" i="53"/>
  <c r="AA578" i="53"/>
  <c r="AT577" i="53"/>
  <c r="AH576" i="53"/>
  <c r="R576" i="53"/>
  <c r="R575" i="53"/>
  <c r="AM598" i="53"/>
  <c r="AT597" i="53"/>
  <c r="AD590" i="53"/>
  <c r="V587" i="53"/>
  <c r="AH585" i="53"/>
  <c r="AI582" i="53"/>
  <c r="W582" i="53"/>
  <c r="AD581" i="53"/>
  <c r="AS576" i="53"/>
  <c r="AE574" i="53"/>
  <c r="S574" i="53"/>
  <c r="Z592" i="53"/>
  <c r="AG589" i="53"/>
  <c r="AA584" i="53"/>
  <c r="AH582" i="53"/>
  <c r="AA575" i="53"/>
  <c r="Q574" i="53"/>
  <c r="Q644" i="53"/>
  <c r="R644" i="53"/>
  <c r="S644" i="53"/>
  <c r="T644" i="53"/>
  <c r="AM634" i="53"/>
  <c r="AN634" i="53"/>
  <c r="AL634" i="53"/>
  <c r="V613" i="53"/>
  <c r="X613" i="53"/>
  <c r="W613" i="53"/>
  <c r="AC587" i="53"/>
  <c r="AD587" i="53"/>
  <c r="AE587" i="53"/>
  <c r="AT681" i="53"/>
  <c r="AD681" i="53"/>
  <c r="AJ679" i="53"/>
  <c r="T679" i="53"/>
  <c r="AQ678" i="53"/>
  <c r="AA678" i="53"/>
  <c r="AH677" i="53"/>
  <c r="R677" i="53"/>
  <c r="AM674" i="53"/>
  <c r="W674" i="53"/>
  <c r="AT673" i="53"/>
  <c r="AD673" i="53"/>
  <c r="AJ671" i="53"/>
  <c r="T671" i="53"/>
  <c r="AQ670" i="53"/>
  <c r="AA670" i="53"/>
  <c r="AH669" i="53"/>
  <c r="R669" i="53"/>
  <c r="AM666" i="53"/>
  <c r="W666" i="53"/>
  <c r="AS665" i="53"/>
  <c r="AJ665" i="53"/>
  <c r="Z665" i="53"/>
  <c r="AA664" i="53"/>
  <c r="Q664" i="53"/>
  <c r="AP662" i="53"/>
  <c r="V662" i="53"/>
  <c r="AG661" i="53"/>
  <c r="V661" i="53"/>
  <c r="AH660" i="53"/>
  <c r="X660" i="53"/>
  <c r="AN658" i="53"/>
  <c r="S658" i="53"/>
  <c r="AN657" i="53"/>
  <c r="AC657" i="53"/>
  <c r="R657" i="53"/>
  <c r="AD656" i="53"/>
  <c r="AG655" i="53"/>
  <c r="AJ655" i="53"/>
  <c r="AT653" i="53"/>
  <c r="AJ653" i="53"/>
  <c r="AS652" i="53"/>
  <c r="AJ652" i="53"/>
  <c r="W651" i="53"/>
  <c r="AI650" i="53"/>
  <c r="AL649" i="53"/>
  <c r="AM649" i="53"/>
  <c r="AN649" i="53"/>
  <c r="AQ648" i="53"/>
  <c r="AG648" i="53"/>
  <c r="S646" i="53"/>
  <c r="T646" i="53"/>
  <c r="Q646" i="53"/>
  <c r="AH645" i="53"/>
  <c r="AI645" i="53"/>
  <c r="AJ645" i="53"/>
  <c r="AS643" i="53"/>
  <c r="AQ640" i="53"/>
  <c r="AJ639" i="53"/>
  <c r="AG639" i="53"/>
  <c r="AH639" i="53"/>
  <c r="AQ638" i="53"/>
  <c r="AP638" i="53"/>
  <c r="AS633" i="53"/>
  <c r="AQ631" i="53"/>
  <c r="AJ631" i="53"/>
  <c r="AI631" i="53"/>
  <c r="W629" i="53"/>
  <c r="AD628" i="53"/>
  <c r="AQ625" i="53"/>
  <c r="AP623" i="53"/>
  <c r="AA622" i="53"/>
  <c r="Z622" i="53"/>
  <c r="R621" i="53"/>
  <c r="S621" i="53"/>
  <c r="T621" i="53"/>
  <c r="AC599" i="53"/>
  <c r="AD599" i="53"/>
  <c r="AE599" i="53"/>
  <c r="AP641" i="53"/>
  <c r="AQ641" i="53"/>
  <c r="AS640" i="53"/>
  <c r="AT640" i="53"/>
  <c r="Z632" i="53"/>
  <c r="AA632" i="53"/>
  <c r="Z629" i="53"/>
  <c r="AA629" i="53"/>
  <c r="AM626" i="53"/>
  <c r="AN626" i="53"/>
  <c r="AL626" i="53"/>
  <c r="AT625" i="53"/>
  <c r="AS625" i="53"/>
  <c r="AE618" i="53"/>
  <c r="AC618" i="53"/>
  <c r="AD618" i="53"/>
  <c r="T599" i="53"/>
  <c r="Q599" i="53"/>
  <c r="S599" i="53"/>
  <c r="R599" i="53"/>
  <c r="AQ574" i="53"/>
  <c r="AP574" i="53"/>
  <c r="AJ680" i="53"/>
  <c r="T680" i="53"/>
  <c r="AI679" i="53"/>
  <c r="S679" i="53"/>
  <c r="AN676" i="53"/>
  <c r="X676" i="53"/>
  <c r="AE675" i="53"/>
  <c r="AJ672" i="53"/>
  <c r="T672" i="53"/>
  <c r="AI671" i="53"/>
  <c r="S671" i="53"/>
  <c r="AN668" i="53"/>
  <c r="X668" i="53"/>
  <c r="AE667" i="53"/>
  <c r="AI665" i="53"/>
  <c r="AT664" i="53"/>
  <c r="AJ664" i="53"/>
  <c r="AE662" i="53"/>
  <c r="AQ661" i="53"/>
  <c r="W660" i="53"/>
  <c r="AL658" i="53"/>
  <c r="AM657" i="53"/>
  <c r="Q657" i="53"/>
  <c r="AT651" i="53"/>
  <c r="V651" i="53"/>
  <c r="AH650" i="53"/>
  <c r="V649" i="53"/>
  <c r="W649" i="53"/>
  <c r="X649" i="53"/>
  <c r="Q648" i="53"/>
  <c r="R648" i="53"/>
  <c r="Z646" i="53"/>
  <c r="V641" i="53"/>
  <c r="W641" i="53"/>
  <c r="X641" i="53"/>
  <c r="Z637" i="53"/>
  <c r="AA637" i="53"/>
  <c r="V629" i="53"/>
  <c r="Q628" i="53"/>
  <c r="R628" i="53"/>
  <c r="S628" i="53"/>
  <c r="AG624" i="53"/>
  <c r="AI624" i="53"/>
  <c r="AJ624" i="53"/>
  <c r="Z616" i="53"/>
  <c r="T681" i="53"/>
  <c r="AI680" i="53"/>
  <c r="W676" i="53"/>
  <c r="AJ673" i="53"/>
  <c r="T673" i="53"/>
  <c r="AI672" i="53"/>
  <c r="S672" i="53"/>
  <c r="AH671" i="53"/>
  <c r="R671" i="53"/>
  <c r="AM668" i="53"/>
  <c r="AT667" i="53"/>
  <c r="AC648" i="53"/>
  <c r="AD648" i="53"/>
  <c r="AE648" i="53"/>
  <c r="AA630" i="53"/>
  <c r="Z630" i="53"/>
  <c r="AH629" i="53"/>
  <c r="AI629" i="53"/>
  <c r="AJ629" i="53"/>
  <c r="AS627" i="53"/>
  <c r="AT627" i="53"/>
  <c r="W626" i="53"/>
  <c r="X626" i="53"/>
  <c r="AD625" i="53"/>
  <c r="AE625" i="53"/>
  <c r="AC624" i="53"/>
  <c r="AD624" i="53"/>
  <c r="AE624" i="53"/>
  <c r="T623" i="53"/>
  <c r="Q623" i="53"/>
  <c r="R623" i="53"/>
  <c r="AP621" i="53"/>
  <c r="AQ621" i="53"/>
  <c r="AD617" i="53"/>
  <c r="AE617" i="53"/>
  <c r="AC617" i="53"/>
  <c r="AJ681" i="53"/>
  <c r="AQ680" i="53"/>
  <c r="AA680" i="53"/>
  <c r="S680" i="53"/>
  <c r="AH679" i="53"/>
  <c r="R679" i="53"/>
  <c r="AN677" i="53"/>
  <c r="X677" i="53"/>
  <c r="AM676" i="53"/>
  <c r="AE676" i="53"/>
  <c r="AT675" i="53"/>
  <c r="AD675" i="53"/>
  <c r="AQ672" i="53"/>
  <c r="AA672" i="53"/>
  <c r="W668" i="53"/>
  <c r="AI681" i="53"/>
  <c r="S681" i="53"/>
  <c r="AN678" i="53"/>
  <c r="X678" i="53"/>
  <c r="AE677" i="53"/>
  <c r="AT676" i="53"/>
  <c r="AJ674" i="53"/>
  <c r="T674" i="53"/>
  <c r="AI673" i="53"/>
  <c r="S673" i="53"/>
  <c r="AN670" i="53"/>
  <c r="X670" i="53"/>
  <c r="AE669" i="53"/>
  <c r="AJ666" i="53"/>
  <c r="T666" i="53"/>
  <c r="W665" i="53"/>
  <c r="AQ664" i="53"/>
  <c r="AG664" i="53"/>
  <c r="AL662" i="53"/>
  <c r="AN661" i="53"/>
  <c r="AC661" i="53"/>
  <c r="S661" i="53"/>
  <c r="AN660" i="53"/>
  <c r="AC660" i="53"/>
  <c r="T660" i="53"/>
  <c r="AI658" i="53"/>
  <c r="AJ657" i="53"/>
  <c r="AT656" i="53"/>
  <c r="AJ656" i="53"/>
  <c r="AM655" i="53"/>
  <c r="AE654" i="53"/>
  <c r="AQ653" i="53"/>
  <c r="W652" i="53"/>
  <c r="AQ651" i="53"/>
  <c r="AE650" i="53"/>
  <c r="AC650" i="53"/>
  <c r="AD650" i="53"/>
  <c r="Q650" i="53"/>
  <c r="R650" i="53"/>
  <c r="T650" i="53"/>
  <c r="Z648" i="53"/>
  <c r="AA648" i="53"/>
  <c r="AI647" i="53"/>
  <c r="T647" i="53"/>
  <c r="R647" i="53"/>
  <c r="AT644" i="53"/>
  <c r="S638" i="53"/>
  <c r="T638" i="53"/>
  <c r="V637" i="53"/>
  <c r="W637" i="53"/>
  <c r="AL636" i="53"/>
  <c r="AA633" i="53"/>
  <c r="AH632" i="53"/>
  <c r="T632" i="53"/>
  <c r="T631" i="53"/>
  <c r="Q631" i="53"/>
  <c r="S631" i="53"/>
  <c r="Z625" i="53"/>
  <c r="AA625" i="53"/>
  <c r="AQ624" i="53"/>
  <c r="AN619" i="53"/>
  <c r="AL619" i="53"/>
  <c r="AA619" i="53"/>
  <c r="AP617" i="53"/>
  <c r="AQ617" i="53"/>
  <c r="AA614" i="53"/>
  <c r="Z614" i="53"/>
  <c r="AH681" i="53"/>
  <c r="R681" i="53"/>
  <c r="AN679" i="53"/>
  <c r="X679" i="53"/>
  <c r="AM678" i="53"/>
  <c r="AE678" i="53"/>
  <c r="W678" i="53"/>
  <c r="AT677" i="53"/>
  <c r="AD677" i="53"/>
  <c r="AQ674" i="53"/>
  <c r="AI674" i="53"/>
  <c r="AA674" i="53"/>
  <c r="S674" i="53"/>
  <c r="AH673" i="53"/>
  <c r="R673" i="53"/>
  <c r="AN671" i="53"/>
  <c r="X671" i="53"/>
  <c r="AM670" i="53"/>
  <c r="AE670" i="53"/>
  <c r="W670" i="53"/>
  <c r="AT669" i="53"/>
  <c r="AD669" i="53"/>
  <c r="AQ666" i="53"/>
  <c r="AI666" i="53"/>
  <c r="AA666" i="53"/>
  <c r="S666" i="53"/>
  <c r="AI663" i="53"/>
  <c r="Q663" i="53"/>
  <c r="T663" i="53"/>
  <c r="AL661" i="53"/>
  <c r="Q661" i="53"/>
  <c r="S660" i="53"/>
  <c r="AE659" i="53"/>
  <c r="AH658" i="53"/>
  <c r="AH657" i="53"/>
  <c r="X657" i="53"/>
  <c r="AI656" i="53"/>
  <c r="S655" i="53"/>
  <c r="AM654" i="53"/>
  <c r="AD654" i="53"/>
  <c r="AD653" i="53"/>
  <c r="T653" i="53"/>
  <c r="AE652" i="53"/>
  <c r="AH647" i="53"/>
  <c r="AG644" i="53"/>
  <c r="AH644" i="53"/>
  <c r="AI644" i="53"/>
  <c r="AN643" i="53"/>
  <c r="AL643" i="53"/>
  <c r="AM643" i="53"/>
  <c r="AE642" i="53"/>
  <c r="AC642" i="53"/>
  <c r="R637" i="53"/>
  <c r="S637" i="53"/>
  <c r="T637" i="53"/>
  <c r="Q637" i="53"/>
  <c r="AL633" i="53"/>
  <c r="AM633" i="53"/>
  <c r="AN633" i="53"/>
  <c r="AQ632" i="53"/>
  <c r="AG632" i="53"/>
  <c r="AH630" i="53"/>
  <c r="X627" i="53"/>
  <c r="W627" i="53"/>
  <c r="AI622" i="53"/>
  <c r="AJ622" i="53"/>
  <c r="AH622" i="53"/>
  <c r="Q620" i="53"/>
  <c r="S620" i="53"/>
  <c r="R620" i="53"/>
  <c r="AL617" i="53"/>
  <c r="AM617" i="53"/>
  <c r="AN617" i="53"/>
  <c r="AS616" i="53"/>
  <c r="AT616" i="53"/>
  <c r="AM679" i="53"/>
  <c r="W679" i="53"/>
  <c r="AT678" i="53"/>
  <c r="AD678" i="53"/>
  <c r="AQ675" i="53"/>
  <c r="AA675" i="53"/>
  <c r="AH674" i="53"/>
  <c r="R674" i="53"/>
  <c r="AM671" i="53"/>
  <c r="W671" i="53"/>
  <c r="AT670" i="53"/>
  <c r="AD670" i="53"/>
  <c r="AQ667" i="53"/>
  <c r="AA667" i="53"/>
  <c r="AH666" i="53"/>
  <c r="R666" i="53"/>
  <c r="AN665" i="53"/>
  <c r="AE665" i="53"/>
  <c r="AE664" i="53"/>
  <c r="AT662" i="53"/>
  <c r="Z662" i="53"/>
  <c r="AA661" i="53"/>
  <c r="R660" i="53"/>
  <c r="AD659" i="53"/>
  <c r="AQ658" i="53"/>
  <c r="AG658" i="53"/>
  <c r="X658" i="53"/>
  <c r="AG657" i="53"/>
  <c r="W657" i="53"/>
  <c r="AQ656" i="53"/>
  <c r="AG656" i="53"/>
  <c r="AL654" i="53"/>
  <c r="AN653" i="53"/>
  <c r="AC653" i="53"/>
  <c r="S653" i="53"/>
  <c r="AN652" i="53"/>
  <c r="AC652" i="53"/>
  <c r="AG647" i="53"/>
  <c r="AS641" i="53"/>
  <c r="AA640" i="53"/>
  <c r="R640" i="53"/>
  <c r="T640" i="53"/>
  <c r="AT636" i="53"/>
  <c r="V633" i="53"/>
  <c r="W633" i="53"/>
  <c r="X633" i="53"/>
  <c r="Q632" i="53"/>
  <c r="R632" i="53"/>
  <c r="Z631" i="53"/>
  <c r="AP629" i="53"/>
  <c r="AQ629" i="53"/>
  <c r="X628" i="53"/>
  <c r="AM627" i="53"/>
  <c r="AP622" i="53"/>
  <c r="AM620" i="53"/>
  <c r="AM665" i="53"/>
  <c r="AC665" i="53"/>
  <c r="AD664" i="53"/>
  <c r="AG663" i="53"/>
  <c r="AJ663" i="53"/>
  <c r="AS660" i="53"/>
  <c r="V658" i="53"/>
  <c r="AP657" i="53"/>
  <c r="Q655" i="53"/>
  <c r="T655" i="53"/>
  <c r="AL653" i="53"/>
  <c r="Q653" i="53"/>
  <c r="AM652" i="53"/>
  <c r="AL645" i="53"/>
  <c r="AN645" i="53"/>
  <c r="AM642" i="53"/>
  <c r="AN642" i="53"/>
  <c r="AD641" i="53"/>
  <c r="AE641" i="53"/>
  <c r="AC641" i="53"/>
  <c r="AG636" i="53"/>
  <c r="AH636" i="53"/>
  <c r="AI636" i="53"/>
  <c r="AC632" i="53"/>
  <c r="AD632" i="53"/>
  <c r="AE632" i="53"/>
  <c r="AI630" i="53"/>
  <c r="AJ630" i="53"/>
  <c r="V628" i="53"/>
  <c r="AL627" i="53"/>
  <c r="AJ623" i="53"/>
  <c r="AG623" i="53"/>
  <c r="AI623" i="53"/>
  <c r="V621" i="53"/>
  <c r="X621" i="53"/>
  <c r="AL620" i="53"/>
  <c r="R616" i="53"/>
  <c r="S616" i="53"/>
  <c r="T616" i="53"/>
  <c r="Q616" i="53"/>
  <c r="AL651" i="53"/>
  <c r="AP646" i="53"/>
  <c r="AI646" i="53"/>
  <c r="AJ646" i="53"/>
  <c r="AP645" i="53"/>
  <c r="AQ645" i="53"/>
  <c r="W634" i="53"/>
  <c r="X634" i="53"/>
  <c r="R629" i="53"/>
  <c r="S629" i="53"/>
  <c r="T629" i="53"/>
  <c r="AC626" i="53"/>
  <c r="AL625" i="53"/>
  <c r="AM625" i="53"/>
  <c r="AN625" i="53"/>
  <c r="Z621" i="53"/>
  <c r="AA621" i="53"/>
  <c r="T615" i="53"/>
  <c r="Q615" i="53"/>
  <c r="S615" i="53"/>
  <c r="AM610" i="53"/>
  <c r="AN610" i="53"/>
  <c r="AL610" i="53"/>
  <c r="AT609" i="53"/>
  <c r="AS609" i="53"/>
  <c r="AH605" i="53"/>
  <c r="AI605" i="53"/>
  <c r="AJ605" i="53"/>
  <c r="AG605" i="53"/>
  <c r="AL604" i="53"/>
  <c r="AN604" i="53"/>
  <c r="AA597" i="53"/>
  <c r="Z597" i="53"/>
  <c r="AD649" i="53"/>
  <c r="AE649" i="53"/>
  <c r="R645" i="53"/>
  <c r="S645" i="53"/>
  <c r="T645" i="53"/>
  <c r="W642" i="53"/>
  <c r="X642" i="53"/>
  <c r="AC640" i="53"/>
  <c r="AD640" i="53"/>
  <c r="AE640" i="53"/>
  <c r="AH637" i="53"/>
  <c r="AI637" i="53"/>
  <c r="AJ637" i="53"/>
  <c r="AD633" i="53"/>
  <c r="AE633" i="53"/>
  <c r="AS624" i="53"/>
  <c r="AT624" i="53"/>
  <c r="S622" i="53"/>
  <c r="T622" i="53"/>
  <c r="V617" i="53"/>
  <c r="W617" i="53"/>
  <c r="X617" i="53"/>
  <c r="Z588" i="53"/>
  <c r="AA588" i="53"/>
  <c r="AP580" i="53"/>
  <c r="AQ580" i="53"/>
  <c r="Z613" i="53"/>
  <c r="AA613" i="53"/>
  <c r="AG608" i="53"/>
  <c r="AI608" i="53"/>
  <c r="AJ608" i="53"/>
  <c r="Z607" i="53"/>
  <c r="AA607" i="53"/>
  <c r="AE586" i="53"/>
  <c r="AC586" i="53"/>
  <c r="AD586" i="53"/>
  <c r="AS648" i="53"/>
  <c r="AT648" i="53"/>
  <c r="Z645" i="53"/>
  <c r="AA645" i="53"/>
  <c r="AL641" i="53"/>
  <c r="AM641" i="53"/>
  <c r="AN641" i="53"/>
  <c r="AI638" i="53"/>
  <c r="AJ638" i="53"/>
  <c r="AP637" i="53"/>
  <c r="AQ637" i="53"/>
  <c r="Q636" i="53"/>
  <c r="R636" i="53"/>
  <c r="S636" i="53"/>
  <c r="AS632" i="53"/>
  <c r="AT632" i="53"/>
  <c r="S630" i="53"/>
  <c r="T630" i="53"/>
  <c r="AG628" i="53"/>
  <c r="AH628" i="53"/>
  <c r="AI628" i="53"/>
  <c r="V625" i="53"/>
  <c r="W625" i="53"/>
  <c r="X625" i="53"/>
  <c r="AH621" i="53"/>
  <c r="AI621" i="53"/>
  <c r="AJ621" i="53"/>
  <c r="AD620" i="53"/>
  <c r="AE620" i="53"/>
  <c r="AM618" i="53"/>
  <c r="AN618" i="53"/>
  <c r="AS611" i="53"/>
  <c r="AT611" i="53"/>
  <c r="W610" i="53"/>
  <c r="X610" i="53"/>
  <c r="V610" i="53"/>
  <c r="AI606" i="53"/>
  <c r="AJ606" i="53"/>
  <c r="AG606" i="53"/>
  <c r="AP605" i="53"/>
  <c r="AQ605" i="53"/>
  <c r="R604" i="53"/>
  <c r="S604" i="53"/>
  <c r="T604" i="53"/>
  <c r="Q604" i="53"/>
  <c r="AS601" i="53"/>
  <c r="AT601" i="53"/>
  <c r="T598" i="53"/>
  <c r="Q598" i="53"/>
  <c r="S598" i="53"/>
  <c r="Z609" i="53"/>
  <c r="AA609" i="53"/>
  <c r="AQ608" i="53"/>
  <c r="W603" i="53"/>
  <c r="X603" i="53"/>
  <c r="V603" i="53"/>
  <c r="AD592" i="53"/>
  <c r="AE592" i="53"/>
  <c r="AC592" i="53"/>
  <c r="Q603" i="53"/>
  <c r="R603" i="53"/>
  <c r="S603" i="53"/>
  <c r="T603" i="53"/>
  <c r="AE601" i="53"/>
  <c r="AC601" i="53"/>
  <c r="AD601" i="53"/>
  <c r="AS599" i="53"/>
  <c r="AT599" i="53"/>
  <c r="AP592" i="53"/>
  <c r="AQ592" i="53"/>
  <c r="AJ607" i="53"/>
  <c r="AG607" i="53"/>
  <c r="AI607" i="53"/>
  <c r="R596" i="53"/>
  <c r="S596" i="53"/>
  <c r="T596" i="53"/>
  <c r="Q596" i="53"/>
  <c r="Q587" i="53"/>
  <c r="R587" i="53"/>
  <c r="S587" i="53"/>
  <c r="T587" i="53"/>
  <c r="AG620" i="53"/>
  <c r="AI620" i="53"/>
  <c r="AI614" i="53"/>
  <c r="AJ614" i="53"/>
  <c r="AP613" i="53"/>
  <c r="AQ613" i="53"/>
  <c r="Q612" i="53"/>
  <c r="R612" i="53"/>
  <c r="S612" i="53"/>
  <c r="AD609" i="53"/>
  <c r="AE609" i="53"/>
  <c r="Z605" i="53"/>
  <c r="AA605" i="53"/>
  <c r="W601" i="53"/>
  <c r="X601" i="53"/>
  <c r="AQ597" i="53"/>
  <c r="AP597" i="53"/>
  <c r="R597" i="53"/>
  <c r="AM596" i="53"/>
  <c r="AT593" i="53"/>
  <c r="S590" i="53"/>
  <c r="S589" i="53"/>
  <c r="T589" i="53"/>
  <c r="AT586" i="53"/>
  <c r="AQ581" i="53"/>
  <c r="AP581" i="53"/>
  <c r="AN580" i="53"/>
  <c r="AH575" i="53"/>
  <c r="AC616" i="53"/>
  <c r="AD616" i="53"/>
  <c r="AE616" i="53"/>
  <c r="AN613" i="53"/>
  <c r="R613" i="53"/>
  <c r="S613" i="53"/>
  <c r="T613" i="53"/>
  <c r="AL609" i="53"/>
  <c r="AM609" i="53"/>
  <c r="AN609" i="53"/>
  <c r="S606" i="53"/>
  <c r="T606" i="53"/>
  <c r="X605" i="53"/>
  <c r="AG604" i="53"/>
  <c r="AH604" i="53"/>
  <c r="AI604" i="53"/>
  <c r="X602" i="53"/>
  <c r="V602" i="53"/>
  <c r="W602" i="53"/>
  <c r="AD600" i="53"/>
  <c r="AE600" i="53"/>
  <c r="Z596" i="53"/>
  <c r="AA596" i="53"/>
  <c r="S591" i="53"/>
  <c r="R590" i="53"/>
  <c r="AT584" i="53"/>
  <c r="AS584" i="53"/>
  <c r="S582" i="53"/>
  <c r="R581" i="53"/>
  <c r="AM580" i="53"/>
  <c r="Z580" i="53"/>
  <c r="AA580" i="53"/>
  <c r="V578" i="53"/>
  <c r="W577" i="53"/>
  <c r="X577" i="53"/>
  <c r="W618" i="53"/>
  <c r="X618" i="53"/>
  <c r="AS608" i="53"/>
  <c r="AT608" i="53"/>
  <c r="AL600" i="53"/>
  <c r="AM600" i="53"/>
  <c r="AN600" i="53"/>
  <c r="AP598" i="53"/>
  <c r="AQ598" i="53"/>
  <c r="S597" i="53"/>
  <c r="T597" i="53"/>
  <c r="W594" i="53"/>
  <c r="W593" i="53"/>
  <c r="X593" i="53"/>
  <c r="AG591" i="53"/>
  <c r="AH591" i="53"/>
  <c r="AI591" i="53"/>
  <c r="R591" i="53"/>
  <c r="Q590" i="53"/>
  <c r="AM587" i="53"/>
  <c r="R582" i="53"/>
  <c r="Z576" i="53"/>
  <c r="AS575" i="53"/>
  <c r="AT575" i="53"/>
  <c r="AI575" i="53"/>
  <c r="AJ575" i="53"/>
  <c r="AC591" i="53"/>
  <c r="AD591" i="53"/>
  <c r="AE591" i="53"/>
  <c r="R588" i="53"/>
  <c r="S588" i="53"/>
  <c r="T588" i="53"/>
  <c r="Q588" i="53"/>
  <c r="X586" i="53"/>
  <c r="V586" i="53"/>
  <c r="W586" i="53"/>
  <c r="W585" i="53"/>
  <c r="X585" i="53"/>
  <c r="S581" i="53"/>
  <c r="T581" i="53"/>
  <c r="AC575" i="53"/>
  <c r="AD575" i="53"/>
  <c r="AE575" i="53"/>
  <c r="AJ574" i="53"/>
  <c r="AG574" i="53"/>
  <c r="AH574" i="53"/>
  <c r="AI574" i="53"/>
  <c r="S614" i="53"/>
  <c r="T614" i="53"/>
  <c r="AG612" i="53"/>
  <c r="AH612" i="53"/>
  <c r="AI612" i="53"/>
  <c r="W611" i="53"/>
  <c r="V609" i="53"/>
  <c r="W609" i="53"/>
  <c r="X609" i="53"/>
  <c r="AM602" i="53"/>
  <c r="AM595" i="53"/>
  <c r="AN595" i="53"/>
  <c r="AD585" i="53"/>
  <c r="AD584" i="53"/>
  <c r="AE584" i="53"/>
  <c r="AM579" i="53"/>
  <c r="AN579" i="53"/>
  <c r="V576" i="53"/>
  <c r="W576" i="53"/>
  <c r="X576" i="53"/>
  <c r="AL584" i="53"/>
  <c r="AM584" i="53"/>
  <c r="AN584" i="53"/>
  <c r="AC583" i="53"/>
  <c r="AD583" i="53"/>
  <c r="AE583" i="53"/>
  <c r="S583" i="53"/>
  <c r="T583" i="53"/>
  <c r="AH613" i="53"/>
  <c r="AI613" i="53"/>
  <c r="AJ613" i="53"/>
  <c r="AC608" i="53"/>
  <c r="AD608" i="53"/>
  <c r="AE608" i="53"/>
  <c r="R605" i="53"/>
  <c r="S605" i="53"/>
  <c r="T605" i="53"/>
  <c r="AG595" i="53"/>
  <c r="AH595" i="53"/>
  <c r="AI595" i="53"/>
  <c r="V592" i="53"/>
  <c r="W592" i="53"/>
  <c r="X592" i="53"/>
  <c r="AQ589" i="53"/>
  <c r="AP589" i="53"/>
  <c r="AG587" i="53"/>
  <c r="AH587" i="53"/>
  <c r="AI587" i="53"/>
  <c r="AM585" i="53"/>
  <c r="AN585" i="53"/>
  <c r="AP583" i="53"/>
  <c r="AQ583" i="53"/>
  <c r="R580" i="53"/>
  <c r="S580" i="53"/>
  <c r="T580" i="53"/>
  <c r="AG579" i="53"/>
  <c r="AH579" i="53"/>
  <c r="AI579" i="53"/>
  <c r="Z604" i="53"/>
  <c r="AM601" i="53"/>
  <c r="AN601" i="53"/>
  <c r="AH598" i="53"/>
  <c r="AH596" i="53"/>
  <c r="AI596" i="53"/>
  <c r="AJ596" i="53"/>
  <c r="AM594" i="53"/>
  <c r="AC593" i="53"/>
  <c r="AL592" i="53"/>
  <c r="AM592" i="53"/>
  <c r="AN592" i="53"/>
  <c r="AG590" i="53"/>
  <c r="AH588" i="53"/>
  <c r="AI588" i="53"/>
  <c r="AJ588" i="53"/>
  <c r="AS583" i="53"/>
  <c r="AT583" i="53"/>
  <c r="AG582" i="53"/>
  <c r="AM578" i="53"/>
  <c r="AD577" i="53"/>
  <c r="V600" i="53"/>
  <c r="W600" i="53"/>
  <c r="X600" i="53"/>
  <c r="AS591" i="53"/>
  <c r="AT591" i="53"/>
  <c r="AH580" i="53"/>
  <c r="AI580" i="53"/>
  <c r="AJ580" i="53"/>
  <c r="Q579" i="53"/>
  <c r="R579" i="53"/>
  <c r="S579" i="53"/>
  <c r="AD576" i="53"/>
  <c r="AE576" i="53"/>
  <c r="AG603" i="53"/>
  <c r="AH603" i="53"/>
  <c r="AI603" i="53"/>
  <c r="AI597" i="53"/>
  <c r="AJ597" i="53"/>
  <c r="AP596" i="53"/>
  <c r="AQ596" i="53"/>
  <c r="Q595" i="53"/>
  <c r="R595" i="53"/>
  <c r="S595" i="53"/>
  <c r="AM593" i="53"/>
  <c r="AN593" i="53"/>
  <c r="AI589" i="53"/>
  <c r="AJ589" i="53"/>
  <c r="AP588" i="53"/>
  <c r="AQ588" i="53"/>
  <c r="V584" i="53"/>
  <c r="W584" i="53"/>
  <c r="X584" i="53"/>
  <c r="AI581" i="53"/>
  <c r="AJ581" i="53"/>
  <c r="AM577" i="53"/>
  <c r="AN577" i="53"/>
  <c r="AL576" i="53"/>
  <c r="AM576" i="53"/>
  <c r="AN576" i="53"/>
  <c r="R594" i="53"/>
  <c r="AM591" i="53"/>
  <c r="W591" i="53"/>
  <c r="AT590" i="53"/>
  <c r="AM583" i="53"/>
  <c r="W583" i="53"/>
  <c r="AT582" i="53"/>
  <c r="AD582" i="53"/>
  <c r="AQ579" i="53"/>
  <c r="AA579" i="53"/>
  <c r="AH578" i="53"/>
  <c r="R578" i="53"/>
  <c r="AM575" i="53"/>
  <c r="W575" i="53"/>
  <c r="AT574" i="53"/>
  <c r="AD574" i="53"/>
  <c r="T574" i="53"/>
  <c r="M1072" i="53" l="1"/>
  <c r="M1071" i="53"/>
  <c r="M1070" i="53"/>
  <c r="M1069" i="53"/>
  <c r="J1068" i="53"/>
  <c r="M1068" i="53" s="1"/>
  <c r="M1067" i="53"/>
  <c r="M1066" i="53"/>
  <c r="M1065" i="53"/>
  <c r="J1064" i="53"/>
  <c r="M1064" i="53" s="1"/>
  <c r="J1063" i="53"/>
  <c r="M1063" i="53" s="1"/>
  <c r="M1062" i="53"/>
  <c r="M1061" i="53"/>
  <c r="M1060" i="53"/>
  <c r="M1059" i="53"/>
  <c r="M1058" i="53"/>
  <c r="M1045" i="53"/>
  <c r="M1044" i="53"/>
  <c r="M1043" i="53"/>
  <c r="M1042" i="53"/>
  <c r="M1041" i="53"/>
  <c r="M1040" i="53"/>
  <c r="M1039" i="53"/>
  <c r="M1038" i="53"/>
  <c r="M1037" i="53"/>
  <c r="J1036" i="53"/>
  <c r="M1036" i="53" s="1"/>
  <c r="J1035" i="53"/>
  <c r="M1035" i="53" s="1"/>
  <c r="J1034" i="53"/>
  <c r="M1034" i="53" s="1"/>
  <c r="J1033" i="53"/>
  <c r="M1033" i="53" s="1"/>
  <c r="J1032" i="53"/>
  <c r="M1032" i="53" s="1"/>
  <c r="J1031" i="53"/>
  <c r="M1031" i="53" s="1"/>
  <c r="J1030" i="53"/>
  <c r="M1030" i="53" s="1"/>
  <c r="J1029" i="53"/>
  <c r="M1029" i="53" s="1"/>
  <c r="J1028" i="53"/>
  <c r="M1028" i="53" s="1"/>
  <c r="J1027" i="53"/>
  <c r="M1027" i="53" s="1"/>
  <c r="J1026" i="53"/>
  <c r="M1026" i="53" s="1"/>
  <c r="J1025" i="53"/>
  <c r="M1025" i="53" s="1"/>
  <c r="J1024" i="53"/>
  <c r="M1024" i="53" s="1"/>
  <c r="J1023" i="53"/>
  <c r="M1023" i="53" s="1"/>
  <c r="J1022" i="53"/>
  <c r="M1022" i="53" s="1"/>
  <c r="J1021" i="53"/>
  <c r="M1021" i="53" s="1"/>
  <c r="J1020" i="53"/>
  <c r="M1020" i="53" s="1"/>
  <c r="J1019" i="53"/>
  <c r="M1019" i="53" s="1"/>
  <c r="J1018" i="53"/>
  <c r="M1018" i="53" s="1"/>
  <c r="M1017" i="53"/>
  <c r="J1016" i="53"/>
  <c r="M1016" i="53" s="1"/>
  <c r="M1015" i="53"/>
  <c r="M1014" i="53"/>
  <c r="M1013" i="53"/>
  <c r="M1012" i="53"/>
  <c r="M1011" i="53"/>
  <c r="M1010" i="53"/>
  <c r="M1009" i="53"/>
  <c r="M1008" i="53"/>
  <c r="J1007" i="53"/>
  <c r="M1007" i="53" s="1"/>
  <c r="J1006" i="53"/>
  <c r="M1006" i="53" s="1"/>
  <c r="J1005" i="53"/>
  <c r="M1005" i="53" s="1"/>
  <c r="J1004" i="53"/>
  <c r="M1004" i="53" s="1"/>
  <c r="J1003" i="53"/>
  <c r="M1003" i="53" s="1"/>
  <c r="J1002" i="53"/>
  <c r="M1002" i="53" s="1"/>
  <c r="J1001" i="53"/>
  <c r="M1001" i="53" s="1"/>
  <c r="J1000" i="53"/>
  <c r="M1000" i="53" s="1"/>
  <c r="J999" i="53"/>
  <c r="M999" i="53" s="1"/>
  <c r="J998" i="53"/>
  <c r="M998" i="53" s="1"/>
  <c r="J997" i="53"/>
  <c r="M997" i="53" s="1"/>
  <c r="J996" i="53"/>
  <c r="M996" i="53" s="1"/>
  <c r="J995" i="53"/>
  <c r="M995" i="53" s="1"/>
  <c r="J994" i="53"/>
  <c r="M994" i="53" s="1"/>
  <c r="J993" i="53"/>
  <c r="M993" i="53" s="1"/>
  <c r="J992" i="53"/>
  <c r="M992" i="53" s="1"/>
  <c r="J991" i="53"/>
  <c r="M991" i="53" s="1"/>
  <c r="J990" i="53"/>
  <c r="M990" i="53" s="1"/>
  <c r="J989" i="53"/>
  <c r="M989" i="53" s="1"/>
  <c r="M988" i="53"/>
  <c r="M987" i="53"/>
  <c r="M986" i="53"/>
  <c r="M985" i="53"/>
  <c r="M916" i="53"/>
  <c r="M915" i="53"/>
  <c r="J911" i="53"/>
  <c r="M911" i="53" s="1"/>
  <c r="J910" i="53"/>
  <c r="M910" i="53" s="1"/>
  <c r="M909" i="53"/>
  <c r="J908" i="53"/>
  <c r="M908" i="53" s="1"/>
  <c r="J907" i="53"/>
  <c r="M907" i="53" s="1"/>
  <c r="M906" i="53"/>
  <c r="M905" i="53"/>
  <c r="M904" i="53"/>
  <c r="M903" i="53"/>
  <c r="M902" i="53"/>
  <c r="M901" i="53"/>
  <c r="M900" i="53"/>
  <c r="M899" i="53"/>
  <c r="M898" i="53"/>
  <c r="M897" i="53"/>
  <c r="M896" i="53"/>
  <c r="M895" i="53"/>
  <c r="M894" i="53"/>
  <c r="M893" i="53"/>
  <c r="M892" i="53"/>
  <c r="M891" i="53"/>
  <c r="M890" i="53"/>
  <c r="M889" i="53"/>
  <c r="M888" i="53"/>
  <c r="M887" i="53"/>
  <c r="M886" i="53"/>
  <c r="M885" i="53"/>
  <c r="M884" i="53"/>
  <c r="M883" i="53"/>
  <c r="M841" i="53"/>
  <c r="M843" i="53"/>
  <c r="M842" i="53"/>
  <c r="M809" i="53"/>
  <c r="J573" i="53"/>
  <c r="M573" i="53" s="1"/>
  <c r="AO573" i="53" s="1"/>
  <c r="M572" i="53"/>
  <c r="Y572" i="53" s="1"/>
  <c r="M571" i="53"/>
  <c r="AF571" i="53" s="1"/>
  <c r="M570" i="53"/>
  <c r="AB570" i="53" s="1"/>
  <c r="AC570" i="53" s="1"/>
  <c r="M569" i="53"/>
  <c r="AO569" i="53" s="1"/>
  <c r="AP569" i="53" s="1"/>
  <c r="J568" i="53"/>
  <c r="M568" i="53" s="1"/>
  <c r="Y568" i="53" s="1"/>
  <c r="J567" i="53"/>
  <c r="M567" i="53" s="1"/>
  <c r="M566" i="53"/>
  <c r="P566" i="53" s="1"/>
  <c r="Q566" i="53" s="1"/>
  <c r="M565" i="53"/>
  <c r="P565" i="53" s="1"/>
  <c r="M564" i="53"/>
  <c r="AK564" i="53" s="1"/>
  <c r="J563" i="53"/>
  <c r="M563" i="53" s="1"/>
  <c r="AR563" i="53" s="1"/>
  <c r="M562" i="53"/>
  <c r="U562" i="53" s="1"/>
  <c r="J561" i="53"/>
  <c r="M561" i="53" s="1"/>
  <c r="M560" i="53"/>
  <c r="Y560" i="53" s="1"/>
  <c r="M559" i="53"/>
  <c r="AR559" i="53" s="1"/>
  <c r="M558" i="53"/>
  <c r="Y558" i="53" s="1"/>
  <c r="M557" i="53"/>
  <c r="AB557" i="53" s="1"/>
  <c r="M556" i="53"/>
  <c r="AK556" i="53" s="1"/>
  <c r="M555" i="53"/>
  <c r="AF555" i="53" s="1"/>
  <c r="M554" i="53"/>
  <c r="AB554" i="53" s="1"/>
  <c r="AC554" i="53" s="1"/>
  <c r="M553" i="53"/>
  <c r="AF553" i="53" s="1"/>
  <c r="M552" i="53"/>
  <c r="Y552" i="53" s="1"/>
  <c r="AA552" i="53" s="1"/>
  <c r="M551" i="53"/>
  <c r="AK551" i="53" s="1"/>
  <c r="AL551" i="53" s="1"/>
  <c r="M550" i="53"/>
  <c r="M549" i="53"/>
  <c r="AO549" i="53" s="1"/>
  <c r="AP549" i="53" s="1"/>
  <c r="M548" i="53"/>
  <c r="AB548" i="53" s="1"/>
  <c r="J547" i="53"/>
  <c r="M547" i="53" s="1"/>
  <c r="M546" i="53"/>
  <c r="AF546" i="53" s="1"/>
  <c r="AG546" i="53" s="1"/>
  <c r="J545" i="53"/>
  <c r="M545" i="53" s="1"/>
  <c r="U545" i="53" s="1"/>
  <c r="J544" i="53"/>
  <c r="M544" i="53" s="1"/>
  <c r="AB544" i="53" s="1"/>
  <c r="J543" i="53"/>
  <c r="M543" i="53" s="1"/>
  <c r="J542" i="53"/>
  <c r="M542" i="53" s="1"/>
  <c r="J541" i="53"/>
  <c r="M541" i="53" s="1"/>
  <c r="Y541" i="53" s="1"/>
  <c r="Z541" i="53" s="1"/>
  <c r="J540" i="53"/>
  <c r="M540" i="53" s="1"/>
  <c r="P540" i="53" s="1"/>
  <c r="R540" i="53" s="1"/>
  <c r="M539" i="53"/>
  <c r="AK539" i="53" s="1"/>
  <c r="M538" i="53"/>
  <c r="Y538" i="53" s="1"/>
  <c r="J537" i="53"/>
  <c r="M537" i="53" s="1"/>
  <c r="AR537" i="53" s="1"/>
  <c r="M536" i="53"/>
  <c r="M535" i="53"/>
  <c r="AF535" i="53" s="1"/>
  <c r="M534" i="53"/>
  <c r="Y534" i="53" s="1"/>
  <c r="J533" i="53"/>
  <c r="M533" i="53" s="1"/>
  <c r="AO533" i="53" s="1"/>
  <c r="M532" i="53"/>
  <c r="U532" i="53" s="1"/>
  <c r="M531" i="53"/>
  <c r="AK531" i="53" s="1"/>
  <c r="AL531" i="53" s="1"/>
  <c r="M530" i="53"/>
  <c r="P530" i="53" s="1"/>
  <c r="Q530" i="53" s="1"/>
  <c r="J529" i="53"/>
  <c r="M529" i="53" s="1"/>
  <c r="J528" i="53"/>
  <c r="M528" i="53" s="1"/>
  <c r="AF528" i="53" s="1"/>
  <c r="J527" i="53"/>
  <c r="M527" i="53" s="1"/>
  <c r="U527" i="53" s="1"/>
  <c r="V527" i="53" s="1"/>
  <c r="J526" i="53"/>
  <c r="M526" i="53" s="1"/>
  <c r="J525" i="53"/>
  <c r="M525" i="53" s="1"/>
  <c r="AR525" i="53" s="1"/>
  <c r="J524" i="53"/>
  <c r="M524" i="53" s="1"/>
  <c r="U524" i="53" s="1"/>
  <c r="M1057" i="53"/>
  <c r="M1056" i="53"/>
  <c r="M1055" i="53"/>
  <c r="M1054" i="53"/>
  <c r="M1053" i="53"/>
  <c r="M1052" i="53"/>
  <c r="M1051" i="53"/>
  <c r="M1050" i="53"/>
  <c r="M1049" i="53"/>
  <c r="M1048" i="53"/>
  <c r="M1047" i="53"/>
  <c r="M1046" i="53"/>
  <c r="M984" i="53"/>
  <c r="M983" i="53"/>
  <c r="M982" i="53"/>
  <c r="M981" i="53"/>
  <c r="M980" i="53"/>
  <c r="M979" i="53"/>
  <c r="M978" i="53"/>
  <c r="M977" i="53"/>
  <c r="M976" i="53"/>
  <c r="M975" i="53"/>
  <c r="J974" i="53"/>
  <c r="M974" i="53" s="1"/>
  <c r="M973" i="53"/>
  <c r="M972" i="53"/>
  <c r="M971" i="53"/>
  <c r="M970" i="53"/>
  <c r="M969" i="53"/>
  <c r="M968" i="53"/>
  <c r="M967" i="53"/>
  <c r="M966" i="53"/>
  <c r="M965" i="53"/>
  <c r="M964" i="53"/>
  <c r="M963" i="53"/>
  <c r="M962" i="53"/>
  <c r="M961" i="53"/>
  <c r="M960" i="53"/>
  <c r="M959" i="53"/>
  <c r="M958" i="53"/>
  <c r="M957" i="53"/>
  <c r="M956" i="53"/>
  <c r="M955" i="53"/>
  <c r="M954" i="53"/>
  <c r="M953" i="53"/>
  <c r="M952" i="53"/>
  <c r="M951" i="53"/>
  <c r="M950" i="53"/>
  <c r="M949" i="53"/>
  <c r="M948" i="53"/>
  <c r="M947" i="53"/>
  <c r="M946" i="53"/>
  <c r="M945" i="53"/>
  <c r="M944" i="53"/>
  <c r="M943" i="53"/>
  <c r="M942" i="53"/>
  <c r="M941" i="53"/>
  <c r="M940" i="53"/>
  <c r="M939" i="53"/>
  <c r="M938" i="53"/>
  <c r="M937" i="53"/>
  <c r="M936" i="53"/>
  <c r="M935" i="53"/>
  <c r="M934" i="53"/>
  <c r="M933" i="53"/>
  <c r="M932" i="53"/>
  <c r="M931" i="53"/>
  <c r="M930" i="53"/>
  <c r="M929" i="53"/>
  <c r="J928" i="53"/>
  <c r="M928" i="53" s="1"/>
  <c r="M927" i="53"/>
  <c r="M882" i="53"/>
  <c r="M881" i="53"/>
  <c r="M880" i="53"/>
  <c r="M879" i="53"/>
  <c r="M878" i="53"/>
  <c r="M877" i="53"/>
  <c r="M876" i="53"/>
  <c r="M875" i="53"/>
  <c r="M874" i="53"/>
  <c r="M873" i="53"/>
  <c r="M872" i="53"/>
  <c r="M871" i="53"/>
  <c r="M870" i="53"/>
  <c r="M869" i="53"/>
  <c r="M868" i="53"/>
  <c r="M867" i="53"/>
  <c r="M866" i="53"/>
  <c r="M865" i="53"/>
  <c r="M864" i="53"/>
  <c r="M863" i="53"/>
  <c r="M862" i="53"/>
  <c r="M861" i="53"/>
  <c r="M860" i="53"/>
  <c r="M859" i="53"/>
  <c r="M858" i="53"/>
  <c r="M857" i="53"/>
  <c r="M856" i="53"/>
  <c r="M855" i="53"/>
  <c r="M854" i="53"/>
  <c r="M853" i="53"/>
  <c r="M852" i="53"/>
  <c r="M851" i="53"/>
  <c r="M523" i="53"/>
  <c r="M522" i="53"/>
  <c r="AK522" i="53" s="1"/>
  <c r="M521" i="53"/>
  <c r="P521" i="53" s="1"/>
  <c r="M520" i="53"/>
  <c r="Y520" i="53" s="1"/>
  <c r="Z520" i="53" s="1"/>
  <c r="M519" i="53"/>
  <c r="AF519" i="53" s="1"/>
  <c r="AG519" i="53" s="1"/>
  <c r="M518" i="53"/>
  <c r="P518" i="53" s="1"/>
  <c r="M517" i="53"/>
  <c r="P517" i="53" s="1"/>
  <c r="M516" i="53"/>
  <c r="P516" i="53" s="1"/>
  <c r="M515" i="53"/>
  <c r="AK515" i="53" s="1"/>
  <c r="M514" i="53"/>
  <c r="AB514" i="53" s="1"/>
  <c r="AE514" i="53" s="1"/>
  <c r="M513" i="53"/>
  <c r="M512" i="53"/>
  <c r="AB512" i="53" s="1"/>
  <c r="AC512" i="53" s="1"/>
  <c r="M511" i="53"/>
  <c r="AO511" i="53" s="1"/>
  <c r="M510" i="53"/>
  <c r="AR510" i="53" s="1"/>
  <c r="M509" i="53"/>
  <c r="AB509" i="53" s="1"/>
  <c r="M508" i="53"/>
  <c r="P508" i="53" s="1"/>
  <c r="S508" i="53" s="1"/>
  <c r="M507" i="53"/>
  <c r="Y507" i="53" s="1"/>
  <c r="M506" i="53"/>
  <c r="AF506" i="53" s="1"/>
  <c r="M505" i="53"/>
  <c r="AF505" i="53" s="1"/>
  <c r="AG505" i="53" s="1"/>
  <c r="M504" i="53"/>
  <c r="AF504" i="53" s="1"/>
  <c r="M503" i="53"/>
  <c r="AF503" i="53" s="1"/>
  <c r="AJ503" i="53" s="1"/>
  <c r="M502" i="53"/>
  <c r="U502" i="53" s="1"/>
  <c r="V502" i="53" s="1"/>
  <c r="M501" i="53"/>
  <c r="AF501" i="53" s="1"/>
  <c r="M500" i="53"/>
  <c r="M499" i="53"/>
  <c r="P499" i="53" s="1"/>
  <c r="M498" i="53"/>
  <c r="Y498" i="53" s="1"/>
  <c r="M497" i="53"/>
  <c r="M496" i="53"/>
  <c r="U496" i="53" s="1"/>
  <c r="M495" i="53"/>
  <c r="AO495" i="53" s="1"/>
  <c r="M494" i="53"/>
  <c r="AB494" i="53" s="1"/>
  <c r="M493" i="53"/>
  <c r="U493" i="53" s="1"/>
  <c r="V493" i="53" s="1"/>
  <c r="M492" i="53"/>
  <c r="Y492" i="53" s="1"/>
  <c r="M491" i="53"/>
  <c r="M490" i="53"/>
  <c r="U490" i="53" s="1"/>
  <c r="M489" i="53"/>
  <c r="M488" i="53"/>
  <c r="AB488" i="53" s="1"/>
  <c r="M487" i="53"/>
  <c r="M486" i="53"/>
  <c r="M485" i="53"/>
  <c r="U485" i="53" s="1"/>
  <c r="V485" i="53" s="1"/>
  <c r="M484" i="53"/>
  <c r="M483" i="53"/>
  <c r="M482" i="53"/>
  <c r="M481" i="53"/>
  <c r="M480" i="53"/>
  <c r="U480" i="53" s="1"/>
  <c r="W480" i="53" s="1"/>
  <c r="M479" i="53"/>
  <c r="M478" i="53"/>
  <c r="AB478" i="53" s="1"/>
  <c r="M477" i="53"/>
  <c r="P477" i="53" s="1"/>
  <c r="M476" i="53"/>
  <c r="AB476" i="53" s="1"/>
  <c r="M475" i="53"/>
  <c r="M474" i="53"/>
  <c r="U474" i="53" s="1"/>
  <c r="M473" i="53"/>
  <c r="M472" i="53"/>
  <c r="P472" i="53" s="1"/>
  <c r="M471" i="53"/>
  <c r="M470" i="53"/>
  <c r="M469" i="53"/>
  <c r="AK469" i="53" s="1"/>
  <c r="M468" i="53"/>
  <c r="M467" i="53"/>
  <c r="M466" i="53"/>
  <c r="M465" i="53"/>
  <c r="M464" i="53"/>
  <c r="Y464" i="53" s="1"/>
  <c r="M463" i="53"/>
  <c r="M462" i="53"/>
  <c r="Y462" i="53" s="1"/>
  <c r="M461" i="53"/>
  <c r="AR461" i="53" s="1"/>
  <c r="M460" i="53"/>
  <c r="M459" i="53"/>
  <c r="J458" i="53"/>
  <c r="M458" i="53" s="1"/>
  <c r="AK458" i="53" s="1"/>
  <c r="J457" i="53"/>
  <c r="M457" i="53" s="1"/>
  <c r="M456" i="53"/>
  <c r="J455" i="53"/>
  <c r="M455" i="53" s="1"/>
  <c r="M914" i="53"/>
  <c r="M913" i="53"/>
  <c r="M912" i="53"/>
  <c r="M850" i="53"/>
  <c r="M849" i="53"/>
  <c r="M848" i="53"/>
  <c r="J847" i="53"/>
  <c r="M847" i="53" s="1"/>
  <c r="M846" i="53"/>
  <c r="M845" i="53"/>
  <c r="J844" i="53"/>
  <c r="M844" i="53" s="1"/>
  <c r="M840" i="53"/>
  <c r="M839" i="53"/>
  <c r="M838" i="53"/>
  <c r="M837" i="53"/>
  <c r="M836" i="53"/>
  <c r="M835" i="53"/>
  <c r="M834" i="53"/>
  <c r="J833" i="53"/>
  <c r="M833" i="53" s="1"/>
  <c r="J832" i="53"/>
  <c r="M832" i="53" s="1"/>
  <c r="J831" i="53"/>
  <c r="M831" i="53" s="1"/>
  <c r="J830" i="53"/>
  <c r="M830" i="53" s="1"/>
  <c r="J829" i="53"/>
  <c r="M829" i="53" s="1"/>
  <c r="J828" i="53"/>
  <c r="M828" i="53" s="1"/>
  <c r="J827" i="53"/>
  <c r="M827" i="53" s="1"/>
  <c r="J826" i="53"/>
  <c r="M826" i="53" s="1"/>
  <c r="J825" i="53"/>
  <c r="M825" i="53" s="1"/>
  <c r="J824" i="53"/>
  <c r="M824" i="53" s="1"/>
  <c r="J823" i="53"/>
  <c r="M823" i="53" s="1"/>
  <c r="M822" i="53"/>
  <c r="J821" i="53"/>
  <c r="M821" i="53" s="1"/>
  <c r="J820" i="53"/>
  <c r="M820" i="53" s="1"/>
  <c r="J819" i="53"/>
  <c r="M819" i="53" s="1"/>
  <c r="J818" i="53"/>
  <c r="M818" i="53" s="1"/>
  <c r="J817" i="53"/>
  <c r="M817" i="53" s="1"/>
  <c r="J816" i="53"/>
  <c r="M816" i="53" s="1"/>
  <c r="J815" i="53"/>
  <c r="M815" i="53" s="1"/>
  <c r="J814" i="53"/>
  <c r="M814" i="53" s="1"/>
  <c r="J813" i="53"/>
  <c r="M813" i="53" s="1"/>
  <c r="J812" i="53"/>
  <c r="M812" i="53" s="1"/>
  <c r="J811" i="53"/>
  <c r="M811" i="53" s="1"/>
  <c r="J810" i="53"/>
  <c r="M810" i="53" s="1"/>
  <c r="M454" i="53"/>
  <c r="M453" i="53"/>
  <c r="M452" i="53"/>
  <c r="M451" i="53"/>
  <c r="M450" i="53"/>
  <c r="M449" i="53"/>
  <c r="AO449" i="53" s="1"/>
  <c r="M448" i="53"/>
  <c r="AK448" i="53" s="1"/>
  <c r="M447" i="53"/>
  <c r="Y447" i="53" s="1"/>
  <c r="M446" i="53"/>
  <c r="Y446" i="53" s="1"/>
  <c r="AA446" i="53" s="1"/>
  <c r="M445" i="53"/>
  <c r="AK445" i="53" s="1"/>
  <c r="M444" i="53"/>
  <c r="U444" i="53" s="1"/>
  <c r="M443" i="53"/>
  <c r="Y443" i="53" s="1"/>
  <c r="M442" i="53"/>
  <c r="Y442" i="53" s="1"/>
  <c r="M441" i="53"/>
  <c r="P441" i="53" s="1"/>
  <c r="M440" i="53"/>
  <c r="AB440" i="53" s="1"/>
  <c r="AD440" i="53" s="1"/>
  <c r="M439" i="53"/>
  <c r="P439" i="53" s="1"/>
  <c r="M438" i="53"/>
  <c r="AB438" i="53" s="1"/>
  <c r="AE438" i="53" s="1"/>
  <c r="M437" i="53"/>
  <c r="P437" i="53" s="1"/>
  <c r="Q437" i="53" s="1"/>
  <c r="M436" i="53"/>
  <c r="AF436" i="53" s="1"/>
  <c r="AH436" i="53" s="1"/>
  <c r="M435" i="53"/>
  <c r="M434" i="53"/>
  <c r="U434" i="53" s="1"/>
  <c r="M433" i="53"/>
  <c r="AF433" i="53" s="1"/>
  <c r="M432" i="53"/>
  <c r="P432" i="53" s="1"/>
  <c r="M431" i="53"/>
  <c r="P431" i="53" s="1"/>
  <c r="T431" i="53" s="1"/>
  <c r="M430" i="53"/>
  <c r="AF430" i="53" s="1"/>
  <c r="AG430" i="53" s="1"/>
  <c r="M429" i="53"/>
  <c r="Y429" i="53" s="1"/>
  <c r="M428" i="53"/>
  <c r="AK428" i="53" s="1"/>
  <c r="AL428" i="53" s="1"/>
  <c r="M427" i="53"/>
  <c r="M426" i="53"/>
  <c r="AF426" i="53" s="1"/>
  <c r="M425" i="53"/>
  <c r="AK425" i="53" s="1"/>
  <c r="M424" i="53"/>
  <c r="AO424" i="53" s="1"/>
  <c r="AP424" i="53" s="1"/>
  <c r="M423" i="53"/>
  <c r="AF423" i="53" s="1"/>
  <c r="AG423" i="53" s="1"/>
  <c r="M422" i="53"/>
  <c r="Y422" i="53" s="1"/>
  <c r="Z422" i="53" s="1"/>
  <c r="J421" i="53"/>
  <c r="M421" i="53" s="1"/>
  <c r="J420" i="53"/>
  <c r="M420" i="53" s="1"/>
  <c r="AF420" i="53" s="1"/>
  <c r="AG420" i="53" s="1"/>
  <c r="J419" i="53"/>
  <c r="M419" i="53" s="1"/>
  <c r="AK419" i="53" s="1"/>
  <c r="AL419" i="53" s="1"/>
  <c r="J418" i="53"/>
  <c r="M418" i="53" s="1"/>
  <c r="U418" i="53" s="1"/>
  <c r="J417" i="53"/>
  <c r="M417" i="53" s="1"/>
  <c r="J416" i="53"/>
  <c r="M416" i="53" s="1"/>
  <c r="J415" i="53"/>
  <c r="M415" i="53" s="1"/>
  <c r="J414" i="53"/>
  <c r="M414" i="53" s="1"/>
  <c r="J413" i="53"/>
  <c r="M413" i="53" s="1"/>
  <c r="J412" i="53"/>
  <c r="M412" i="53" s="1"/>
  <c r="J411" i="53"/>
  <c r="M411" i="53" s="1"/>
  <c r="J410" i="53"/>
  <c r="M410" i="53" s="1"/>
  <c r="J409" i="53"/>
  <c r="M409" i="53" s="1"/>
  <c r="J408" i="53"/>
  <c r="M408" i="53" s="1"/>
  <c r="J407" i="53"/>
  <c r="M407" i="53" s="1"/>
  <c r="J406" i="53"/>
  <c r="M406" i="53" s="1"/>
  <c r="U406" i="53" s="1"/>
  <c r="X406" i="53" s="1"/>
  <c r="J405" i="53"/>
  <c r="M405" i="53" s="1"/>
  <c r="J404" i="53"/>
  <c r="M404" i="53" s="1"/>
  <c r="J403" i="53"/>
  <c r="M403" i="53" s="1"/>
  <c r="J402" i="53"/>
  <c r="M402" i="53" s="1"/>
  <c r="Y402" i="53" s="1"/>
  <c r="M401" i="53"/>
  <c r="AF401" i="53" s="1"/>
  <c r="M400" i="53"/>
  <c r="P400" i="53" s="1"/>
  <c r="M399" i="53"/>
  <c r="M398" i="53"/>
  <c r="AR398" i="53" s="1"/>
  <c r="M397" i="53"/>
  <c r="M396" i="53"/>
  <c r="M395" i="53"/>
  <c r="M394" i="53"/>
  <c r="U394" i="53" s="1"/>
  <c r="X394" i="53" s="1"/>
  <c r="M393" i="53"/>
  <c r="P393" i="53" s="1"/>
  <c r="M392" i="53"/>
  <c r="AK392" i="53" s="1"/>
  <c r="AL392" i="53" s="1"/>
  <c r="M391" i="53"/>
  <c r="M390" i="53"/>
  <c r="M389" i="53"/>
  <c r="M388" i="53"/>
  <c r="M387" i="53"/>
  <c r="M386" i="53"/>
  <c r="AB386" i="53" s="1"/>
  <c r="M385" i="53"/>
  <c r="AO385" i="53" s="1"/>
  <c r="M384" i="53"/>
  <c r="AF384" i="53" s="1"/>
  <c r="AI384" i="53" s="1"/>
  <c r="M383" i="53"/>
  <c r="M382" i="53"/>
  <c r="AR382" i="53" s="1"/>
  <c r="J381" i="53"/>
  <c r="M381" i="53" s="1"/>
  <c r="J380" i="53"/>
  <c r="M380" i="53" s="1"/>
  <c r="J379" i="53"/>
  <c r="M379" i="53" s="1"/>
  <c r="J378" i="53"/>
  <c r="M378" i="53" s="1"/>
  <c r="J377" i="53"/>
  <c r="M377" i="53" s="1"/>
  <c r="J376" i="53"/>
  <c r="M376" i="53" s="1"/>
  <c r="J375" i="53"/>
  <c r="M375" i="53" s="1"/>
  <c r="J374" i="53"/>
  <c r="M374" i="53" s="1"/>
  <c r="J373" i="53"/>
  <c r="M373" i="53" s="1"/>
  <c r="J372" i="53"/>
  <c r="M372" i="53" s="1"/>
  <c r="J371" i="53"/>
  <c r="M371" i="53" s="1"/>
  <c r="J370" i="53"/>
  <c r="M370" i="53" s="1"/>
  <c r="J369" i="53"/>
  <c r="M369" i="53" s="1"/>
  <c r="J368" i="53"/>
  <c r="M368" i="53" s="1"/>
  <c r="J367" i="53"/>
  <c r="M367" i="53" s="1"/>
  <c r="J366" i="53"/>
  <c r="M366" i="53" s="1"/>
  <c r="J365" i="53"/>
  <c r="M365" i="53" s="1"/>
  <c r="J364" i="53"/>
  <c r="M364" i="53" s="1"/>
  <c r="AR364" i="53" s="1"/>
  <c r="J363" i="53"/>
  <c r="M363" i="53" s="1"/>
  <c r="J362" i="53"/>
  <c r="M362" i="53" s="1"/>
  <c r="J361" i="53"/>
  <c r="M361" i="53" s="1"/>
  <c r="J360" i="53"/>
  <c r="M360" i="53" s="1"/>
  <c r="J359" i="53"/>
  <c r="M359" i="53" s="1"/>
  <c r="J358" i="53"/>
  <c r="M358" i="53" s="1"/>
  <c r="J357" i="53"/>
  <c r="M357" i="53" s="1"/>
  <c r="J356" i="53"/>
  <c r="M356" i="53" s="1"/>
  <c r="J355" i="53"/>
  <c r="M355" i="53" s="1"/>
  <c r="J354" i="53"/>
  <c r="M354" i="53" s="1"/>
  <c r="J353" i="53"/>
  <c r="M353" i="53" s="1"/>
  <c r="J352" i="53"/>
  <c r="M352" i="53" s="1"/>
  <c r="J351" i="53"/>
  <c r="M351" i="53" s="1"/>
  <c r="J350" i="53"/>
  <c r="M350" i="53" s="1"/>
  <c r="J349" i="53"/>
  <c r="M349" i="53" s="1"/>
  <c r="J348" i="53"/>
  <c r="M348" i="53" s="1"/>
  <c r="J347" i="53"/>
  <c r="M347" i="53" s="1"/>
  <c r="J346" i="53"/>
  <c r="M346" i="53" s="1"/>
  <c r="M345" i="53"/>
  <c r="M344" i="53"/>
  <c r="M343" i="53"/>
  <c r="M342" i="53"/>
  <c r="M341" i="53"/>
  <c r="M340" i="53"/>
  <c r="P340" i="53" s="1"/>
  <c r="M339" i="53"/>
  <c r="M338" i="53"/>
  <c r="M337" i="53"/>
  <c r="M336" i="53"/>
  <c r="M335" i="53"/>
  <c r="J334" i="53"/>
  <c r="M334" i="53" s="1"/>
  <c r="M333" i="53"/>
  <c r="Y333" i="53" s="1"/>
  <c r="Z333" i="53" s="1"/>
  <c r="M332" i="53"/>
  <c r="AB332" i="53" s="1"/>
  <c r="M1108" i="53"/>
  <c r="M1107" i="53"/>
  <c r="J1106" i="53"/>
  <c r="M1106" i="53" s="1"/>
  <c r="M1105" i="53"/>
  <c r="P3" i="53"/>
  <c r="Q3" i="53" s="1"/>
  <c r="M926" i="53"/>
  <c r="M925" i="53"/>
  <c r="Y545" i="53" l="1"/>
  <c r="Z545" i="53" s="1"/>
  <c r="AF560" i="53"/>
  <c r="AI560" i="53" s="1"/>
  <c r="AF569" i="53"/>
  <c r="AG569" i="53" s="1"/>
  <c r="AR572" i="53"/>
  <c r="AS572" i="53" s="1"/>
  <c r="AB533" i="53"/>
  <c r="AC533" i="53" s="1"/>
  <c r="U560" i="53"/>
  <c r="V560" i="53" s="1"/>
  <c r="AF572" i="53"/>
  <c r="AG572" i="53" s="1"/>
  <c r="AO555" i="53"/>
  <c r="AP555" i="53" s="1"/>
  <c r="Y554" i="53"/>
  <c r="Z554" i="53" s="1"/>
  <c r="AR570" i="53"/>
  <c r="AS570" i="53" s="1"/>
  <c r="AB552" i="53"/>
  <c r="AC552" i="53" s="1"/>
  <c r="AF545" i="53"/>
  <c r="AG545" i="53" s="1"/>
  <c r="AC544" i="53"/>
  <c r="AE544" i="53"/>
  <c r="AB561" i="53"/>
  <c r="AC561" i="53" s="1"/>
  <c r="AF561" i="53"/>
  <c r="AG561" i="53" s="1"/>
  <c r="AR561" i="53"/>
  <c r="AS561" i="53" s="1"/>
  <c r="P561" i="53"/>
  <c r="T561" i="53" s="1"/>
  <c r="Y561" i="53"/>
  <c r="AR566" i="53"/>
  <c r="AO559" i="53"/>
  <c r="AP559" i="53" s="1"/>
  <c r="P553" i="53"/>
  <c r="T553" i="53" s="1"/>
  <c r="AB538" i="53"/>
  <c r="AD538" i="53" s="1"/>
  <c r="AB530" i="53"/>
  <c r="AC530" i="53" s="1"/>
  <c r="AR568" i="53"/>
  <c r="AT568" i="53" s="1"/>
  <c r="AK566" i="53"/>
  <c r="AL566" i="53" s="1"/>
  <c r="AB559" i="53"/>
  <c r="AD559" i="53" s="1"/>
  <c r="U530" i="53"/>
  <c r="X530" i="53" s="1"/>
  <c r="AR571" i="53"/>
  <c r="AT571" i="53" s="1"/>
  <c r="AF566" i="53"/>
  <c r="AG566" i="53" s="1"/>
  <c r="Y559" i="53"/>
  <c r="Z559" i="53" s="1"/>
  <c r="AO534" i="53"/>
  <c r="AQ534" i="53" s="1"/>
  <c r="P524" i="53"/>
  <c r="R524" i="53" s="1"/>
  <c r="AO568" i="53"/>
  <c r="Y566" i="53"/>
  <c r="AA566" i="53" s="1"/>
  <c r="P559" i="53"/>
  <c r="Q559" i="53" s="1"/>
  <c r="AK540" i="53"/>
  <c r="AM540" i="53" s="1"/>
  <c r="P534" i="53"/>
  <c r="Q534" i="53" s="1"/>
  <c r="AO571" i="53"/>
  <c r="AF568" i="53"/>
  <c r="AG568" i="53" s="1"/>
  <c r="Y564" i="53"/>
  <c r="Z564" i="53" s="1"/>
  <c r="AR560" i="53"/>
  <c r="AO556" i="53"/>
  <c r="AP556" i="53" s="1"/>
  <c r="AR546" i="53"/>
  <c r="AS546" i="53" s="1"/>
  <c r="AR533" i="53"/>
  <c r="AT533" i="53" s="1"/>
  <c r="AB546" i="53"/>
  <c r="AD546" i="53" s="1"/>
  <c r="AF539" i="53"/>
  <c r="AG539" i="53" s="1"/>
  <c r="U568" i="53"/>
  <c r="W568" i="53" s="1"/>
  <c r="AR554" i="53"/>
  <c r="AS554" i="53" s="1"/>
  <c r="U546" i="53"/>
  <c r="V546" i="53" s="1"/>
  <c r="Y539" i="53"/>
  <c r="Z539" i="53" s="1"/>
  <c r="P532" i="53"/>
  <c r="S532" i="53" s="1"/>
  <c r="P531" i="53"/>
  <c r="Q531" i="53" s="1"/>
  <c r="W524" i="53"/>
  <c r="V524" i="53"/>
  <c r="X524" i="53"/>
  <c r="AG555" i="53"/>
  <c r="AH555" i="53"/>
  <c r="AI555" i="53"/>
  <c r="AJ555" i="53"/>
  <c r="AM556" i="53"/>
  <c r="AL556" i="53"/>
  <c r="AT563" i="53"/>
  <c r="AS563" i="53"/>
  <c r="AG571" i="53"/>
  <c r="AH571" i="53"/>
  <c r="AI571" i="53"/>
  <c r="AJ571" i="53"/>
  <c r="Z534" i="53"/>
  <c r="AA534" i="53"/>
  <c r="Y542" i="53"/>
  <c r="AK542" i="53"/>
  <c r="AL542" i="53" s="1"/>
  <c r="AO542" i="53"/>
  <c r="P542" i="53"/>
  <c r="AB542" i="53"/>
  <c r="AC542" i="53" s="1"/>
  <c r="AF542" i="53"/>
  <c r="AR542" i="53"/>
  <c r="AT542" i="53" s="1"/>
  <c r="U542" i="53"/>
  <c r="X542" i="53" s="1"/>
  <c r="AC557" i="53"/>
  <c r="AD557" i="53"/>
  <c r="AE557" i="53"/>
  <c r="AM564" i="53"/>
  <c r="AL564" i="53"/>
  <c r="AG535" i="53"/>
  <c r="AH535" i="53"/>
  <c r="AI535" i="53"/>
  <c r="AJ535" i="53"/>
  <c r="AA558" i="53"/>
  <c r="Z558" i="53"/>
  <c r="R565" i="53"/>
  <c r="S565" i="53"/>
  <c r="T565" i="53"/>
  <c r="Q565" i="53"/>
  <c r="AQ573" i="53"/>
  <c r="AP573" i="53"/>
  <c r="AH528" i="53"/>
  <c r="AI528" i="53"/>
  <c r="AJ528" i="53"/>
  <c r="AG528" i="53"/>
  <c r="U536" i="53"/>
  <c r="AR536" i="53"/>
  <c r="P536" i="53"/>
  <c r="Y536" i="53"/>
  <c r="AB536" i="53"/>
  <c r="AE536" i="53" s="1"/>
  <c r="AF536" i="53"/>
  <c r="AK536" i="53"/>
  <c r="AO543" i="53"/>
  <c r="AF543" i="53"/>
  <c r="AR543" i="53"/>
  <c r="U543" i="53"/>
  <c r="V543" i="53" s="1"/>
  <c r="Y543" i="53"/>
  <c r="AB543" i="53"/>
  <c r="P550" i="53"/>
  <c r="AB550" i="53"/>
  <c r="AC550" i="53" s="1"/>
  <c r="AR550" i="53"/>
  <c r="AT550" i="53" s="1"/>
  <c r="AF550" i="53"/>
  <c r="AJ550" i="53" s="1"/>
  <c r="Y550" i="53"/>
  <c r="AK550" i="53"/>
  <c r="AN550" i="53" s="1"/>
  <c r="AO550" i="53"/>
  <c r="AB529" i="53"/>
  <c r="P529" i="53"/>
  <c r="Q529" i="53" s="1"/>
  <c r="AR529" i="53"/>
  <c r="U529" i="53"/>
  <c r="AF529" i="53"/>
  <c r="AG529" i="53" s="1"/>
  <c r="AK529" i="53"/>
  <c r="AL529" i="53" s="1"/>
  <c r="AO529" i="53"/>
  <c r="AB537" i="53"/>
  <c r="AO537" i="53"/>
  <c r="P537" i="53"/>
  <c r="S537" i="53" s="1"/>
  <c r="Y537" i="53"/>
  <c r="AF537" i="53"/>
  <c r="AI537" i="53" s="1"/>
  <c r="AS559" i="53"/>
  <c r="AT559" i="53"/>
  <c r="AR573" i="53"/>
  <c r="Y573" i="53"/>
  <c r="AR565" i="53"/>
  <c r="V562" i="53"/>
  <c r="W562" i="53"/>
  <c r="X562" i="53"/>
  <c r="AK558" i="53"/>
  <c r="AC548" i="53"/>
  <c r="AD548" i="53"/>
  <c r="P567" i="53"/>
  <c r="S567" i="53" s="1"/>
  <c r="AO567" i="53"/>
  <c r="AP567" i="53" s="1"/>
  <c r="AR567" i="53"/>
  <c r="U567" i="53"/>
  <c r="AF567" i="53"/>
  <c r="AJ567" i="53" s="1"/>
  <c r="AK567" i="53"/>
  <c r="AF524" i="53"/>
  <c r="AG524" i="53" s="1"/>
  <c r="AR524" i="53"/>
  <c r="Y524" i="53"/>
  <c r="AK524" i="53"/>
  <c r="AB524" i="53"/>
  <c r="AO524" i="53"/>
  <c r="AL539" i="53"/>
  <c r="AM539" i="53"/>
  <c r="AN539" i="53"/>
  <c r="AJ553" i="53"/>
  <c r="AI553" i="53"/>
  <c r="AA568" i="53"/>
  <c r="Z568" i="53"/>
  <c r="P571" i="53"/>
  <c r="Z552" i="53"/>
  <c r="AR549" i="53"/>
  <c r="AS549" i="53" s="1"/>
  <c r="AK543" i="53"/>
  <c r="AL543" i="53" s="1"/>
  <c r="AK535" i="53"/>
  <c r="AL535" i="53" s="1"/>
  <c r="AN531" i="53"/>
  <c r="AR527" i="53"/>
  <c r="AB573" i="53"/>
  <c r="AK573" i="53"/>
  <c r="W532" i="53"/>
  <c r="V532" i="53"/>
  <c r="X532" i="53"/>
  <c r="P569" i="53"/>
  <c r="AR569" i="53"/>
  <c r="AB569" i="53"/>
  <c r="AK569" i="53"/>
  <c r="U569" i="53"/>
  <c r="U573" i="53"/>
  <c r="Y569" i="53"/>
  <c r="AB567" i="53"/>
  <c r="AH553" i="53"/>
  <c r="AK537" i="53"/>
  <c r="AM531" i="53"/>
  <c r="AR528" i="53"/>
  <c r="P528" i="53"/>
  <c r="Y528" i="53"/>
  <c r="AB528" i="53"/>
  <c r="AK528" i="53"/>
  <c r="U528" i="53"/>
  <c r="AO528" i="53"/>
  <c r="P558" i="53"/>
  <c r="Q558" i="53" s="1"/>
  <c r="AB558" i="53"/>
  <c r="U558" i="53"/>
  <c r="AO558" i="53"/>
  <c r="AF558" i="53"/>
  <c r="AG558" i="53" s="1"/>
  <c r="AR558" i="53"/>
  <c r="AP533" i="53"/>
  <c r="AQ533" i="53"/>
  <c r="AB541" i="53"/>
  <c r="AC541" i="53" s="1"/>
  <c r="AF541" i="53"/>
  <c r="AO541" i="53"/>
  <c r="AP541" i="53" s="1"/>
  <c r="AR541" i="53"/>
  <c r="AT541" i="53" s="1"/>
  <c r="AK541" i="53"/>
  <c r="P541" i="53"/>
  <c r="U541" i="53"/>
  <c r="P547" i="53"/>
  <c r="T547" i="53" s="1"/>
  <c r="AB547" i="53"/>
  <c r="AO547" i="53"/>
  <c r="U547" i="53"/>
  <c r="AF547" i="53"/>
  <c r="AJ547" i="53" s="1"/>
  <c r="AR547" i="53"/>
  <c r="Y547" i="53"/>
  <c r="U555" i="53"/>
  <c r="V555" i="53" s="1"/>
  <c r="Y555" i="53"/>
  <c r="AK555" i="53"/>
  <c r="AL555" i="53" s="1"/>
  <c r="P555" i="53"/>
  <c r="AR555" i="53"/>
  <c r="AB555" i="53"/>
  <c r="AE555" i="53" s="1"/>
  <c r="AO562" i="53"/>
  <c r="P562" i="53"/>
  <c r="Y562" i="53"/>
  <c r="AR562" i="53"/>
  <c r="AS562" i="53" s="1"/>
  <c r="AK562" i="53"/>
  <c r="U570" i="53"/>
  <c r="AF570" i="53"/>
  <c r="AO570" i="53"/>
  <c r="P570" i="53"/>
  <c r="Y570" i="53"/>
  <c r="P573" i="53"/>
  <c r="Z572" i="53"/>
  <c r="AA572" i="53"/>
  <c r="Y567" i="53"/>
  <c r="Z567" i="53" s="1"/>
  <c r="AG553" i="53"/>
  <c r="AK547" i="53"/>
  <c r="U537" i="53"/>
  <c r="X537" i="53" s="1"/>
  <c r="Y529" i="53"/>
  <c r="AB565" i="53"/>
  <c r="AK565" i="53"/>
  <c r="U565" i="53"/>
  <c r="AF565" i="53"/>
  <c r="AO565" i="53"/>
  <c r="V545" i="53"/>
  <c r="X545" i="53"/>
  <c r="U550" i="53"/>
  <c r="V550" i="53" s="1"/>
  <c r="P526" i="53"/>
  <c r="AB526" i="53"/>
  <c r="AC526" i="53" s="1"/>
  <c r="AF526" i="53"/>
  <c r="AR526" i="53"/>
  <c r="AT526" i="53" s="1"/>
  <c r="AK526" i="53"/>
  <c r="AN526" i="53" s="1"/>
  <c r="AO526" i="53"/>
  <c r="U526" i="53"/>
  <c r="W526" i="53" s="1"/>
  <c r="Y526" i="53"/>
  <c r="AF534" i="53"/>
  <c r="AR534" i="53"/>
  <c r="U534" i="53"/>
  <c r="V534" i="53" s="1"/>
  <c r="AB534" i="53"/>
  <c r="AC534" i="53" s="1"/>
  <c r="AK534" i="53"/>
  <c r="AL534" i="53" s="1"/>
  <c r="AO548" i="53"/>
  <c r="AP548" i="53" s="1"/>
  <c r="U548" i="53"/>
  <c r="AF548" i="53"/>
  <c r="AR548" i="53"/>
  <c r="P548" i="53"/>
  <c r="AK548" i="53"/>
  <c r="Y548" i="53"/>
  <c r="AF556" i="53"/>
  <c r="U556" i="53"/>
  <c r="X556" i="53" s="1"/>
  <c r="AR556" i="53"/>
  <c r="Y556" i="53"/>
  <c r="P556" i="53"/>
  <c r="U563" i="53"/>
  <c r="V563" i="53" s="1"/>
  <c r="Y563" i="53"/>
  <c r="AK563" i="53"/>
  <c r="AL563" i="53" s="1"/>
  <c r="AO563" i="53"/>
  <c r="P563" i="53"/>
  <c r="AB563" i="53"/>
  <c r="AE563" i="53" s="1"/>
  <c r="U571" i="53"/>
  <c r="V571" i="53" s="1"/>
  <c r="Y571" i="53"/>
  <c r="AK571" i="53"/>
  <c r="AL571" i="53" s="1"/>
  <c r="AQ569" i="53"/>
  <c r="AF563" i="53"/>
  <c r="AF562" i="53"/>
  <c r="AB556" i="53"/>
  <c r="AO536" i="53"/>
  <c r="AA560" i="53"/>
  <c r="Z560" i="53"/>
  <c r="AS537" i="53"/>
  <c r="AT537" i="53"/>
  <c r="Y527" i="53"/>
  <c r="AK527" i="53"/>
  <c r="AL527" i="53" s="1"/>
  <c r="P527" i="53"/>
  <c r="AB527" i="53"/>
  <c r="AF527" i="53"/>
  <c r="AO527" i="53"/>
  <c r="U535" i="53"/>
  <c r="V535" i="53" s="1"/>
  <c r="AR535" i="53"/>
  <c r="Y535" i="53"/>
  <c r="P535" i="53"/>
  <c r="AO535" i="53"/>
  <c r="AB535" i="53"/>
  <c r="U549" i="53"/>
  <c r="X549" i="53" s="1"/>
  <c r="Y549" i="53"/>
  <c r="P549" i="53"/>
  <c r="AB549" i="53"/>
  <c r="AE549" i="53" s="1"/>
  <c r="AF549" i="53"/>
  <c r="AK549" i="53"/>
  <c r="AN549" i="53" s="1"/>
  <c r="AK557" i="53"/>
  <c r="U557" i="53"/>
  <c r="AF557" i="53"/>
  <c r="AO557" i="53"/>
  <c r="P557" i="53"/>
  <c r="Y557" i="53"/>
  <c r="P564" i="53"/>
  <c r="AB564" i="53"/>
  <c r="AO564" i="53"/>
  <c r="AF564" i="53"/>
  <c r="AR564" i="53"/>
  <c r="U564" i="53"/>
  <c r="AK572" i="53"/>
  <c r="P572" i="53"/>
  <c r="AB572" i="53"/>
  <c r="AO572" i="53"/>
  <c r="AF573" i="53"/>
  <c r="U572" i="53"/>
  <c r="AB571" i="53"/>
  <c r="AE571" i="53" s="1"/>
  <c r="AK570" i="53"/>
  <c r="Y565" i="53"/>
  <c r="AB562" i="53"/>
  <c r="AC562" i="53" s="1"/>
  <c r="AR557" i="53"/>
  <c r="P543" i="53"/>
  <c r="AO561" i="53"/>
  <c r="AK554" i="53"/>
  <c r="AO546" i="53"/>
  <c r="AP546" i="53" s="1"/>
  <c r="P546" i="53"/>
  <c r="Q546" i="53" s="1"/>
  <c r="AB532" i="53"/>
  <c r="AR530" i="53"/>
  <c r="AF525" i="53"/>
  <c r="AK530" i="53"/>
  <c r="Y530" i="53"/>
  <c r="Z530" i="53" s="1"/>
  <c r="AF544" i="53"/>
  <c r="AO544" i="53"/>
  <c r="U544" i="53"/>
  <c r="AR544" i="53"/>
  <c r="AS544" i="53" s="1"/>
  <c r="AB551" i="53"/>
  <c r="P551" i="53"/>
  <c r="AO551" i="53"/>
  <c r="AP551" i="53" s="1"/>
  <c r="AR551" i="53"/>
  <c r="AF551" i="53"/>
  <c r="AB568" i="53"/>
  <c r="P568" i="53"/>
  <c r="U561" i="53"/>
  <c r="AO560" i="53"/>
  <c r="AK559" i="53"/>
  <c r="Y544" i="53"/>
  <c r="AR539" i="53"/>
  <c r="U539" i="53"/>
  <c r="AO530" i="53"/>
  <c r="AP530" i="53" s="1"/>
  <c r="AB525" i="53"/>
  <c r="AD525" i="53" s="1"/>
  <c r="AO531" i="53"/>
  <c r="U531" i="53"/>
  <c r="AF531" i="53"/>
  <c r="AJ531" i="53" s="1"/>
  <c r="AR531" i="53"/>
  <c r="U538" i="53"/>
  <c r="AF538" i="53"/>
  <c r="AG538" i="53" s="1"/>
  <c r="AK538" i="53"/>
  <c r="AB545" i="53"/>
  <c r="AO545" i="53"/>
  <c r="AR545" i="53"/>
  <c r="P545" i="53"/>
  <c r="R545" i="53" s="1"/>
  <c r="AO552" i="53"/>
  <c r="U552" i="53"/>
  <c r="AF552" i="53"/>
  <c r="AJ552" i="53" s="1"/>
  <c r="AR552" i="53"/>
  <c r="AO566" i="53"/>
  <c r="U566" i="53"/>
  <c r="AB560" i="53"/>
  <c r="P560" i="53"/>
  <c r="T560" i="53" s="1"/>
  <c r="Y551" i="53"/>
  <c r="Z551" i="53" s="1"/>
  <c r="AR538" i="53"/>
  <c r="P538" i="53"/>
  <c r="Q538" i="53" s="1"/>
  <c r="AB531" i="53"/>
  <c r="AF530" i="53"/>
  <c r="AG530" i="53" s="1"/>
  <c r="U525" i="53"/>
  <c r="AK525" i="53"/>
  <c r="P525" i="53"/>
  <c r="Y525" i="53"/>
  <c r="Z525" i="53" s="1"/>
  <c r="AF532" i="53"/>
  <c r="AJ532" i="53" s="1"/>
  <c r="AR532" i="53"/>
  <c r="Y532" i="53"/>
  <c r="AK532" i="53"/>
  <c r="P539" i="53"/>
  <c r="T539" i="53" s="1"/>
  <c r="AB539" i="53"/>
  <c r="AO539" i="53"/>
  <c r="AK546" i="53"/>
  <c r="Y546" i="53"/>
  <c r="AA546" i="53" s="1"/>
  <c r="AR553" i="53"/>
  <c r="AB553" i="53"/>
  <c r="AK553" i="53"/>
  <c r="U553" i="53"/>
  <c r="AK568" i="53"/>
  <c r="AB566" i="53"/>
  <c r="AK561" i="53"/>
  <c r="AF559" i="53"/>
  <c r="AJ559" i="53" s="1"/>
  <c r="U559" i="53"/>
  <c r="Y553" i="53"/>
  <c r="AK552" i="53"/>
  <c r="AO538" i="53"/>
  <c r="AP538" i="53" s="1"/>
  <c r="AO532" i="53"/>
  <c r="U533" i="53"/>
  <c r="X533" i="53" s="1"/>
  <c r="Y533" i="53"/>
  <c r="AK533" i="53"/>
  <c r="P533" i="53"/>
  <c r="AB540" i="53"/>
  <c r="U540" i="53"/>
  <c r="AO540" i="53"/>
  <c r="AF540" i="53"/>
  <c r="AG540" i="53" s="1"/>
  <c r="U554" i="53"/>
  <c r="AF554" i="53"/>
  <c r="AO554" i="53"/>
  <c r="P554" i="53"/>
  <c r="AK560" i="53"/>
  <c r="AO553" i="53"/>
  <c r="P552" i="53"/>
  <c r="U551" i="53"/>
  <c r="V551" i="53" s="1"/>
  <c r="AK545" i="53"/>
  <c r="AK544" i="53"/>
  <c r="P544" i="53"/>
  <c r="AR540" i="53"/>
  <c r="Y540" i="53"/>
  <c r="AF533" i="53"/>
  <c r="Y531" i="53"/>
  <c r="AO525" i="53"/>
  <c r="T566" i="53"/>
  <c r="W545" i="53"/>
  <c r="AD544" i="53"/>
  <c r="Z538" i="53"/>
  <c r="AA538" i="53"/>
  <c r="Q540" i="53"/>
  <c r="T540" i="53"/>
  <c r="AE570" i="53"/>
  <c r="AE554" i="53"/>
  <c r="AD570" i="53"/>
  <c r="R566" i="53"/>
  <c r="AN564" i="53"/>
  <c r="AN556" i="53"/>
  <c r="AD554" i="53"/>
  <c r="AQ549" i="53"/>
  <c r="AH546" i="53"/>
  <c r="AI546" i="53"/>
  <c r="AJ546" i="53"/>
  <c r="S566" i="53"/>
  <c r="AM551" i="53"/>
  <c r="AN551" i="53"/>
  <c r="AA541" i="53"/>
  <c r="S540" i="53"/>
  <c r="R530" i="53"/>
  <c r="S530" i="53"/>
  <c r="T530" i="53"/>
  <c r="W527" i="53"/>
  <c r="X527" i="53"/>
  <c r="AS525" i="53"/>
  <c r="AT525" i="53"/>
  <c r="AE548" i="53"/>
  <c r="P509" i="53"/>
  <c r="R509" i="53" s="1"/>
  <c r="AF517" i="53"/>
  <c r="AH517" i="53" s="1"/>
  <c r="AF516" i="53"/>
  <c r="AH516" i="53" s="1"/>
  <c r="AB493" i="53"/>
  <c r="AC493" i="53" s="1"/>
  <c r="AF477" i="53"/>
  <c r="AJ477" i="53" s="1"/>
  <c r="P522" i="53"/>
  <c r="T522" i="53" s="1"/>
  <c r="P506" i="53"/>
  <c r="Q506" i="53" s="1"/>
  <c r="P515" i="53"/>
  <c r="S515" i="53" s="1"/>
  <c r="AB522" i="53"/>
  <c r="AE522" i="53" s="1"/>
  <c r="AO521" i="53"/>
  <c r="AQ521" i="53" s="1"/>
  <c r="P505" i="53"/>
  <c r="Q505" i="53" s="1"/>
  <c r="AO516" i="53"/>
  <c r="AP516" i="53" s="1"/>
  <c r="AK517" i="53"/>
  <c r="AL517" i="53" s="1"/>
  <c r="AR514" i="53"/>
  <c r="AT514" i="53" s="1"/>
  <c r="AK492" i="53"/>
  <c r="AN492" i="53" s="1"/>
  <c r="AF522" i="53"/>
  <c r="AJ522" i="53" s="1"/>
  <c r="AR516" i="53"/>
  <c r="AS516" i="53" s="1"/>
  <c r="AO508" i="53"/>
  <c r="AP508" i="53" s="1"/>
  <c r="AB508" i="53"/>
  <c r="AC508" i="53" s="1"/>
  <c r="X474" i="53"/>
  <c r="W474" i="53"/>
  <c r="AG506" i="53"/>
  <c r="AI506" i="53"/>
  <c r="Z492" i="53"/>
  <c r="AA492" i="53"/>
  <c r="AC509" i="53"/>
  <c r="AE509" i="53"/>
  <c r="AK520" i="53"/>
  <c r="AL520" i="53" s="1"/>
  <c r="AO518" i="53"/>
  <c r="AQ518" i="53" s="1"/>
  <c r="AB517" i="53"/>
  <c r="AC517" i="53" s="1"/>
  <c r="AK516" i="53"/>
  <c r="AL516" i="53" s="1"/>
  <c r="AO510" i="53"/>
  <c r="AQ510" i="53" s="1"/>
  <c r="AF502" i="53"/>
  <c r="AG502" i="53" s="1"/>
  <c r="Y522" i="53"/>
  <c r="AB518" i="53"/>
  <c r="AD518" i="53" s="1"/>
  <c r="AR509" i="53"/>
  <c r="AS509" i="53" s="1"/>
  <c r="Y508" i="53"/>
  <c r="AK501" i="53"/>
  <c r="AN501" i="53" s="1"/>
  <c r="AK490" i="53"/>
  <c r="AL490" i="53" s="1"/>
  <c r="U522" i="53"/>
  <c r="W522" i="53" s="1"/>
  <c r="U517" i="53"/>
  <c r="X517" i="53" s="1"/>
  <c r="AO509" i="53"/>
  <c r="AP509" i="53" s="1"/>
  <c r="AO506" i="53"/>
  <c r="AP506" i="53" s="1"/>
  <c r="AB490" i="53"/>
  <c r="AC490" i="53" s="1"/>
  <c r="AR522" i="53"/>
  <c r="AS522" i="53" s="1"/>
  <c r="AR517" i="53"/>
  <c r="AB516" i="53"/>
  <c r="AC516" i="53" s="1"/>
  <c r="AF498" i="53"/>
  <c r="AI498" i="53" s="1"/>
  <c r="U504" i="53"/>
  <c r="X504" i="53" s="1"/>
  <c r="AO522" i="53"/>
  <c r="AP522" i="53" s="1"/>
  <c r="Y516" i="53"/>
  <c r="Z516" i="53" s="1"/>
  <c r="AO485" i="53"/>
  <c r="AQ485" i="53" s="1"/>
  <c r="AC476" i="53"/>
  <c r="AD476" i="53"/>
  <c r="AE476" i="53"/>
  <c r="R517" i="53"/>
  <c r="Q517" i="53"/>
  <c r="S517" i="53"/>
  <c r="T517" i="53"/>
  <c r="Z462" i="53"/>
  <c r="AA462" i="53"/>
  <c r="AP495" i="53"/>
  <c r="AQ495" i="53"/>
  <c r="AQ511" i="53"/>
  <c r="AP511" i="53"/>
  <c r="AE494" i="53"/>
  <c r="AD494" i="53"/>
  <c r="AT510" i="53"/>
  <c r="AS510" i="53"/>
  <c r="AA464" i="53"/>
  <c r="Z464" i="53"/>
  <c r="Q472" i="53"/>
  <c r="S472" i="53"/>
  <c r="T472" i="53"/>
  <c r="R472" i="53"/>
  <c r="AC488" i="53"/>
  <c r="AD488" i="53"/>
  <c r="AE488" i="53"/>
  <c r="W496" i="53"/>
  <c r="V496" i="53"/>
  <c r="X496" i="53"/>
  <c r="AG504" i="53"/>
  <c r="AH504" i="53"/>
  <c r="AI504" i="53"/>
  <c r="AJ504" i="53"/>
  <c r="S516" i="53"/>
  <c r="R516" i="53"/>
  <c r="S518" i="53"/>
  <c r="Q518" i="53"/>
  <c r="R518" i="53"/>
  <c r="S521" i="53"/>
  <c r="R521" i="53"/>
  <c r="Q521" i="53"/>
  <c r="AD478" i="53"/>
  <c r="AE478" i="53"/>
  <c r="AC478" i="53"/>
  <c r="AM522" i="53"/>
  <c r="AN522" i="53"/>
  <c r="AL522" i="53"/>
  <c r="T499" i="53"/>
  <c r="S499" i="53"/>
  <c r="Q499" i="53"/>
  <c r="R499" i="53"/>
  <c r="AA507" i="53"/>
  <c r="Z507" i="53"/>
  <c r="AN515" i="53"/>
  <c r="AL515" i="53"/>
  <c r="AF463" i="53"/>
  <c r="AI463" i="53" s="1"/>
  <c r="P463" i="53"/>
  <c r="S463" i="53" s="1"/>
  <c r="AO463" i="53"/>
  <c r="AP463" i="53" s="1"/>
  <c r="U463" i="53"/>
  <c r="AR463" i="53"/>
  <c r="AS463" i="53" s="1"/>
  <c r="Y463" i="53"/>
  <c r="Z463" i="53" s="1"/>
  <c r="AB463" i="53"/>
  <c r="AC463" i="53" s="1"/>
  <c r="U465" i="53"/>
  <c r="V465" i="53" s="1"/>
  <c r="AF465" i="53"/>
  <c r="AH465" i="53" s="1"/>
  <c r="P465" i="53"/>
  <c r="T465" i="53" s="1"/>
  <c r="AO465" i="53"/>
  <c r="Y465" i="53"/>
  <c r="AB465" i="53"/>
  <c r="AR465" i="53"/>
  <c r="Y481" i="53"/>
  <c r="AK481" i="53"/>
  <c r="AO481" i="53"/>
  <c r="AB481" i="53"/>
  <c r="AR481" i="53"/>
  <c r="P481" i="53"/>
  <c r="Q481" i="53" s="1"/>
  <c r="AF481" i="53"/>
  <c r="AJ481" i="53" s="1"/>
  <c r="AF497" i="53"/>
  <c r="AJ497" i="53" s="1"/>
  <c r="AK497" i="53"/>
  <c r="AM497" i="53" s="1"/>
  <c r="P497" i="53"/>
  <c r="T497" i="53" s="1"/>
  <c r="AK513" i="53"/>
  <c r="AB513" i="53"/>
  <c r="AE513" i="53" s="1"/>
  <c r="U513" i="53"/>
  <c r="AF513" i="53"/>
  <c r="AF520" i="53"/>
  <c r="AJ520" i="53" s="1"/>
  <c r="AO519" i="53"/>
  <c r="U519" i="53"/>
  <c r="AK518" i="53"/>
  <c r="AN518" i="53" s="1"/>
  <c r="Y518" i="53"/>
  <c r="AB515" i="53"/>
  <c r="U503" i="53"/>
  <c r="AR499" i="53"/>
  <c r="AO496" i="53"/>
  <c r="AP496" i="53" s="1"/>
  <c r="AK494" i="53"/>
  <c r="W490" i="53"/>
  <c r="V490" i="53"/>
  <c r="X490" i="53"/>
  <c r="AM469" i="53"/>
  <c r="AL469" i="53"/>
  <c r="AN469" i="53"/>
  <c r="Y487" i="53"/>
  <c r="AK487" i="53"/>
  <c r="AN487" i="53" s="1"/>
  <c r="U487" i="53"/>
  <c r="AR487" i="53"/>
  <c r="AF487" i="53"/>
  <c r="AI487" i="53" s="1"/>
  <c r="AO487" i="53"/>
  <c r="P487" i="53"/>
  <c r="S487" i="53" s="1"/>
  <c r="AB487" i="53"/>
  <c r="Y457" i="53"/>
  <c r="P457" i="53"/>
  <c r="Q457" i="53" s="1"/>
  <c r="AB457" i="53"/>
  <c r="AR457" i="53"/>
  <c r="AF457" i="53"/>
  <c r="AH457" i="53" s="1"/>
  <c r="AK457" i="53"/>
  <c r="AL457" i="53" s="1"/>
  <c r="U457" i="53"/>
  <c r="AO457" i="53"/>
  <c r="AF473" i="53"/>
  <c r="AJ473" i="53" s="1"/>
  <c r="AR473" i="53"/>
  <c r="AB473" i="53"/>
  <c r="P473" i="53"/>
  <c r="T473" i="53" s="1"/>
  <c r="AK473" i="53"/>
  <c r="AN473" i="53" s="1"/>
  <c r="AO473" i="53"/>
  <c r="P489" i="53"/>
  <c r="S489" i="53" s="1"/>
  <c r="AR489" i="53"/>
  <c r="U489" i="53"/>
  <c r="AK489" i="53"/>
  <c r="AO489" i="53"/>
  <c r="AQ489" i="53" s="1"/>
  <c r="AK505" i="53"/>
  <c r="AN505" i="53" s="1"/>
  <c r="U505" i="53"/>
  <c r="X505" i="53" s="1"/>
  <c r="AO505" i="53"/>
  <c r="Y505" i="53"/>
  <c r="AR505" i="53"/>
  <c r="AT505" i="53" s="1"/>
  <c r="U520" i="53"/>
  <c r="AO458" i="53"/>
  <c r="AQ458" i="53" s="1"/>
  <c r="U458" i="53"/>
  <c r="AR458" i="53"/>
  <c r="AB458" i="53"/>
  <c r="AE458" i="53" s="1"/>
  <c r="Y458" i="53"/>
  <c r="Z458" i="53" s="1"/>
  <c r="AF458" i="53"/>
  <c r="AR466" i="53"/>
  <c r="AS466" i="53" s="1"/>
  <c r="Y466" i="53"/>
  <c r="AA466" i="53" s="1"/>
  <c r="AO466" i="53"/>
  <c r="AB466" i="53"/>
  <c r="AE466" i="53" s="1"/>
  <c r="P466" i="53"/>
  <c r="AF466" i="53"/>
  <c r="AK466" i="53"/>
  <c r="Y474" i="53"/>
  <c r="AA474" i="53" s="1"/>
  <c r="AK474" i="53"/>
  <c r="AF474" i="53"/>
  <c r="AR474" i="53"/>
  <c r="AB474" i="53"/>
  <c r="AO474" i="53"/>
  <c r="AP474" i="53" s="1"/>
  <c r="P474" i="53"/>
  <c r="P482" i="53"/>
  <c r="AB482" i="53"/>
  <c r="U482" i="53"/>
  <c r="V482" i="53" s="1"/>
  <c r="Y482" i="53"/>
  <c r="AO482" i="53"/>
  <c r="AR482" i="53"/>
  <c r="AF482" i="53"/>
  <c r="AI482" i="53" s="1"/>
  <c r="AK482" i="53"/>
  <c r="AO490" i="53"/>
  <c r="AF490" i="53"/>
  <c r="AG490" i="53" s="1"/>
  <c r="AR490" i="53"/>
  <c r="Y490" i="53"/>
  <c r="P498" i="53"/>
  <c r="T498" i="53" s="1"/>
  <c r="AB498" i="53"/>
  <c r="AE498" i="53" s="1"/>
  <c r="U498" i="53"/>
  <c r="AR498" i="53"/>
  <c r="AS498" i="53" s="1"/>
  <c r="AK498" i="53"/>
  <c r="U506" i="53"/>
  <c r="V506" i="53" s="1"/>
  <c r="AK506" i="53"/>
  <c r="AL506" i="53" s="1"/>
  <c r="Y506" i="53"/>
  <c r="Z506" i="53" s="1"/>
  <c r="AR506" i="53"/>
  <c r="P514" i="53"/>
  <c r="T514" i="53" s="1"/>
  <c r="AF514" i="53"/>
  <c r="AK521" i="53"/>
  <c r="Y521" i="53"/>
  <c r="AR520" i="53"/>
  <c r="AB519" i="53"/>
  <c r="P519" i="53"/>
  <c r="Q519" i="53" s="1"/>
  <c r="AO517" i="53"/>
  <c r="U516" i="53"/>
  <c r="AO514" i="53"/>
  <c r="Y514" i="53"/>
  <c r="Z514" i="53" s="1"/>
  <c r="Y511" i="53"/>
  <c r="AB510" i="53"/>
  <c r="AD509" i="53"/>
  <c r="AF493" i="53"/>
  <c r="P490" i="53"/>
  <c r="AR488" i="53"/>
  <c r="AK485" i="53"/>
  <c r="AL485" i="53" s="1"/>
  <c r="U481" i="53"/>
  <c r="V481" i="53" s="1"/>
  <c r="V474" i="53"/>
  <c r="U466" i="53"/>
  <c r="Y471" i="53"/>
  <c r="AF471" i="53"/>
  <c r="AI471" i="53" s="1"/>
  <c r="P471" i="53"/>
  <c r="Q471" i="53" s="1"/>
  <c r="AK471" i="53"/>
  <c r="AO471" i="53"/>
  <c r="AP471" i="53" s="1"/>
  <c r="U471" i="53"/>
  <c r="AF475" i="53"/>
  <c r="AG475" i="53" s="1"/>
  <c r="P475" i="53"/>
  <c r="S475" i="53" s="1"/>
  <c r="AK475" i="53"/>
  <c r="U475" i="53"/>
  <c r="V475" i="53" s="1"/>
  <c r="AO475" i="53"/>
  <c r="U491" i="53"/>
  <c r="X491" i="53" s="1"/>
  <c r="Y491" i="53"/>
  <c r="AO491" i="53"/>
  <c r="AP491" i="53" s="1"/>
  <c r="AR491" i="53"/>
  <c r="AS491" i="53" s="1"/>
  <c r="P491" i="53"/>
  <c r="AF491" i="53"/>
  <c r="AB507" i="53"/>
  <c r="AK507" i="53"/>
  <c r="AF507" i="53"/>
  <c r="U515" i="53"/>
  <c r="Y515" i="53"/>
  <c r="AA515" i="53" s="1"/>
  <c r="AO520" i="53"/>
  <c r="AP520" i="53" s="1"/>
  <c r="P520" i="53"/>
  <c r="T520" i="53" s="1"/>
  <c r="U518" i="53"/>
  <c r="X518" i="53" s="1"/>
  <c r="AK512" i="53"/>
  <c r="Y510" i="53"/>
  <c r="AA510" i="53" s="1"/>
  <c r="AR507" i="53"/>
  <c r="AS507" i="53" s="1"/>
  <c r="AH506" i="53"/>
  <c r="AJ506" i="53"/>
  <c r="AB505" i="53"/>
  <c r="AC505" i="53" s="1"/>
  <c r="AR503" i="53"/>
  <c r="AO499" i="53"/>
  <c r="AR497" i="53"/>
  <c r="AF494" i="53"/>
  <c r="AI494" i="53" s="1"/>
  <c r="AO488" i="53"/>
  <c r="AP488" i="53" s="1"/>
  <c r="AO478" i="53"/>
  <c r="AR471" i="53"/>
  <c r="AS471" i="53" s="1"/>
  <c r="AN458" i="53"/>
  <c r="AL458" i="53"/>
  <c r="AM458" i="53"/>
  <c r="P495" i="53"/>
  <c r="S495" i="53" s="1"/>
  <c r="AR495" i="53"/>
  <c r="Y495" i="53"/>
  <c r="AK495" i="53"/>
  <c r="AB495" i="53"/>
  <c r="AB467" i="53"/>
  <c r="AE467" i="53" s="1"/>
  <c r="AO467" i="53"/>
  <c r="AF467" i="53"/>
  <c r="AJ467" i="53" s="1"/>
  <c r="AK467" i="53"/>
  <c r="P467" i="53"/>
  <c r="T467" i="53" s="1"/>
  <c r="U467" i="53"/>
  <c r="AR467" i="53"/>
  <c r="Y499" i="53"/>
  <c r="U499" i="53"/>
  <c r="W499" i="53" s="1"/>
  <c r="AB460" i="53"/>
  <c r="AO460" i="53"/>
  <c r="AF460" i="53"/>
  <c r="AH460" i="53" s="1"/>
  <c r="Y460" i="53"/>
  <c r="Z460" i="53" s="1"/>
  <c r="P460" i="53"/>
  <c r="R460" i="53" s="1"/>
  <c r="AK460" i="53"/>
  <c r="AL460" i="53" s="1"/>
  <c r="P468" i="53"/>
  <c r="S468" i="53" s="1"/>
  <c r="AK468" i="53"/>
  <c r="AL468" i="53" s="1"/>
  <c r="Y468" i="53"/>
  <c r="AB468" i="53"/>
  <c r="AR468" i="53"/>
  <c r="AF468" i="53"/>
  <c r="AH468" i="53" s="1"/>
  <c r="U468" i="53"/>
  <c r="X468" i="53" s="1"/>
  <c r="U476" i="53"/>
  <c r="X476" i="53" s="1"/>
  <c r="P476" i="53"/>
  <c r="T476" i="53" s="1"/>
  <c r="AF476" i="53"/>
  <c r="AH476" i="53" s="1"/>
  <c r="AK476" i="53"/>
  <c r="AO476" i="53"/>
  <c r="AP476" i="53" s="1"/>
  <c r="AR476" i="53"/>
  <c r="Y476" i="53"/>
  <c r="AK484" i="53"/>
  <c r="AN484" i="53" s="1"/>
  <c r="P484" i="53"/>
  <c r="R484" i="53" s="1"/>
  <c r="AO484" i="53"/>
  <c r="U484" i="53"/>
  <c r="W484" i="53" s="1"/>
  <c r="AR484" i="53"/>
  <c r="AT484" i="53" s="1"/>
  <c r="Y484" i="53"/>
  <c r="P492" i="53"/>
  <c r="S492" i="53" s="1"/>
  <c r="AF492" i="53"/>
  <c r="U492" i="53"/>
  <c r="X492" i="53" s="1"/>
  <c r="AB492" i="53"/>
  <c r="AE492" i="53" s="1"/>
  <c r="Y500" i="53"/>
  <c r="AB500" i="53"/>
  <c r="AK500" i="53"/>
  <c r="P500" i="53"/>
  <c r="S500" i="53" s="1"/>
  <c r="U500" i="53"/>
  <c r="W500" i="53" s="1"/>
  <c r="AF500" i="53"/>
  <c r="AO500" i="53"/>
  <c r="U508" i="53"/>
  <c r="AF508" i="53"/>
  <c r="AG508" i="53" s="1"/>
  <c r="AR508" i="53"/>
  <c r="AB520" i="53"/>
  <c r="U514" i="53"/>
  <c r="AK508" i="53"/>
  <c r="AO507" i="53"/>
  <c r="U507" i="53"/>
  <c r="AB506" i="53"/>
  <c r="AD506" i="53" s="1"/>
  <c r="AK499" i="53"/>
  <c r="AO498" i="53"/>
  <c r="AO497" i="53"/>
  <c r="AF496" i="53"/>
  <c r="AG496" i="53" s="1"/>
  <c r="AF495" i="53"/>
  <c r="AI495" i="53" s="1"/>
  <c r="AR475" i="53"/>
  <c r="AB471" i="53"/>
  <c r="AE471" i="53" s="1"/>
  <c r="AO468" i="53"/>
  <c r="AK465" i="53"/>
  <c r="AN465" i="53" s="1"/>
  <c r="P458" i="53"/>
  <c r="AF479" i="53"/>
  <c r="AG479" i="53" s="1"/>
  <c r="AR479" i="53"/>
  <c r="AS479" i="53" s="1"/>
  <c r="P479" i="53"/>
  <c r="Q479" i="53" s="1"/>
  <c r="AO479" i="53"/>
  <c r="U479" i="53"/>
  <c r="AB479" i="53"/>
  <c r="AD479" i="53" s="1"/>
  <c r="Y479" i="53"/>
  <c r="AA479" i="53" s="1"/>
  <c r="AK479" i="53"/>
  <c r="Y459" i="53"/>
  <c r="AK459" i="53"/>
  <c r="AM459" i="53" s="1"/>
  <c r="P459" i="53"/>
  <c r="AB459" i="53"/>
  <c r="AE459" i="53" s="1"/>
  <c r="AR459" i="53"/>
  <c r="AT459" i="53" s="1"/>
  <c r="AF459" i="53"/>
  <c r="AG459" i="53" s="1"/>
  <c r="U459" i="53"/>
  <c r="AO459" i="53"/>
  <c r="U483" i="53"/>
  <c r="AO483" i="53"/>
  <c r="Y483" i="53"/>
  <c r="AR483" i="53"/>
  <c r="AS483" i="53" s="1"/>
  <c r="AB483" i="53"/>
  <c r="P483" i="53"/>
  <c r="Q483" i="53" s="1"/>
  <c r="AF483" i="53"/>
  <c r="AG483" i="53" s="1"/>
  <c r="AK483" i="53"/>
  <c r="AN483" i="53" s="1"/>
  <c r="AK523" i="53"/>
  <c r="AN523" i="53" s="1"/>
  <c r="U523" i="53"/>
  <c r="X523" i="53" s="1"/>
  <c r="Y523" i="53"/>
  <c r="Z523" i="53" s="1"/>
  <c r="AB523" i="53"/>
  <c r="AE523" i="53" s="1"/>
  <c r="AF523" i="53"/>
  <c r="AG523" i="53" s="1"/>
  <c r="AR523" i="53"/>
  <c r="AO523" i="53"/>
  <c r="AP523" i="53" s="1"/>
  <c r="AF461" i="53"/>
  <c r="AO461" i="53"/>
  <c r="AK461" i="53"/>
  <c r="P461" i="53"/>
  <c r="U461" i="53"/>
  <c r="Y461" i="53"/>
  <c r="AA461" i="53" s="1"/>
  <c r="AB461" i="53"/>
  <c r="AD461" i="53" s="1"/>
  <c r="AR469" i="53"/>
  <c r="AB469" i="53"/>
  <c r="AD469" i="53" s="1"/>
  <c r="Y469" i="53"/>
  <c r="AO469" i="53"/>
  <c r="AF469" i="53"/>
  <c r="P469" i="53"/>
  <c r="U469" i="53"/>
  <c r="U477" i="53"/>
  <c r="Y477" i="53"/>
  <c r="AA477" i="53" s="1"/>
  <c r="AR477" i="53"/>
  <c r="AS477" i="53" s="1"/>
  <c r="AO477" i="53"/>
  <c r="AQ477" i="53" s="1"/>
  <c r="Y485" i="53"/>
  <c r="AA485" i="53" s="1"/>
  <c r="AB485" i="53"/>
  <c r="AC485" i="53" s="1"/>
  <c r="AR485" i="53"/>
  <c r="AT485" i="53" s="1"/>
  <c r="P485" i="53"/>
  <c r="AF485" i="53"/>
  <c r="Y493" i="53"/>
  <c r="Z493" i="53" s="1"/>
  <c r="AO493" i="53"/>
  <c r="P493" i="53"/>
  <c r="AK493" i="53"/>
  <c r="AL493" i="53" s="1"/>
  <c r="AR493" i="53"/>
  <c r="Y501" i="53"/>
  <c r="Z501" i="53" s="1"/>
  <c r="AB501" i="53"/>
  <c r="AO501" i="53"/>
  <c r="AQ501" i="53" s="1"/>
  <c r="P501" i="53"/>
  <c r="R501" i="53" s="1"/>
  <c r="AR501" i="53"/>
  <c r="U501" i="53"/>
  <c r="U509" i="53"/>
  <c r="AF509" i="53"/>
  <c r="AH509" i="53" s="1"/>
  <c r="AK509" i="53"/>
  <c r="Y509" i="53"/>
  <c r="Z509" i="53" s="1"/>
  <c r="AR521" i="53"/>
  <c r="AF521" i="53"/>
  <c r="AJ521" i="53" s="1"/>
  <c r="U521" i="53"/>
  <c r="AK519" i="53"/>
  <c r="Y519" i="53"/>
  <c r="AR518" i="53"/>
  <c r="AF518" i="53"/>
  <c r="Y517" i="53"/>
  <c r="AK514" i="53"/>
  <c r="Y513" i="53"/>
  <c r="P507" i="53"/>
  <c r="AK503" i="53"/>
  <c r="AR500" i="53"/>
  <c r="AF499" i="53"/>
  <c r="AR492" i="53"/>
  <c r="AT492" i="53" s="1"/>
  <c r="AK491" i="53"/>
  <c r="AN491" i="53" s="1"/>
  <c r="AF489" i="53"/>
  <c r="AI489" i="53" s="1"/>
  <c r="AK477" i="53"/>
  <c r="AB475" i="53"/>
  <c r="AC475" i="53" s="1"/>
  <c r="Y473" i="53"/>
  <c r="AR464" i="53"/>
  <c r="AB511" i="53"/>
  <c r="P511" i="53"/>
  <c r="Q511" i="53" s="1"/>
  <c r="AR511" i="53"/>
  <c r="U511" i="53"/>
  <c r="X511" i="53" s="1"/>
  <c r="AK511" i="53"/>
  <c r="AB462" i="53"/>
  <c r="AO462" i="53"/>
  <c r="P462" i="53"/>
  <c r="T462" i="53" s="1"/>
  <c r="AF462" i="53"/>
  <c r="AG462" i="53" s="1"/>
  <c r="AR462" i="53"/>
  <c r="U462" i="53"/>
  <c r="V462" i="53" s="1"/>
  <c r="AK462" i="53"/>
  <c r="AM462" i="53" s="1"/>
  <c r="Y470" i="53"/>
  <c r="AR470" i="53"/>
  <c r="AB470" i="53"/>
  <c r="P470" i="53"/>
  <c r="Q470" i="53" s="1"/>
  <c r="U470" i="53"/>
  <c r="X470" i="53" s="1"/>
  <c r="AF470" i="53"/>
  <c r="AG470" i="53" s="1"/>
  <c r="AR478" i="53"/>
  <c r="AF478" i="53"/>
  <c r="U478" i="53"/>
  <c r="X478" i="53" s="1"/>
  <c r="AK478" i="53"/>
  <c r="AL478" i="53" s="1"/>
  <c r="P478" i="53"/>
  <c r="Q478" i="53" s="1"/>
  <c r="Y478" i="53"/>
  <c r="P486" i="53"/>
  <c r="S486" i="53" s="1"/>
  <c r="AR486" i="53"/>
  <c r="AK486" i="53"/>
  <c r="AM486" i="53" s="1"/>
  <c r="AF486" i="53"/>
  <c r="AI486" i="53" s="1"/>
  <c r="U486" i="53"/>
  <c r="W486" i="53" s="1"/>
  <c r="AO486" i="53"/>
  <c r="Y486" i="53"/>
  <c r="AB486" i="53"/>
  <c r="AE486" i="53" s="1"/>
  <c r="U494" i="53"/>
  <c r="AO494" i="53"/>
  <c r="Y494" i="53"/>
  <c r="Y502" i="53"/>
  <c r="AO502" i="53"/>
  <c r="AB502" i="53"/>
  <c r="AR502" i="53"/>
  <c r="P502" i="53"/>
  <c r="S502" i="53" s="1"/>
  <c r="P510" i="53"/>
  <c r="AF510" i="53"/>
  <c r="AI510" i="53" s="1"/>
  <c r="AK510" i="53"/>
  <c r="U510" i="53"/>
  <c r="V510" i="53" s="1"/>
  <c r="AR519" i="53"/>
  <c r="AR515" i="53"/>
  <c r="AF515" i="53"/>
  <c r="AR513" i="53"/>
  <c r="AK502" i="53"/>
  <c r="AB497" i="53"/>
  <c r="AF484" i="53"/>
  <c r="Y475" i="53"/>
  <c r="U473" i="53"/>
  <c r="W473" i="53" s="1"/>
  <c r="AO470" i="53"/>
  <c r="AO464" i="53"/>
  <c r="AQ464" i="53" s="1"/>
  <c r="AR460" i="53"/>
  <c r="AB499" i="53"/>
  <c r="Y497" i="53"/>
  <c r="AA497" i="53" s="1"/>
  <c r="U495" i="53"/>
  <c r="V495" i="53" s="1"/>
  <c r="P494" i="53"/>
  <c r="S494" i="53" s="1"/>
  <c r="AO492" i="53"/>
  <c r="AB489" i="53"/>
  <c r="AB484" i="53"/>
  <c r="AC484" i="53" s="1"/>
  <c r="AB477" i="53"/>
  <c r="AD477" i="53" s="1"/>
  <c r="AK470" i="53"/>
  <c r="AL470" i="53" s="1"/>
  <c r="P523" i="53"/>
  <c r="Q523" i="53" s="1"/>
  <c r="AF455" i="53"/>
  <c r="AJ455" i="53" s="1"/>
  <c r="Y455" i="53"/>
  <c r="AB455" i="53"/>
  <c r="AD455" i="53" s="1"/>
  <c r="P455" i="53"/>
  <c r="R455" i="53" s="1"/>
  <c r="AO455" i="53"/>
  <c r="AQ455" i="53" s="1"/>
  <c r="AK455" i="53"/>
  <c r="AR455" i="53"/>
  <c r="AS455" i="53" s="1"/>
  <c r="U455" i="53"/>
  <c r="Y503" i="53"/>
  <c r="Z503" i="53" s="1"/>
  <c r="AO503" i="53"/>
  <c r="P503" i="53"/>
  <c r="U456" i="53"/>
  <c r="V456" i="53" s="1"/>
  <c r="AK456" i="53"/>
  <c r="AM456" i="53" s="1"/>
  <c r="Y456" i="53"/>
  <c r="AO456" i="53"/>
  <c r="AQ456" i="53" s="1"/>
  <c r="AR456" i="53"/>
  <c r="AT456" i="53" s="1"/>
  <c r="P456" i="53"/>
  <c r="AB456" i="53"/>
  <c r="AF456" i="53"/>
  <c r="U464" i="53"/>
  <c r="W464" i="53" s="1"/>
  <c r="P464" i="53"/>
  <c r="AB464" i="53"/>
  <c r="AK464" i="53"/>
  <c r="AM464" i="53" s="1"/>
  <c r="AF464" i="53"/>
  <c r="U472" i="53"/>
  <c r="W472" i="53" s="1"/>
  <c r="AB472" i="53"/>
  <c r="AD472" i="53" s="1"/>
  <c r="AR472" i="53"/>
  <c r="AK472" i="53"/>
  <c r="AN472" i="53" s="1"/>
  <c r="AO472" i="53"/>
  <c r="AQ472" i="53" s="1"/>
  <c r="Y472" i="53"/>
  <c r="AF472" i="53"/>
  <c r="AO480" i="53"/>
  <c r="Y480" i="53"/>
  <c r="AK480" i="53"/>
  <c r="AM480" i="53" s="1"/>
  <c r="AB480" i="53"/>
  <c r="AF480" i="53"/>
  <c r="P480" i="53"/>
  <c r="AR480" i="53"/>
  <c r="AT480" i="53" s="1"/>
  <c r="U488" i="53"/>
  <c r="AK488" i="53"/>
  <c r="Y488" i="53"/>
  <c r="Z488" i="53" s="1"/>
  <c r="AF488" i="53"/>
  <c r="AH488" i="53" s="1"/>
  <c r="AK496" i="53"/>
  <c r="P496" i="53"/>
  <c r="S496" i="53" s="1"/>
  <c r="AB496" i="53"/>
  <c r="Y496" i="53"/>
  <c r="Z496" i="53" s="1"/>
  <c r="AR496" i="53"/>
  <c r="AS496" i="53" s="1"/>
  <c r="P504" i="53"/>
  <c r="Y504" i="53"/>
  <c r="AK504" i="53"/>
  <c r="AB504" i="53"/>
  <c r="AC504" i="53" s="1"/>
  <c r="AR504" i="53"/>
  <c r="AS504" i="53" s="1"/>
  <c r="AF512" i="53"/>
  <c r="AO512" i="53"/>
  <c r="U512" i="53"/>
  <c r="AR512" i="53"/>
  <c r="AS512" i="53" s="1"/>
  <c r="P512" i="53"/>
  <c r="Y512" i="53"/>
  <c r="AB521" i="53"/>
  <c r="AO515" i="53"/>
  <c r="AC514" i="53"/>
  <c r="AO513" i="53"/>
  <c r="P513" i="53"/>
  <c r="Q513" i="53" s="1"/>
  <c r="AF511" i="53"/>
  <c r="AJ511" i="53" s="1"/>
  <c r="AO504" i="53"/>
  <c r="AP504" i="53" s="1"/>
  <c r="AB503" i="53"/>
  <c r="AJ501" i="53"/>
  <c r="AG501" i="53"/>
  <c r="AA498" i="53"/>
  <c r="Z498" i="53"/>
  <c r="U497" i="53"/>
  <c r="AR494" i="53"/>
  <c r="AB491" i="53"/>
  <c r="AE491" i="53" s="1"/>
  <c r="Y489" i="53"/>
  <c r="P488" i="53"/>
  <c r="S488" i="53" s="1"/>
  <c r="Q477" i="53"/>
  <c r="R477" i="53"/>
  <c r="Y467" i="53"/>
  <c r="AK463" i="53"/>
  <c r="U460" i="53"/>
  <c r="W460" i="53" s="1"/>
  <c r="V480" i="53"/>
  <c r="X480" i="53"/>
  <c r="AJ519" i="53"/>
  <c r="AM515" i="53"/>
  <c r="AD514" i="53"/>
  <c r="AC494" i="53"/>
  <c r="AI519" i="53"/>
  <c r="T521" i="53"/>
  <c r="AA520" i="53"/>
  <c r="AH519" i="53"/>
  <c r="Q516" i="53"/>
  <c r="T516" i="53"/>
  <c r="AE512" i="53"/>
  <c r="AJ505" i="53"/>
  <c r="AH501" i="53"/>
  <c r="AI501" i="53"/>
  <c r="AS461" i="53"/>
  <c r="AT461" i="53"/>
  <c r="T518" i="53"/>
  <c r="AD512" i="53"/>
  <c r="Q508" i="53"/>
  <c r="R508" i="53"/>
  <c r="T508" i="53"/>
  <c r="AI505" i="53"/>
  <c r="AI503" i="53"/>
  <c r="X502" i="53"/>
  <c r="AH505" i="53"/>
  <c r="AH503" i="53"/>
  <c r="W502" i="53"/>
  <c r="AG503" i="53"/>
  <c r="W493" i="53"/>
  <c r="X493" i="53"/>
  <c r="W485" i="53"/>
  <c r="X485" i="53"/>
  <c r="S477" i="53"/>
  <c r="T477" i="53"/>
  <c r="AR440" i="53"/>
  <c r="AS440" i="53" s="1"/>
  <c r="AO422" i="53"/>
  <c r="AP422" i="53" s="1"/>
  <c r="AF332" i="53"/>
  <c r="AG332" i="53" s="1"/>
  <c r="P448" i="53"/>
  <c r="Q448" i="53" s="1"/>
  <c r="AR438" i="53"/>
  <c r="AT438" i="53" s="1"/>
  <c r="P438" i="53"/>
  <c r="S438" i="53" s="1"/>
  <c r="AB393" i="53"/>
  <c r="AD393" i="53" s="1"/>
  <c r="AF333" i="53"/>
  <c r="AJ333" i="53" s="1"/>
  <c r="Y332" i="53"/>
  <c r="AA332" i="53" s="1"/>
  <c r="U447" i="53"/>
  <c r="X447" i="53" s="1"/>
  <c r="AF446" i="53"/>
  <c r="AG446" i="53" s="1"/>
  <c r="AK440" i="53"/>
  <c r="AN440" i="53" s="1"/>
  <c r="AO438" i="53"/>
  <c r="AQ438" i="53" s="1"/>
  <c r="AF424" i="53"/>
  <c r="AH424" i="53" s="1"/>
  <c r="AF422" i="53"/>
  <c r="AG422" i="53" s="1"/>
  <c r="U333" i="53"/>
  <c r="V333" i="53" s="1"/>
  <c r="AB449" i="53"/>
  <c r="AD449" i="53" s="1"/>
  <c r="U446" i="53"/>
  <c r="V446" i="53" s="1"/>
  <c r="Y440" i="53"/>
  <c r="Z440" i="53" s="1"/>
  <c r="AR439" i="53"/>
  <c r="AR432" i="53"/>
  <c r="AB424" i="53"/>
  <c r="AC424" i="53" s="1"/>
  <c r="AB422" i="53"/>
  <c r="AE422" i="53" s="1"/>
  <c r="AB447" i="53"/>
  <c r="P449" i="53"/>
  <c r="Q449" i="53" s="1"/>
  <c r="AF448" i="53"/>
  <c r="AR447" i="53"/>
  <c r="P446" i="53"/>
  <c r="S446" i="53" s="1"/>
  <c r="AF439" i="53"/>
  <c r="AJ439" i="53" s="1"/>
  <c r="AK438" i="53"/>
  <c r="AK431" i="53"/>
  <c r="AL431" i="53" s="1"/>
  <c r="Y424" i="53"/>
  <c r="AA424" i="53" s="1"/>
  <c r="P333" i="53"/>
  <c r="S333" i="53" s="1"/>
  <c r="Y448" i="53"/>
  <c r="Z448" i="53" s="1"/>
  <c r="AO447" i="53"/>
  <c r="AP447" i="53" s="1"/>
  <c r="AB445" i="53"/>
  <c r="AC445" i="53" s="1"/>
  <c r="Y438" i="53"/>
  <c r="AA438" i="53" s="1"/>
  <c r="P424" i="53"/>
  <c r="S424" i="53" s="1"/>
  <c r="AO400" i="53"/>
  <c r="AP400" i="53" s="1"/>
  <c r="AR448" i="53"/>
  <c r="AF447" i="53"/>
  <c r="AJ447" i="53" s="1"/>
  <c r="P447" i="53"/>
  <c r="Y445" i="53"/>
  <c r="Z445" i="53" s="1"/>
  <c r="U440" i="53"/>
  <c r="AF431" i="53"/>
  <c r="AH431" i="53" s="1"/>
  <c r="AO423" i="53"/>
  <c r="AP423" i="53" s="1"/>
  <c r="AB400" i="53"/>
  <c r="AD400" i="53" s="1"/>
  <c r="AR333" i="53"/>
  <c r="AS333" i="53" s="1"/>
  <c r="AO448" i="53"/>
  <c r="AP448" i="53" s="1"/>
  <c r="AK446" i="53"/>
  <c r="AL446" i="53" s="1"/>
  <c r="P445" i="53"/>
  <c r="Q445" i="53" s="1"/>
  <c r="AB439" i="53"/>
  <c r="AK423" i="53"/>
  <c r="AN423" i="53" s="1"/>
  <c r="AK333" i="53"/>
  <c r="AL333" i="53" s="1"/>
  <c r="AK332" i="53"/>
  <c r="U448" i="53"/>
  <c r="AF444" i="53"/>
  <c r="AH444" i="53" s="1"/>
  <c r="P440" i="53"/>
  <c r="S440" i="53" s="1"/>
  <c r="Y439" i="53"/>
  <c r="Z439" i="53" s="1"/>
  <c r="U438" i="53"/>
  <c r="AH430" i="53"/>
  <c r="AR394" i="53"/>
  <c r="AT394" i="53" s="1"/>
  <c r="AO379" i="53"/>
  <c r="AP379" i="53" s="1"/>
  <c r="U379" i="53"/>
  <c r="AR379" i="53"/>
  <c r="AS379" i="53" s="1"/>
  <c r="P379" i="53"/>
  <c r="AK379" i="53"/>
  <c r="AB379" i="53"/>
  <c r="AD379" i="53" s="1"/>
  <c r="AF379" i="53"/>
  <c r="Y379" i="53"/>
  <c r="Z379" i="53" s="1"/>
  <c r="AR421" i="53"/>
  <c r="U421" i="53"/>
  <c r="AF421" i="53"/>
  <c r="AG421" i="53" s="1"/>
  <c r="AK421" i="53"/>
  <c r="Y421" i="53"/>
  <c r="Z421" i="53" s="1"/>
  <c r="AB421" i="53"/>
  <c r="AO421" i="53"/>
  <c r="AP421" i="53" s="1"/>
  <c r="P421" i="53"/>
  <c r="Q421" i="53" s="1"/>
  <c r="Z402" i="53"/>
  <c r="AA402" i="53"/>
  <c r="Y415" i="53"/>
  <c r="Z415" i="53" s="1"/>
  <c r="AR415" i="53"/>
  <c r="AB415" i="53"/>
  <c r="AF415" i="53"/>
  <c r="AG415" i="53" s="1"/>
  <c r="AO415" i="53"/>
  <c r="AP415" i="53" s="1"/>
  <c r="P415" i="53"/>
  <c r="R415" i="53" s="1"/>
  <c r="U415" i="53"/>
  <c r="W415" i="53" s="1"/>
  <c r="AK415" i="53"/>
  <c r="AM415" i="53" s="1"/>
  <c r="U355" i="53"/>
  <c r="AK355" i="53"/>
  <c r="AM355" i="53" s="1"/>
  <c r="P355" i="53"/>
  <c r="AB355" i="53"/>
  <c r="AD355" i="53" s="1"/>
  <c r="AO355" i="53"/>
  <c r="AP355" i="53" s="1"/>
  <c r="AR355" i="53"/>
  <c r="AF355" i="53"/>
  <c r="Y355" i="53"/>
  <c r="Z355" i="53" s="1"/>
  <c r="AB374" i="53"/>
  <c r="AK374" i="53"/>
  <c r="P374" i="53"/>
  <c r="AF374" i="53"/>
  <c r="AO374" i="53"/>
  <c r="AP374" i="53" s="1"/>
  <c r="AR374" i="53"/>
  <c r="AS374" i="53" s="1"/>
  <c r="U374" i="53"/>
  <c r="V374" i="53" s="1"/>
  <c r="Y374" i="53"/>
  <c r="Z374" i="53" s="1"/>
  <c r="U416" i="53"/>
  <c r="AK416" i="53"/>
  <c r="AB416" i="53"/>
  <c r="AC416" i="53" s="1"/>
  <c r="Y416" i="53"/>
  <c r="AA416" i="53" s="1"/>
  <c r="P416" i="53"/>
  <c r="AF416" i="53"/>
  <c r="AO416" i="53"/>
  <c r="AQ416" i="53" s="1"/>
  <c r="AR416" i="53"/>
  <c r="AS416" i="53" s="1"/>
  <c r="Z447" i="53"/>
  <c r="AA447" i="53"/>
  <c r="AK349" i="53"/>
  <c r="P349" i="53"/>
  <c r="R349" i="53" s="1"/>
  <c r="AB349" i="53"/>
  <c r="AO349" i="53"/>
  <c r="Y349" i="53"/>
  <c r="Z349" i="53" s="1"/>
  <c r="AF349" i="53"/>
  <c r="AI349" i="53" s="1"/>
  <c r="U349" i="53"/>
  <c r="AR349" i="53"/>
  <c r="P362" i="53"/>
  <c r="Q362" i="53" s="1"/>
  <c r="AF362" i="53"/>
  <c r="AI362" i="53" s="1"/>
  <c r="AK362" i="53"/>
  <c r="AM362" i="53" s="1"/>
  <c r="U362" i="53"/>
  <c r="V362" i="53" s="1"/>
  <c r="AO362" i="53"/>
  <c r="Y362" i="53"/>
  <c r="AB362" i="53"/>
  <c r="AR362" i="53"/>
  <c r="AT362" i="53" s="1"/>
  <c r="AO375" i="53"/>
  <c r="AB375" i="53"/>
  <c r="AR375" i="53"/>
  <c r="U375" i="53"/>
  <c r="V375" i="53" s="1"/>
  <c r="AF375" i="53"/>
  <c r="AG375" i="53" s="1"/>
  <c r="Y375" i="53"/>
  <c r="AK375" i="53"/>
  <c r="AN375" i="53" s="1"/>
  <c r="P375" i="53"/>
  <c r="R375" i="53" s="1"/>
  <c r="U381" i="53"/>
  <c r="V381" i="53" s="1"/>
  <c r="AK381" i="53"/>
  <c r="AM381" i="53" s="1"/>
  <c r="Y381" i="53"/>
  <c r="AO381" i="53"/>
  <c r="AB381" i="53"/>
  <c r="AR381" i="53"/>
  <c r="AT381" i="53" s="1"/>
  <c r="P381" i="53"/>
  <c r="Q381" i="53" s="1"/>
  <c r="AF381" i="53"/>
  <c r="AI381" i="53" s="1"/>
  <c r="U404" i="53"/>
  <c r="W404" i="53" s="1"/>
  <c r="Y404" i="53"/>
  <c r="AK404" i="53"/>
  <c r="AM404" i="53" s="1"/>
  <c r="AB404" i="53"/>
  <c r="AD404" i="53" s="1"/>
  <c r="AF404" i="53"/>
  <c r="P404" i="53"/>
  <c r="AO404" i="53"/>
  <c r="AR404" i="53"/>
  <c r="AT404" i="53" s="1"/>
  <c r="AF417" i="53"/>
  <c r="AR417" i="53"/>
  <c r="U417" i="53"/>
  <c r="V417" i="53" s="1"/>
  <c r="Y417" i="53"/>
  <c r="AK417" i="53"/>
  <c r="AL417" i="53" s="1"/>
  <c r="AB417" i="53"/>
  <c r="AE417" i="53" s="1"/>
  <c r="AO417" i="53"/>
  <c r="P417" i="53"/>
  <c r="Q432" i="53"/>
  <c r="S432" i="53"/>
  <c r="T432" i="53"/>
  <c r="R432" i="53"/>
  <c r="AN448" i="53"/>
  <c r="AL448" i="53"/>
  <c r="AM448" i="53"/>
  <c r="U353" i="53"/>
  <c r="W353" i="53" s="1"/>
  <c r="AR353" i="53"/>
  <c r="AT353" i="53" s="1"/>
  <c r="Y353" i="53"/>
  <c r="P353" i="53"/>
  <c r="AB353" i="53"/>
  <c r="AO353" i="53"/>
  <c r="AK353" i="53"/>
  <c r="AM353" i="53" s="1"/>
  <c r="AF353" i="53"/>
  <c r="AC332" i="53"/>
  <c r="AD332" i="53"/>
  <c r="AE332" i="53"/>
  <c r="P373" i="53"/>
  <c r="Q373" i="53" s="1"/>
  <c r="AF373" i="53"/>
  <c r="U373" i="53"/>
  <c r="X373" i="53" s="1"/>
  <c r="AK373" i="53"/>
  <c r="AN373" i="53" s="1"/>
  <c r="Y373" i="53"/>
  <c r="AO373" i="53"/>
  <c r="AB373" i="53"/>
  <c r="AC373" i="53" s="1"/>
  <c r="AR373" i="53"/>
  <c r="AF350" i="53"/>
  <c r="AG350" i="53" s="1"/>
  <c r="P350" i="53"/>
  <c r="Q350" i="53" s="1"/>
  <c r="U350" i="53"/>
  <c r="Y350" i="53"/>
  <c r="AA350" i="53" s="1"/>
  <c r="AK350" i="53"/>
  <c r="AO350" i="53"/>
  <c r="AQ350" i="53" s="1"/>
  <c r="AR350" i="53"/>
  <c r="AS350" i="53" s="1"/>
  <c r="AB350" i="53"/>
  <c r="AE350" i="53" s="1"/>
  <c r="AK363" i="53"/>
  <c r="U363" i="53"/>
  <c r="W363" i="53" s="1"/>
  <c r="Y363" i="53"/>
  <c r="Z363" i="53" s="1"/>
  <c r="AB363" i="53"/>
  <c r="AE363" i="53" s="1"/>
  <c r="AO363" i="53"/>
  <c r="AP363" i="53" s="1"/>
  <c r="P363" i="53"/>
  <c r="AF363" i="53"/>
  <c r="AH363" i="53" s="1"/>
  <c r="AR363" i="53"/>
  <c r="AS363" i="53" s="1"/>
  <c r="AK369" i="53"/>
  <c r="Y369" i="53"/>
  <c r="Z369" i="53" s="1"/>
  <c r="AB369" i="53"/>
  <c r="AC369" i="53" s="1"/>
  <c r="AO369" i="53"/>
  <c r="AF369" i="53"/>
  <c r="U369" i="53"/>
  <c r="P369" i="53"/>
  <c r="T369" i="53" s="1"/>
  <c r="AR369" i="53"/>
  <c r="AS369" i="53" s="1"/>
  <c r="AS382" i="53"/>
  <c r="AT382" i="53"/>
  <c r="AS398" i="53"/>
  <c r="AT398" i="53"/>
  <c r="AK405" i="53"/>
  <c r="AL405" i="53" s="1"/>
  <c r="U405" i="53"/>
  <c r="W405" i="53" s="1"/>
  <c r="AO405" i="53"/>
  <c r="AR405" i="53"/>
  <c r="P405" i="53"/>
  <c r="Q405" i="53" s="1"/>
  <c r="AB405" i="53"/>
  <c r="AD405" i="53" s="1"/>
  <c r="AF405" i="53"/>
  <c r="AI405" i="53" s="1"/>
  <c r="Y405" i="53"/>
  <c r="AF411" i="53"/>
  <c r="AR411" i="53"/>
  <c r="AS411" i="53" s="1"/>
  <c r="U411" i="53"/>
  <c r="V411" i="53" s="1"/>
  <c r="Y411" i="53"/>
  <c r="Z411" i="53" s="1"/>
  <c r="P411" i="53"/>
  <c r="AB411" i="53"/>
  <c r="AK411" i="53"/>
  <c r="AL411" i="53" s="1"/>
  <c r="AO411" i="53"/>
  <c r="AG433" i="53"/>
  <c r="AH433" i="53"/>
  <c r="AI433" i="53"/>
  <c r="AJ433" i="53"/>
  <c r="Q441" i="53"/>
  <c r="R441" i="53"/>
  <c r="S441" i="53"/>
  <c r="T441" i="53"/>
  <c r="AQ449" i="53"/>
  <c r="AP449" i="53"/>
  <c r="AL445" i="53"/>
  <c r="AM445" i="53"/>
  <c r="AN445" i="53"/>
  <c r="AO354" i="53"/>
  <c r="P354" i="53"/>
  <c r="S354" i="53" s="1"/>
  <c r="U354" i="53"/>
  <c r="X354" i="53" s="1"/>
  <c r="AR354" i="53"/>
  <c r="AB354" i="53"/>
  <c r="AE354" i="53" s="1"/>
  <c r="Y354" i="53"/>
  <c r="AF354" i="53"/>
  <c r="AJ354" i="53" s="1"/>
  <c r="AK354" i="53"/>
  <c r="AN354" i="53" s="1"/>
  <c r="P351" i="53"/>
  <c r="R351" i="53" s="1"/>
  <c r="AK351" i="53"/>
  <c r="AN351" i="53" s="1"/>
  <c r="U351" i="53"/>
  <c r="X351" i="53" s="1"/>
  <c r="AO351" i="53"/>
  <c r="AB351" i="53"/>
  <c r="AE351" i="53" s="1"/>
  <c r="AR351" i="53"/>
  <c r="Y351" i="53"/>
  <c r="AF351" i="53"/>
  <c r="AI351" i="53" s="1"/>
  <c r="AK357" i="53"/>
  <c r="Y357" i="53"/>
  <c r="Z357" i="53" s="1"/>
  <c r="AB357" i="53"/>
  <c r="AO357" i="53"/>
  <c r="AP357" i="53" s="1"/>
  <c r="U357" i="53"/>
  <c r="AR357" i="53"/>
  <c r="P357" i="53"/>
  <c r="R357" i="53" s="1"/>
  <c r="AF357" i="53"/>
  <c r="AH357" i="53" s="1"/>
  <c r="AR370" i="53"/>
  <c r="U370" i="53"/>
  <c r="X370" i="53" s="1"/>
  <c r="AF370" i="53"/>
  <c r="Y370" i="53"/>
  <c r="P370" i="53"/>
  <c r="T370" i="53" s="1"/>
  <c r="AO370" i="53"/>
  <c r="AB370" i="53"/>
  <c r="AK370" i="53"/>
  <c r="AN370" i="53" s="1"/>
  <c r="AB412" i="53"/>
  <c r="P412" i="53"/>
  <c r="T412" i="53" s="1"/>
  <c r="AR412" i="53"/>
  <c r="U412" i="53"/>
  <c r="V412" i="53" s="1"/>
  <c r="AF412" i="53"/>
  <c r="AG412" i="53" s="1"/>
  <c r="AK412" i="53"/>
  <c r="AN412" i="53" s="1"/>
  <c r="AO412" i="53"/>
  <c r="Y412" i="53"/>
  <c r="W418" i="53"/>
  <c r="V418" i="53"/>
  <c r="AG426" i="53"/>
  <c r="AI426" i="53"/>
  <c r="AJ426" i="53"/>
  <c r="W434" i="53"/>
  <c r="V434" i="53"/>
  <c r="X434" i="53"/>
  <c r="Z442" i="53"/>
  <c r="AA442" i="53"/>
  <c r="AF347" i="53"/>
  <c r="AI347" i="53" s="1"/>
  <c r="U347" i="53"/>
  <c r="V347" i="53" s="1"/>
  <c r="Y347" i="53"/>
  <c r="AA347" i="53" s="1"/>
  <c r="AO347" i="53"/>
  <c r="AP347" i="53" s="1"/>
  <c r="P347" i="53"/>
  <c r="AB347" i="53"/>
  <c r="AR347" i="53"/>
  <c r="AK347" i="53"/>
  <c r="AN347" i="53" s="1"/>
  <c r="U366" i="53"/>
  <c r="V366" i="53" s="1"/>
  <c r="AK366" i="53"/>
  <c r="AM366" i="53" s="1"/>
  <c r="P366" i="53"/>
  <c r="AB366" i="53"/>
  <c r="AD366" i="53" s="1"/>
  <c r="AR366" i="53"/>
  <c r="AF366" i="53"/>
  <c r="Y366" i="53"/>
  <c r="Z366" i="53" s="1"/>
  <c r="AO366" i="53"/>
  <c r="AP366" i="53" s="1"/>
  <c r="AB408" i="53"/>
  <c r="AR408" i="53"/>
  <c r="AK408" i="53"/>
  <c r="P408" i="53"/>
  <c r="U408" i="53"/>
  <c r="Y408" i="53"/>
  <c r="AF408" i="53"/>
  <c r="AJ408" i="53" s="1"/>
  <c r="AO408" i="53"/>
  <c r="AP408" i="53" s="1"/>
  <c r="P367" i="53"/>
  <c r="R367" i="53" s="1"/>
  <c r="AB367" i="53"/>
  <c r="AO367" i="53"/>
  <c r="U367" i="53"/>
  <c r="AR367" i="53"/>
  <c r="Y367" i="53"/>
  <c r="AK367" i="53"/>
  <c r="AF367" i="53"/>
  <c r="AH367" i="53" s="1"/>
  <c r="U409" i="53"/>
  <c r="AK409" i="53"/>
  <c r="AB409" i="53"/>
  <c r="AE409" i="53" s="1"/>
  <c r="AO409" i="53"/>
  <c r="P409" i="53"/>
  <c r="Q409" i="53" s="1"/>
  <c r="Y409" i="53"/>
  <c r="Z409" i="53" s="1"/>
  <c r="AR409" i="53"/>
  <c r="AS409" i="53" s="1"/>
  <c r="AF409" i="53"/>
  <c r="U361" i="53"/>
  <c r="W361" i="53" s="1"/>
  <c r="Y361" i="53"/>
  <c r="AK361" i="53"/>
  <c r="AM361" i="53" s="1"/>
  <c r="P361" i="53"/>
  <c r="AO361" i="53"/>
  <c r="AF361" i="53"/>
  <c r="AR361" i="53"/>
  <c r="AT361" i="53" s="1"/>
  <c r="AB361" i="53"/>
  <c r="AC361" i="53" s="1"/>
  <c r="P403" i="53"/>
  <c r="AB403" i="53"/>
  <c r="AC403" i="53" s="1"/>
  <c r="AO403" i="53"/>
  <c r="AP403" i="53" s="1"/>
  <c r="AF403" i="53"/>
  <c r="AR403" i="53"/>
  <c r="U403" i="53"/>
  <c r="X403" i="53" s="1"/>
  <c r="Y403" i="53"/>
  <c r="Z403" i="53" s="1"/>
  <c r="AK403" i="53"/>
  <c r="AN403" i="53" s="1"/>
  <c r="T439" i="53"/>
  <c r="S439" i="53"/>
  <c r="AO358" i="53"/>
  <c r="AQ358" i="53" s="1"/>
  <c r="AF358" i="53"/>
  <c r="AR358" i="53"/>
  <c r="AS358" i="53" s="1"/>
  <c r="U358" i="53"/>
  <c r="Y358" i="53"/>
  <c r="AK358" i="53"/>
  <c r="P358" i="53"/>
  <c r="S358" i="53" s="1"/>
  <c r="AB358" i="53"/>
  <c r="AE358" i="53" s="1"/>
  <c r="AT364" i="53"/>
  <c r="AS364" i="53"/>
  <c r="U371" i="53"/>
  <c r="AR371" i="53"/>
  <c r="P371" i="53"/>
  <c r="AK371" i="53"/>
  <c r="Y371" i="53"/>
  <c r="Z371" i="53" s="1"/>
  <c r="AF371" i="53"/>
  <c r="AO371" i="53"/>
  <c r="AB371" i="53"/>
  <c r="AD371" i="53" s="1"/>
  <c r="AO377" i="53"/>
  <c r="AQ377" i="53" s="1"/>
  <c r="Y377" i="53"/>
  <c r="AA377" i="53" s="1"/>
  <c r="AR377" i="53"/>
  <c r="AS377" i="53" s="1"/>
  <c r="AB377" i="53"/>
  <c r="AE377" i="53" s="1"/>
  <c r="P377" i="53"/>
  <c r="Q377" i="53" s="1"/>
  <c r="AF377" i="53"/>
  <c r="AG377" i="53" s="1"/>
  <c r="U377" i="53"/>
  <c r="AK377" i="53"/>
  <c r="AK413" i="53"/>
  <c r="AB413" i="53"/>
  <c r="Y413" i="53"/>
  <c r="Z413" i="53" s="1"/>
  <c r="AF413" i="53"/>
  <c r="AJ413" i="53" s="1"/>
  <c r="AR413" i="53"/>
  <c r="P413" i="53"/>
  <c r="S413" i="53" s="1"/>
  <c r="U413" i="53"/>
  <c r="AO413" i="53"/>
  <c r="AP413" i="53" s="1"/>
  <c r="U346" i="53"/>
  <c r="V346" i="53" s="1"/>
  <c r="AK346" i="53"/>
  <c r="AM346" i="53" s="1"/>
  <c r="Y346" i="53"/>
  <c r="AO346" i="53"/>
  <c r="AB346" i="53"/>
  <c r="AR346" i="53"/>
  <c r="AT346" i="53" s="1"/>
  <c r="P346" i="53"/>
  <c r="Q346" i="53" s="1"/>
  <c r="AF346" i="53"/>
  <c r="AI346" i="53" s="1"/>
  <c r="AR359" i="53"/>
  <c r="AB359" i="53"/>
  <c r="P359" i="53"/>
  <c r="Q359" i="53" s="1"/>
  <c r="AF359" i="53"/>
  <c r="AG359" i="53" s="1"/>
  <c r="U359" i="53"/>
  <c r="X359" i="53" s="1"/>
  <c r="AK359" i="53"/>
  <c r="AN359" i="53" s="1"/>
  <c r="Y359" i="53"/>
  <c r="AO359" i="53"/>
  <c r="AK365" i="53"/>
  <c r="AL365" i="53" s="1"/>
  <c r="U365" i="53"/>
  <c r="V365" i="53" s="1"/>
  <c r="AO365" i="53"/>
  <c r="Y365" i="53"/>
  <c r="AR365" i="53"/>
  <c r="AF365" i="53"/>
  <c r="AG365" i="53" s="1"/>
  <c r="P365" i="53"/>
  <c r="T365" i="53" s="1"/>
  <c r="AB365" i="53"/>
  <c r="AD365" i="53" s="1"/>
  <c r="AR378" i="53"/>
  <c r="P378" i="53"/>
  <c r="R378" i="53" s="1"/>
  <c r="U378" i="53"/>
  <c r="X378" i="53" s="1"/>
  <c r="AF378" i="53"/>
  <c r="AG378" i="53" s="1"/>
  <c r="AB378" i="53"/>
  <c r="AO378" i="53"/>
  <c r="AK378" i="53"/>
  <c r="AN378" i="53" s="1"/>
  <c r="Y378" i="53"/>
  <c r="AI401" i="53"/>
  <c r="AJ401" i="53"/>
  <c r="U407" i="53"/>
  <c r="AF407" i="53"/>
  <c r="AG407" i="53" s="1"/>
  <c r="AK407" i="53"/>
  <c r="AL407" i="53" s="1"/>
  <c r="AO407" i="53"/>
  <c r="AB407" i="53"/>
  <c r="AR407" i="53"/>
  <c r="P407" i="53"/>
  <c r="R407" i="53" s="1"/>
  <c r="Y407" i="53"/>
  <c r="AA407" i="53" s="1"/>
  <c r="V444" i="53"/>
  <c r="X444" i="53"/>
  <c r="AO337" i="53"/>
  <c r="AF337" i="53"/>
  <c r="U337" i="53"/>
  <c r="X337" i="53" s="1"/>
  <c r="Y337" i="53"/>
  <c r="P337" i="53"/>
  <c r="AK337" i="53"/>
  <c r="AN337" i="53" s="1"/>
  <c r="AR337" i="53"/>
  <c r="AS337" i="53" s="1"/>
  <c r="AB337" i="53"/>
  <c r="AD337" i="53" s="1"/>
  <c r="AK397" i="53"/>
  <c r="U397" i="53"/>
  <c r="X397" i="53" s="1"/>
  <c r="AB397" i="53"/>
  <c r="AC397" i="53" s="1"/>
  <c r="AR397" i="53"/>
  <c r="AS397" i="53" s="1"/>
  <c r="AF397" i="53"/>
  <c r="AI397" i="53" s="1"/>
  <c r="P397" i="53"/>
  <c r="Y427" i="53"/>
  <c r="Z427" i="53" s="1"/>
  <c r="AB427" i="53"/>
  <c r="AK427" i="53"/>
  <c r="U390" i="53"/>
  <c r="W390" i="53" s="1"/>
  <c r="P390" i="53"/>
  <c r="AB390" i="53"/>
  <c r="AD390" i="53" s="1"/>
  <c r="AO390" i="53"/>
  <c r="AP390" i="53" s="1"/>
  <c r="AR390" i="53"/>
  <c r="AS390" i="53" s="1"/>
  <c r="P383" i="53"/>
  <c r="R383" i="53" s="1"/>
  <c r="U383" i="53"/>
  <c r="X383" i="53" s="1"/>
  <c r="AF383" i="53"/>
  <c r="AI383" i="53" s="1"/>
  <c r="AO383" i="53"/>
  <c r="AR383" i="53"/>
  <c r="Y383" i="53"/>
  <c r="AB383" i="53"/>
  <c r="AB399" i="53"/>
  <c r="AO399" i="53"/>
  <c r="AR399" i="53"/>
  <c r="P399" i="53"/>
  <c r="R399" i="53" s="1"/>
  <c r="AF399" i="53"/>
  <c r="AH399" i="53" s="1"/>
  <c r="U399" i="53"/>
  <c r="V399" i="53" s="1"/>
  <c r="AK399" i="53"/>
  <c r="Y449" i="53"/>
  <c r="AR444" i="53"/>
  <c r="U437" i="53"/>
  <c r="AK433" i="53"/>
  <c r="AM433" i="53" s="1"/>
  <c r="U425" i="53"/>
  <c r="W425" i="53" s="1"/>
  <c r="U340" i="53"/>
  <c r="V340" i="53" s="1"/>
  <c r="AF340" i="53"/>
  <c r="AH340" i="53" s="1"/>
  <c r="Y340" i="53"/>
  <c r="AK340" i="53"/>
  <c r="AB340" i="53"/>
  <c r="AO340" i="53"/>
  <c r="AR340" i="53"/>
  <c r="AK384" i="53"/>
  <c r="Y384" i="53"/>
  <c r="Z384" i="53" s="1"/>
  <c r="P384" i="53"/>
  <c r="R384" i="53" s="1"/>
  <c r="AB384" i="53"/>
  <c r="AO384" i="53"/>
  <c r="AP384" i="53" s="1"/>
  <c r="U384" i="53"/>
  <c r="AR384" i="53"/>
  <c r="Y392" i="53"/>
  <c r="Z392" i="53" s="1"/>
  <c r="AB392" i="53"/>
  <c r="AO392" i="53"/>
  <c r="AR392" i="53"/>
  <c r="U392" i="53"/>
  <c r="AF392" i="53"/>
  <c r="AH392" i="53" s="1"/>
  <c r="P392" i="53"/>
  <c r="R392" i="53" s="1"/>
  <c r="U400" i="53"/>
  <c r="AR400" i="53"/>
  <c r="AF400" i="53"/>
  <c r="AG400" i="53" s="1"/>
  <c r="Y400" i="53"/>
  <c r="AK400" i="53"/>
  <c r="P422" i="53"/>
  <c r="Q422" i="53" s="1"/>
  <c r="AK422" i="53"/>
  <c r="U422" i="53"/>
  <c r="AK430" i="53"/>
  <c r="Y430" i="53"/>
  <c r="AA430" i="53" s="1"/>
  <c r="AB430" i="53"/>
  <c r="AD430" i="53" s="1"/>
  <c r="AO430" i="53"/>
  <c r="AQ430" i="53" s="1"/>
  <c r="AR430" i="53"/>
  <c r="AS430" i="53" s="1"/>
  <c r="P454" i="53"/>
  <c r="Y454" i="53"/>
  <c r="Z454" i="53" s="1"/>
  <c r="AK454" i="53"/>
  <c r="AB454" i="53"/>
  <c r="AR454" i="53"/>
  <c r="AS454" i="53" s="1"/>
  <c r="U454" i="53"/>
  <c r="AF454" i="53"/>
  <c r="AO454" i="53"/>
  <c r="AP454" i="53" s="1"/>
  <c r="AO333" i="53"/>
  <c r="AP333" i="53" s="1"/>
  <c r="AB333" i="53"/>
  <c r="AR332" i="53"/>
  <c r="U332" i="53"/>
  <c r="U449" i="53"/>
  <c r="W449" i="53" s="1"/>
  <c r="AB448" i="53"/>
  <c r="AD448" i="53" s="1"/>
  <c r="AR446" i="53"/>
  <c r="AT446" i="53" s="1"/>
  <c r="AR445" i="53"/>
  <c r="AK441" i="53"/>
  <c r="AM441" i="53" s="1"/>
  <c r="AO440" i="53"/>
  <c r="AP440" i="53" s="1"/>
  <c r="AF440" i="53"/>
  <c r="U439" i="53"/>
  <c r="X439" i="53" s="1"/>
  <c r="AF438" i="53"/>
  <c r="AI438" i="53" s="1"/>
  <c r="AF437" i="53"/>
  <c r="AG437" i="53" s="1"/>
  <c r="AR436" i="53"/>
  <c r="U436" i="53"/>
  <c r="V436" i="53" s="1"/>
  <c r="AO426" i="53"/>
  <c r="P425" i="53"/>
  <c r="U420" i="53"/>
  <c r="V420" i="53" s="1"/>
  <c r="AR418" i="53"/>
  <c r="AS418" i="53" s="1"/>
  <c r="Y399" i="53"/>
  <c r="P388" i="53"/>
  <c r="AB388" i="53"/>
  <c r="AE388" i="53" s="1"/>
  <c r="AF388" i="53"/>
  <c r="AR388" i="53"/>
  <c r="U388" i="53"/>
  <c r="W388" i="53" s="1"/>
  <c r="Y388" i="53"/>
  <c r="AK388" i="53"/>
  <c r="AM388" i="53" s="1"/>
  <c r="AO388" i="53"/>
  <c r="AF435" i="53"/>
  <c r="U435" i="53"/>
  <c r="AB338" i="53"/>
  <c r="AD338" i="53" s="1"/>
  <c r="AF338" i="53"/>
  <c r="AI338" i="53" s="1"/>
  <c r="P338" i="53"/>
  <c r="T338" i="53" s="1"/>
  <c r="U338" i="53"/>
  <c r="W338" i="53" s="1"/>
  <c r="AO338" i="53"/>
  <c r="Y338" i="53"/>
  <c r="AR338" i="53"/>
  <c r="AT338" i="53" s="1"/>
  <c r="AK338" i="53"/>
  <c r="AM338" i="53" s="1"/>
  <c r="U382" i="53"/>
  <c r="V382" i="53" s="1"/>
  <c r="Y382" i="53"/>
  <c r="Z382" i="53" s="1"/>
  <c r="AB382" i="53"/>
  <c r="AK382" i="53"/>
  <c r="AF382" i="53"/>
  <c r="AO382" i="53"/>
  <c r="AP382" i="53" s="1"/>
  <c r="P339" i="53"/>
  <c r="S339" i="53" s="1"/>
  <c r="AK339" i="53"/>
  <c r="Y339" i="53"/>
  <c r="Z339" i="53" s="1"/>
  <c r="AO339" i="53"/>
  <c r="AQ339" i="53" s="1"/>
  <c r="U339" i="53"/>
  <c r="V339" i="53" s="1"/>
  <c r="AB339" i="53"/>
  <c r="AC339" i="53" s="1"/>
  <c r="AF339" i="53"/>
  <c r="AI339" i="53" s="1"/>
  <c r="AR339" i="53"/>
  <c r="AS339" i="53" s="1"/>
  <c r="AB429" i="53"/>
  <c r="AO429" i="53"/>
  <c r="AP429" i="53" s="1"/>
  <c r="P429" i="53"/>
  <c r="Q429" i="53" s="1"/>
  <c r="AR429" i="53"/>
  <c r="AK449" i="53"/>
  <c r="AM449" i="53" s="1"/>
  <c r="AK437" i="53"/>
  <c r="Y341" i="53"/>
  <c r="Z341" i="53" s="1"/>
  <c r="P341" i="53"/>
  <c r="R341" i="53" s="1"/>
  <c r="AB341" i="53"/>
  <c r="AO341" i="53"/>
  <c r="AQ341" i="53" s="1"/>
  <c r="U341" i="53"/>
  <c r="AF341" i="53"/>
  <c r="AG341" i="53" s="1"/>
  <c r="AK341" i="53"/>
  <c r="AR341" i="53"/>
  <c r="P385" i="53"/>
  <c r="AB385" i="53"/>
  <c r="AE385" i="53" s="1"/>
  <c r="AR385" i="53"/>
  <c r="AS385" i="53" s="1"/>
  <c r="AF385" i="53"/>
  <c r="AH385" i="53" s="1"/>
  <c r="U385" i="53"/>
  <c r="AK385" i="53"/>
  <c r="Y385" i="53"/>
  <c r="AF393" i="53"/>
  <c r="AJ393" i="53" s="1"/>
  <c r="U393" i="53"/>
  <c r="AK393" i="53"/>
  <c r="AM393" i="53" s="1"/>
  <c r="AO393" i="53"/>
  <c r="Y393" i="53"/>
  <c r="Y401" i="53"/>
  <c r="AA401" i="53" s="1"/>
  <c r="AO401" i="53"/>
  <c r="AQ401" i="53" s="1"/>
  <c r="AB401" i="53"/>
  <c r="AE401" i="53" s="1"/>
  <c r="AR401" i="53"/>
  <c r="AS401" i="53" s="1"/>
  <c r="P401" i="53"/>
  <c r="S401" i="53" s="1"/>
  <c r="U401" i="53"/>
  <c r="AK401" i="53"/>
  <c r="U423" i="53"/>
  <c r="W423" i="53" s="1"/>
  <c r="Y423" i="53"/>
  <c r="Z423" i="53" s="1"/>
  <c r="AR423" i="53"/>
  <c r="AB423" i="53"/>
  <c r="Y431" i="53"/>
  <c r="AB431" i="53"/>
  <c r="AO431" i="53"/>
  <c r="AP431" i="53" s="1"/>
  <c r="AR431" i="53"/>
  <c r="P332" i="53"/>
  <c r="Q332" i="53" s="1"/>
  <c r="AA448" i="53"/>
  <c r="AK447" i="53"/>
  <c r="AN447" i="53" s="1"/>
  <c r="AO446" i="53"/>
  <c r="AQ446" i="53" s="1"/>
  <c r="AB446" i="53"/>
  <c r="AE446" i="53" s="1"/>
  <c r="AF445" i="53"/>
  <c r="AH445" i="53" s="1"/>
  <c r="U445" i="53"/>
  <c r="AB444" i="53"/>
  <c r="AK442" i="53"/>
  <c r="P442" i="53"/>
  <c r="Q442" i="53" s="1"/>
  <c r="Y441" i="53"/>
  <c r="AO439" i="53"/>
  <c r="AR437" i="53"/>
  <c r="AR435" i="53"/>
  <c r="AS435" i="53" s="1"/>
  <c r="U430" i="53"/>
  <c r="AF427" i="53"/>
  <c r="P423" i="53"/>
  <c r="Q423" i="53" s="1"/>
  <c r="AR419" i="53"/>
  <c r="AS419" i="53" s="1"/>
  <c r="AO418" i="53"/>
  <c r="AR393" i="53"/>
  <c r="Y389" i="53"/>
  <c r="AO389" i="53"/>
  <c r="AB389" i="53"/>
  <c r="AE389" i="53" s="1"/>
  <c r="AR389" i="53"/>
  <c r="P389" i="53"/>
  <c r="Q389" i="53" s="1"/>
  <c r="AK389" i="53"/>
  <c r="AF389" i="53"/>
  <c r="AH389" i="53" s="1"/>
  <c r="U398" i="53"/>
  <c r="AK398" i="53"/>
  <c r="AN398" i="53" s="1"/>
  <c r="AO398" i="53"/>
  <c r="AP398" i="53" s="1"/>
  <c r="Y398" i="53"/>
  <c r="AA398" i="53" s="1"/>
  <c r="AB398" i="53"/>
  <c r="AC398" i="53" s="1"/>
  <c r="P398" i="53"/>
  <c r="S398" i="53" s="1"/>
  <c r="P428" i="53"/>
  <c r="S428" i="53" s="1"/>
  <c r="AB428" i="53"/>
  <c r="AF428" i="53"/>
  <c r="AH428" i="53" s="1"/>
  <c r="U391" i="53"/>
  <c r="W391" i="53" s="1"/>
  <c r="AF391" i="53"/>
  <c r="AG391" i="53" s="1"/>
  <c r="AR391" i="53"/>
  <c r="Y391" i="53"/>
  <c r="AK391" i="53"/>
  <c r="AB391" i="53"/>
  <c r="AO391" i="53"/>
  <c r="P391" i="53"/>
  <c r="R391" i="53" s="1"/>
  <c r="P453" i="53"/>
  <c r="Q453" i="53" s="1"/>
  <c r="AF453" i="53"/>
  <c r="AG453" i="53" s="1"/>
  <c r="U453" i="53"/>
  <c r="AK453" i="53"/>
  <c r="Y453" i="53"/>
  <c r="Z453" i="53" s="1"/>
  <c r="AO453" i="53"/>
  <c r="AP453" i="53" s="1"/>
  <c r="AB453" i="53"/>
  <c r="AR453" i="53"/>
  <c r="P444" i="53"/>
  <c r="R444" i="53" s="1"/>
  <c r="U443" i="53"/>
  <c r="X443" i="53" s="1"/>
  <c r="U442" i="53"/>
  <c r="W442" i="53" s="1"/>
  <c r="AB436" i="53"/>
  <c r="AF429" i="53"/>
  <c r="AG429" i="53" s="1"/>
  <c r="P427" i="53"/>
  <c r="AB420" i="53"/>
  <c r="Y334" i="53"/>
  <c r="Z334" i="53" s="1"/>
  <c r="AO334" i="53"/>
  <c r="AP334" i="53" s="1"/>
  <c r="P334" i="53"/>
  <c r="T334" i="53" s="1"/>
  <c r="AF334" i="53"/>
  <c r="AJ334" i="53" s="1"/>
  <c r="U334" i="53"/>
  <c r="AB334" i="53"/>
  <c r="AE334" i="53" s="1"/>
  <c r="AK334" i="53"/>
  <c r="AR334" i="53"/>
  <c r="AS334" i="53" s="1"/>
  <c r="U342" i="53"/>
  <c r="AK342" i="53"/>
  <c r="AB342" i="53"/>
  <c r="AE342" i="53" s="1"/>
  <c r="AO342" i="53"/>
  <c r="AQ342" i="53" s="1"/>
  <c r="P342" i="53"/>
  <c r="Q342" i="53" s="1"/>
  <c r="AR342" i="53"/>
  <c r="AS342" i="53" s="1"/>
  <c r="AF342" i="53"/>
  <c r="Y342" i="53"/>
  <c r="AA342" i="53" s="1"/>
  <c r="P386" i="53"/>
  <c r="S386" i="53" s="1"/>
  <c r="AF386" i="53"/>
  <c r="AG386" i="53" s="1"/>
  <c r="U386" i="53"/>
  <c r="X386" i="53" s="1"/>
  <c r="AO386" i="53"/>
  <c r="AP386" i="53" s="1"/>
  <c r="Y386" i="53"/>
  <c r="Z386" i="53" s="1"/>
  <c r="AR386" i="53"/>
  <c r="AK386" i="53"/>
  <c r="AN386" i="53" s="1"/>
  <c r="P394" i="53"/>
  <c r="S394" i="53" s="1"/>
  <c r="AF394" i="53"/>
  <c r="AI394" i="53" s="1"/>
  <c r="Y394" i="53"/>
  <c r="Z394" i="53" s="1"/>
  <c r="AB394" i="53"/>
  <c r="AO394" i="53"/>
  <c r="AP394" i="53" s="1"/>
  <c r="AK394" i="53"/>
  <c r="AN394" i="53" s="1"/>
  <c r="AR424" i="53"/>
  <c r="AS424" i="53" s="1"/>
  <c r="U424" i="53"/>
  <c r="AK424" i="53"/>
  <c r="Y432" i="53"/>
  <c r="AK432" i="53"/>
  <c r="AB432" i="53"/>
  <c r="AC432" i="53" s="1"/>
  <c r="AF432" i="53"/>
  <c r="U432" i="53"/>
  <c r="AO432" i="53"/>
  <c r="AO332" i="53"/>
  <c r="AO445" i="53"/>
  <c r="AO444" i="53"/>
  <c r="AR443" i="53"/>
  <c r="AF443" i="53"/>
  <c r="AF442" i="53"/>
  <c r="AI442" i="53" s="1"/>
  <c r="U441" i="53"/>
  <c r="W441" i="53" s="1"/>
  <c r="AK439" i="53"/>
  <c r="AN439" i="53" s="1"/>
  <c r="AO436" i="53"/>
  <c r="AO435" i="53"/>
  <c r="AQ435" i="53" s="1"/>
  <c r="P435" i="53"/>
  <c r="U431" i="53"/>
  <c r="W431" i="53" s="1"/>
  <c r="P430" i="53"/>
  <c r="Q430" i="53" s="1"/>
  <c r="AR422" i="53"/>
  <c r="AS422" i="53" s="1"/>
  <c r="AR420" i="53"/>
  <c r="AO419" i="53"/>
  <c r="AP419" i="53" s="1"/>
  <c r="U389" i="53"/>
  <c r="X389" i="53" s="1"/>
  <c r="AG384" i="53"/>
  <c r="P382" i="53"/>
  <c r="AB335" i="53"/>
  <c r="AE335" i="53" s="1"/>
  <c r="AF335" i="53"/>
  <c r="AG335" i="53" s="1"/>
  <c r="P335" i="53"/>
  <c r="R335" i="53" s="1"/>
  <c r="AK335" i="53"/>
  <c r="AN335" i="53" s="1"/>
  <c r="U335" i="53"/>
  <c r="X335" i="53" s="1"/>
  <c r="AO335" i="53"/>
  <c r="AQ335" i="53" s="1"/>
  <c r="AR335" i="53"/>
  <c r="Y335" i="53"/>
  <c r="Z335" i="53" s="1"/>
  <c r="AF343" i="53"/>
  <c r="AG343" i="53" s="1"/>
  <c r="Y343" i="53"/>
  <c r="AB343" i="53"/>
  <c r="AO343" i="53"/>
  <c r="AR343" i="53"/>
  <c r="P343" i="53"/>
  <c r="Q343" i="53" s="1"/>
  <c r="U343" i="53"/>
  <c r="X343" i="53" s="1"/>
  <c r="AK343" i="53"/>
  <c r="AN343" i="53" s="1"/>
  <c r="P348" i="53"/>
  <c r="R348" i="53" s="1"/>
  <c r="AR348" i="53"/>
  <c r="U348" i="53"/>
  <c r="AK348" i="53"/>
  <c r="AL348" i="53" s="1"/>
  <c r="Y348" i="53"/>
  <c r="AB348" i="53"/>
  <c r="AF348" i="53"/>
  <c r="AI348" i="53" s="1"/>
  <c r="AO348" i="53"/>
  <c r="AF352" i="53"/>
  <c r="AR352" i="53"/>
  <c r="U352" i="53"/>
  <c r="X352" i="53" s="1"/>
  <c r="AK352" i="53"/>
  <c r="P352" i="53"/>
  <c r="Y352" i="53"/>
  <c r="Z352" i="53" s="1"/>
  <c r="AB352" i="53"/>
  <c r="AC352" i="53" s="1"/>
  <c r="AO352" i="53"/>
  <c r="P356" i="53"/>
  <c r="S356" i="53" s="1"/>
  <c r="AR356" i="53"/>
  <c r="U356" i="53"/>
  <c r="AK356" i="53"/>
  <c r="Y356" i="53"/>
  <c r="AF356" i="53"/>
  <c r="AH356" i="53" s="1"/>
  <c r="AO356" i="53"/>
  <c r="AB356" i="53"/>
  <c r="U360" i="53"/>
  <c r="AF360" i="53"/>
  <c r="Y360" i="53"/>
  <c r="AK360" i="53"/>
  <c r="P360" i="53"/>
  <c r="AO360" i="53"/>
  <c r="AR360" i="53"/>
  <c r="AB360" i="53"/>
  <c r="AE360" i="53" s="1"/>
  <c r="AB364" i="53"/>
  <c r="AK364" i="53"/>
  <c r="AM364" i="53" s="1"/>
  <c r="AO364" i="53"/>
  <c r="U364" i="53"/>
  <c r="W364" i="53" s="1"/>
  <c r="AF364" i="53"/>
  <c r="P364" i="53"/>
  <c r="Y364" i="53"/>
  <c r="U368" i="53"/>
  <c r="AO368" i="53"/>
  <c r="AF368" i="53"/>
  <c r="AH368" i="53" s="1"/>
  <c r="AR368" i="53"/>
  <c r="Y368" i="53"/>
  <c r="Z368" i="53" s="1"/>
  <c r="AK368" i="53"/>
  <c r="P368" i="53"/>
  <c r="S368" i="53" s="1"/>
  <c r="U372" i="53"/>
  <c r="V372" i="53" s="1"/>
  <c r="Y372" i="53"/>
  <c r="AK372" i="53"/>
  <c r="AM372" i="53" s="1"/>
  <c r="P372" i="53"/>
  <c r="AB372" i="53"/>
  <c r="AO372" i="53"/>
  <c r="AF372" i="53"/>
  <c r="AR372" i="53"/>
  <c r="AT372" i="53" s="1"/>
  <c r="AO376" i="53"/>
  <c r="AP376" i="53" s="1"/>
  <c r="AR376" i="53"/>
  <c r="U376" i="53"/>
  <c r="AF376" i="53"/>
  <c r="AI376" i="53" s="1"/>
  <c r="AK376" i="53"/>
  <c r="Y376" i="53"/>
  <c r="Z376" i="53" s="1"/>
  <c r="P376" i="53"/>
  <c r="T376" i="53" s="1"/>
  <c r="AB376" i="53"/>
  <c r="Y380" i="53"/>
  <c r="AK380" i="53"/>
  <c r="AM380" i="53" s="1"/>
  <c r="P380" i="53"/>
  <c r="AO380" i="53"/>
  <c r="AB380" i="53"/>
  <c r="AD380" i="53" s="1"/>
  <c r="AF380" i="53"/>
  <c r="U380" i="53"/>
  <c r="W380" i="53" s="1"/>
  <c r="AR380" i="53"/>
  <c r="AT380" i="53" s="1"/>
  <c r="P387" i="53"/>
  <c r="AR387" i="53"/>
  <c r="AS387" i="53" s="1"/>
  <c r="Y387" i="53"/>
  <c r="AB387" i="53"/>
  <c r="AD387" i="53" s="1"/>
  <c r="U387" i="53"/>
  <c r="AF387" i="53"/>
  <c r="AK387" i="53"/>
  <c r="AR395" i="53"/>
  <c r="AS395" i="53" s="1"/>
  <c r="P395" i="53"/>
  <c r="AK395" i="53"/>
  <c r="Y395" i="53"/>
  <c r="AB395" i="53"/>
  <c r="AD395" i="53" s="1"/>
  <c r="AO395" i="53"/>
  <c r="U395" i="53"/>
  <c r="AF395" i="53"/>
  <c r="AH395" i="53" s="1"/>
  <c r="AB402" i="53"/>
  <c r="AE402" i="53" s="1"/>
  <c r="AF402" i="53"/>
  <c r="AJ402" i="53" s="1"/>
  <c r="U402" i="53"/>
  <c r="X402" i="53" s="1"/>
  <c r="AO402" i="53"/>
  <c r="AP402" i="53" s="1"/>
  <c r="AR402" i="53"/>
  <c r="P402" i="53"/>
  <c r="T402" i="53" s="1"/>
  <c r="P406" i="53"/>
  <c r="S406" i="53" s="1"/>
  <c r="AF406" i="53"/>
  <c r="AI406" i="53" s="1"/>
  <c r="Y406" i="53"/>
  <c r="Z406" i="53" s="1"/>
  <c r="AO406" i="53"/>
  <c r="AQ406" i="53" s="1"/>
  <c r="AB406" i="53"/>
  <c r="AR406" i="53"/>
  <c r="AS406" i="53" s="1"/>
  <c r="AK406" i="53"/>
  <c r="AN406" i="53" s="1"/>
  <c r="P410" i="53"/>
  <c r="Q410" i="53" s="1"/>
  <c r="U410" i="53"/>
  <c r="X410" i="53" s="1"/>
  <c r="AK410" i="53"/>
  <c r="AN410" i="53" s="1"/>
  <c r="AB410" i="53"/>
  <c r="AC410" i="53" s="1"/>
  <c r="AR410" i="53"/>
  <c r="AT410" i="53" s="1"/>
  <c r="Y410" i="53"/>
  <c r="Z410" i="53" s="1"/>
  <c r="AF410" i="53"/>
  <c r="P414" i="53"/>
  <c r="Q414" i="53" s="1"/>
  <c r="AK414" i="53"/>
  <c r="U414" i="53"/>
  <c r="Y414" i="53"/>
  <c r="Z414" i="53" s="1"/>
  <c r="AR414" i="53"/>
  <c r="AS414" i="53" s="1"/>
  <c r="AF414" i="53"/>
  <c r="AG414" i="53" s="1"/>
  <c r="AO414" i="53"/>
  <c r="AP414" i="53" s="1"/>
  <c r="P418" i="53"/>
  <c r="R418" i="53" s="1"/>
  <c r="AF418" i="53"/>
  <c r="AH418" i="53" s="1"/>
  <c r="AO425" i="53"/>
  <c r="AF425" i="53"/>
  <c r="AR425" i="53"/>
  <c r="AT425" i="53" s="1"/>
  <c r="P433" i="53"/>
  <c r="AB433" i="53"/>
  <c r="AD433" i="53" s="1"/>
  <c r="U433" i="53"/>
  <c r="X433" i="53" s="1"/>
  <c r="AR449" i="53"/>
  <c r="AF449" i="53"/>
  <c r="AK444" i="53"/>
  <c r="AL444" i="53" s="1"/>
  <c r="AO443" i="53"/>
  <c r="AP443" i="53" s="1"/>
  <c r="P443" i="53"/>
  <c r="AR441" i="53"/>
  <c r="AO437" i="53"/>
  <c r="AB437" i="53"/>
  <c r="AK435" i="53"/>
  <c r="AN435" i="53" s="1"/>
  <c r="Y433" i="53"/>
  <c r="U429" i="53"/>
  <c r="Y428" i="53"/>
  <c r="AK418" i="53"/>
  <c r="AN418" i="53" s="1"/>
  <c r="AO410" i="53"/>
  <c r="AP410" i="53" s="1"/>
  <c r="AF398" i="53"/>
  <c r="AI398" i="53" s="1"/>
  <c r="AB368" i="53"/>
  <c r="Y336" i="53"/>
  <c r="AA336" i="53" s="1"/>
  <c r="AK336" i="53"/>
  <c r="AN336" i="53" s="1"/>
  <c r="P336" i="53"/>
  <c r="AB336" i="53"/>
  <c r="AE336" i="53" s="1"/>
  <c r="AO336" i="53"/>
  <c r="AQ336" i="53" s="1"/>
  <c r="AR336" i="53"/>
  <c r="U336" i="53"/>
  <c r="X336" i="53" s="1"/>
  <c r="AF336" i="53"/>
  <c r="AK396" i="53"/>
  <c r="P396" i="53"/>
  <c r="T396" i="53" s="1"/>
  <c r="U396" i="53"/>
  <c r="V396" i="53" s="1"/>
  <c r="AB396" i="53"/>
  <c r="AR396" i="53"/>
  <c r="Y396" i="53"/>
  <c r="Z396" i="53" s="1"/>
  <c r="AF396" i="53"/>
  <c r="AI396" i="53" s="1"/>
  <c r="AO396" i="53"/>
  <c r="AP396" i="53" s="1"/>
  <c r="AB419" i="53"/>
  <c r="AE419" i="53" s="1"/>
  <c r="P419" i="53"/>
  <c r="Y426" i="53"/>
  <c r="AK426" i="53"/>
  <c r="AL426" i="53" s="1"/>
  <c r="AB426" i="53"/>
  <c r="AR426" i="53"/>
  <c r="P426" i="53"/>
  <c r="R426" i="53" s="1"/>
  <c r="Y434" i="53"/>
  <c r="AB434" i="53"/>
  <c r="AE434" i="53" s="1"/>
  <c r="P434" i="53"/>
  <c r="Q434" i="53" s="1"/>
  <c r="AF434" i="53"/>
  <c r="AR434" i="53"/>
  <c r="P450" i="53"/>
  <c r="Q450" i="53" s="1"/>
  <c r="AR450" i="53"/>
  <c r="AS450" i="53" s="1"/>
  <c r="U450" i="53"/>
  <c r="AF450" i="53"/>
  <c r="AG450" i="53" s="1"/>
  <c r="AK450" i="53"/>
  <c r="Y450" i="53"/>
  <c r="AO450" i="53"/>
  <c r="AB450" i="53"/>
  <c r="AD450" i="53" s="1"/>
  <c r="Y444" i="53"/>
  <c r="AR442" i="53"/>
  <c r="AS442" i="53" s="1"/>
  <c r="AB442" i="53"/>
  <c r="AC442" i="53" s="1"/>
  <c r="AF441" i="53"/>
  <c r="Y437" i="53"/>
  <c r="Z437" i="53" s="1"/>
  <c r="AO434" i="53"/>
  <c r="AR433" i="53"/>
  <c r="AR428" i="53"/>
  <c r="U428" i="53"/>
  <c r="U427" i="53"/>
  <c r="X427" i="53" s="1"/>
  <c r="AB425" i="53"/>
  <c r="AC425" i="53" s="1"/>
  <c r="AF419" i="53"/>
  <c r="AB418" i="53"/>
  <c r="AC418" i="53" s="1"/>
  <c r="AB414" i="53"/>
  <c r="AD414" i="53" s="1"/>
  <c r="AO397" i="53"/>
  <c r="S393" i="53"/>
  <c r="R393" i="53"/>
  <c r="T393" i="53"/>
  <c r="Q393" i="53"/>
  <c r="AK390" i="53"/>
  <c r="AL390" i="53" s="1"/>
  <c r="AD386" i="53"/>
  <c r="AE386" i="53"/>
  <c r="AC386" i="53"/>
  <c r="P451" i="53"/>
  <c r="Q451" i="53" s="1"/>
  <c r="AK451" i="53"/>
  <c r="AM451" i="53" s="1"/>
  <c r="U451" i="53"/>
  <c r="W451" i="53" s="1"/>
  <c r="Y451" i="53"/>
  <c r="Z451" i="53" s="1"/>
  <c r="AR451" i="53"/>
  <c r="AS451" i="53" s="1"/>
  <c r="AB451" i="53"/>
  <c r="AC451" i="53" s="1"/>
  <c r="AO451" i="53"/>
  <c r="AP451" i="53" s="1"/>
  <c r="AF451" i="53"/>
  <c r="AJ451" i="53" s="1"/>
  <c r="AB443" i="53"/>
  <c r="AB435" i="53"/>
  <c r="AC435" i="53" s="1"/>
  <c r="AK429" i="53"/>
  <c r="AR427" i="53"/>
  <c r="AS427" i="53" s="1"/>
  <c r="U426" i="53"/>
  <c r="V426" i="53" s="1"/>
  <c r="Y419" i="53"/>
  <c r="Z419" i="53" s="1"/>
  <c r="Y418" i="53"/>
  <c r="AK402" i="53"/>
  <c r="AN402" i="53" s="1"/>
  <c r="AF390" i="53"/>
  <c r="AQ385" i="53"/>
  <c r="AP385" i="53"/>
  <c r="P344" i="53"/>
  <c r="AK344" i="53"/>
  <c r="AB344" i="53"/>
  <c r="AD344" i="53" s="1"/>
  <c r="AF344" i="53"/>
  <c r="AO344" i="53"/>
  <c r="AP344" i="53" s="1"/>
  <c r="AR344" i="53"/>
  <c r="AS344" i="53" s="1"/>
  <c r="U344" i="53"/>
  <c r="Y344" i="53"/>
  <c r="Z344" i="53" s="1"/>
  <c r="P345" i="53"/>
  <c r="AK345" i="53"/>
  <c r="AM345" i="53" s="1"/>
  <c r="AB345" i="53"/>
  <c r="AO345" i="53"/>
  <c r="U345" i="53"/>
  <c r="W345" i="53" s="1"/>
  <c r="AF345" i="53"/>
  <c r="AR345" i="53"/>
  <c r="AT345" i="53" s="1"/>
  <c r="Y345" i="53"/>
  <c r="P420" i="53"/>
  <c r="Q420" i="53" s="1"/>
  <c r="Y420" i="53"/>
  <c r="AK420" i="53"/>
  <c r="AL420" i="53" s="1"/>
  <c r="AO420" i="53"/>
  <c r="P436" i="53"/>
  <c r="S436" i="53" s="1"/>
  <c r="Y436" i="53"/>
  <c r="AK436" i="53"/>
  <c r="P452" i="53"/>
  <c r="Q452" i="53" s="1"/>
  <c r="AF452" i="53"/>
  <c r="AG452" i="53" s="1"/>
  <c r="U452" i="53"/>
  <c r="AK452" i="53"/>
  <c r="Y452" i="53"/>
  <c r="Z452" i="53" s="1"/>
  <c r="AO452" i="53"/>
  <c r="AP452" i="53" s="1"/>
  <c r="AR452" i="53"/>
  <c r="AB452" i="53"/>
  <c r="AK443" i="53"/>
  <c r="AO442" i="53"/>
  <c r="AO441" i="53"/>
  <c r="AB441" i="53"/>
  <c r="AE441" i="53" s="1"/>
  <c r="Y435" i="53"/>
  <c r="Z435" i="53" s="1"/>
  <c r="AK434" i="53"/>
  <c r="AO433" i="53"/>
  <c r="AO428" i="53"/>
  <c r="AO427" i="53"/>
  <c r="AP427" i="53" s="1"/>
  <c r="Y425" i="53"/>
  <c r="U419" i="53"/>
  <c r="V419" i="53" s="1"/>
  <c r="Y397" i="53"/>
  <c r="AM392" i="53"/>
  <c r="AN392" i="53"/>
  <c r="Y390" i="53"/>
  <c r="Z390" i="53" s="1"/>
  <c r="AO387" i="53"/>
  <c r="AQ387" i="53" s="1"/>
  <c r="AK383" i="53"/>
  <c r="AN383" i="53" s="1"/>
  <c r="W444" i="53"/>
  <c r="R439" i="53"/>
  <c r="AI430" i="53"/>
  <c r="AJ430" i="53"/>
  <c r="AC440" i="53"/>
  <c r="AE440" i="53"/>
  <c r="Z429" i="53"/>
  <c r="AA429" i="53"/>
  <c r="Q439" i="53"/>
  <c r="AH423" i="53"/>
  <c r="AI423" i="53"/>
  <c r="AJ423" i="53"/>
  <c r="AG436" i="53"/>
  <c r="AI436" i="53"/>
  <c r="AJ436" i="53"/>
  <c r="R400" i="53"/>
  <c r="T400" i="53"/>
  <c r="Q400" i="53"/>
  <c r="S400" i="53"/>
  <c r="Z446" i="53"/>
  <c r="Z443" i="53"/>
  <c r="AA443" i="53"/>
  <c r="S437" i="53"/>
  <c r="S431" i="53"/>
  <c r="AN428" i="53"/>
  <c r="R431" i="53"/>
  <c r="AM428" i="53"/>
  <c r="AL425" i="53"/>
  <c r="AM425" i="53"/>
  <c r="AN425" i="53"/>
  <c r="AQ424" i="53"/>
  <c r="AC438" i="53"/>
  <c r="AD438" i="53"/>
  <c r="R437" i="53"/>
  <c r="T437" i="53"/>
  <c r="Q431" i="53"/>
  <c r="AH426" i="53"/>
  <c r="AJ420" i="53"/>
  <c r="AH401" i="53"/>
  <c r="AI420" i="53"/>
  <c r="AG401" i="53"/>
  <c r="X418" i="53"/>
  <c r="AH420" i="53"/>
  <c r="AA422" i="53"/>
  <c r="AN419" i="53"/>
  <c r="W406" i="53"/>
  <c r="AM419" i="53"/>
  <c r="V406" i="53"/>
  <c r="V394" i="53"/>
  <c r="W394" i="53"/>
  <c r="Q340" i="53"/>
  <c r="S340" i="53"/>
  <c r="T340" i="53"/>
  <c r="R340" i="53"/>
  <c r="AH384" i="53"/>
  <c r="AJ384" i="53"/>
  <c r="AA333" i="53"/>
  <c r="M331" i="53"/>
  <c r="P331" i="53" s="1"/>
  <c r="M330" i="53"/>
  <c r="AK330" i="53" s="1"/>
  <c r="M329" i="53"/>
  <c r="U329" i="53" s="1"/>
  <c r="M328" i="53"/>
  <c r="AO328" i="53" s="1"/>
  <c r="AP328" i="53" s="1"/>
  <c r="M327" i="53"/>
  <c r="U327" i="53" s="1"/>
  <c r="S509" i="53" l="1"/>
  <c r="AJ572" i="53"/>
  <c r="AS533" i="53"/>
  <c r="AL540" i="53"/>
  <c r="AM542" i="53"/>
  <c r="AD542" i="53"/>
  <c r="T559" i="53"/>
  <c r="AI545" i="53"/>
  <c r="AA539" i="53"/>
  <c r="AT570" i="53"/>
  <c r="T532" i="53"/>
  <c r="S524" i="53"/>
  <c r="Q532" i="53"/>
  <c r="AD533" i="53"/>
  <c r="T524" i="53"/>
  <c r="AJ560" i="53"/>
  <c r="AN571" i="53"/>
  <c r="AT561" i="53"/>
  <c r="AI538" i="53"/>
  <c r="AQ541" i="53"/>
  <c r="AG560" i="53"/>
  <c r="AI569" i="53"/>
  <c r="AJ569" i="53"/>
  <c r="AM527" i="53"/>
  <c r="AJ524" i="53"/>
  <c r="AI561" i="53"/>
  <c r="X534" i="53"/>
  <c r="W534" i="53"/>
  <c r="AA545" i="53"/>
  <c r="AT549" i="53"/>
  <c r="W542" i="53"/>
  <c r="T534" i="53"/>
  <c r="AQ555" i="53"/>
  <c r="AH568" i="53"/>
  <c r="AE533" i="53"/>
  <c r="AI568" i="53"/>
  <c r="AE561" i="53"/>
  <c r="AE538" i="53"/>
  <c r="W543" i="53"/>
  <c r="AA530" i="53"/>
  <c r="X526" i="53"/>
  <c r="AS568" i="53"/>
  <c r="AH569" i="53"/>
  <c r="AJ539" i="53"/>
  <c r="AA559" i="53"/>
  <c r="V526" i="53"/>
  <c r="AI539" i="53"/>
  <c r="AN540" i="53"/>
  <c r="AQ559" i="53"/>
  <c r="Q524" i="53"/>
  <c r="AG532" i="53"/>
  <c r="AP534" i="53"/>
  <c r="AN527" i="53"/>
  <c r="AS541" i="53"/>
  <c r="S531" i="53"/>
  <c r="X560" i="53"/>
  <c r="R534" i="53"/>
  <c r="R532" i="53"/>
  <c r="AD530" i="53"/>
  <c r="AH560" i="53"/>
  <c r="AJ568" i="53"/>
  <c r="AJ561" i="53"/>
  <c r="R553" i="53"/>
  <c r="AI566" i="53"/>
  <c r="AN529" i="53"/>
  <c r="Q553" i="53"/>
  <c r="AE546" i="53"/>
  <c r="AH566" i="53"/>
  <c r="AM529" i="53"/>
  <c r="T567" i="53"/>
  <c r="AC546" i="53"/>
  <c r="T531" i="53"/>
  <c r="AN535" i="53"/>
  <c r="S545" i="53"/>
  <c r="AH561" i="53"/>
  <c r="T545" i="53"/>
  <c r="AJ545" i="53"/>
  <c r="S534" i="53"/>
  <c r="R559" i="53"/>
  <c r="S553" i="53"/>
  <c r="Z566" i="53"/>
  <c r="W560" i="53"/>
  <c r="AE552" i="53"/>
  <c r="AQ556" i="53"/>
  <c r="AN543" i="53"/>
  <c r="Q545" i="53"/>
  <c r="AH545" i="53"/>
  <c r="AA564" i="53"/>
  <c r="AD552" i="53"/>
  <c r="W530" i="53"/>
  <c r="AM543" i="53"/>
  <c r="AN542" i="53"/>
  <c r="AC559" i="53"/>
  <c r="AE530" i="53"/>
  <c r="AA554" i="53"/>
  <c r="AH572" i="53"/>
  <c r="AI572" i="53"/>
  <c r="R537" i="53"/>
  <c r="X563" i="53"/>
  <c r="X568" i="53"/>
  <c r="T538" i="53"/>
  <c r="Q537" i="53"/>
  <c r="W563" i="53"/>
  <c r="X555" i="53"/>
  <c r="T529" i="53"/>
  <c r="AJ566" i="53"/>
  <c r="V568" i="53"/>
  <c r="AT572" i="53"/>
  <c r="AT566" i="53"/>
  <c r="AS566" i="53"/>
  <c r="V542" i="53"/>
  <c r="AT546" i="53"/>
  <c r="V530" i="53"/>
  <c r="AA561" i="53"/>
  <c r="Z561" i="53"/>
  <c r="X551" i="53"/>
  <c r="Z546" i="53"/>
  <c r="AT554" i="53"/>
  <c r="AH537" i="53"/>
  <c r="R531" i="53"/>
  <c r="AH539" i="53"/>
  <c r="AC538" i="53"/>
  <c r="AS571" i="53"/>
  <c r="W551" i="53"/>
  <c r="AM550" i="53"/>
  <c r="AJ529" i="53"/>
  <c r="S561" i="53"/>
  <c r="X546" i="53"/>
  <c r="AA567" i="53"/>
  <c r="AQ568" i="53"/>
  <c r="AP568" i="53"/>
  <c r="AL550" i="53"/>
  <c r="AM526" i="53"/>
  <c r="AC525" i="53"/>
  <c r="AI529" i="53"/>
  <c r="R561" i="53"/>
  <c r="W546" i="53"/>
  <c r="AP571" i="53"/>
  <c r="AQ571" i="53"/>
  <c r="AT560" i="53"/>
  <c r="AS560" i="53"/>
  <c r="AQ548" i="53"/>
  <c r="AJ540" i="53"/>
  <c r="AH529" i="53"/>
  <c r="Q561" i="53"/>
  <c r="AD561" i="53"/>
  <c r="AN566" i="53"/>
  <c r="X543" i="53"/>
  <c r="S559" i="53"/>
  <c r="AM566" i="53"/>
  <c r="AE559" i="53"/>
  <c r="S538" i="53"/>
  <c r="AH538" i="53"/>
  <c r="AS550" i="53"/>
  <c r="S529" i="53"/>
  <c r="W550" i="53"/>
  <c r="X550" i="53"/>
  <c r="W571" i="53"/>
  <c r="AE562" i="53"/>
  <c r="R538" i="53"/>
  <c r="AE526" i="53"/>
  <c r="AQ530" i="53"/>
  <c r="T537" i="53"/>
  <c r="W555" i="53"/>
  <c r="AM571" i="53"/>
  <c r="R529" i="53"/>
  <c r="AQ546" i="53"/>
  <c r="AE542" i="53"/>
  <c r="AD526" i="53"/>
  <c r="AE550" i="53"/>
  <c r="AD562" i="53"/>
  <c r="AQ567" i="53"/>
  <c r="AD550" i="53"/>
  <c r="X571" i="53"/>
  <c r="AI558" i="53"/>
  <c r="AA525" i="53"/>
  <c r="AQ551" i="53"/>
  <c r="AH558" i="53"/>
  <c r="AJ558" i="53"/>
  <c r="AP540" i="53"/>
  <c r="AQ540" i="53"/>
  <c r="V566" i="53"/>
  <c r="W566" i="53"/>
  <c r="X566" i="53"/>
  <c r="AD547" i="53"/>
  <c r="AC547" i="53"/>
  <c r="AE547" i="53"/>
  <c r="AM569" i="53"/>
  <c r="AL569" i="53"/>
  <c r="AN569" i="53"/>
  <c r="AL526" i="53"/>
  <c r="V540" i="53"/>
  <c r="W540" i="53"/>
  <c r="X540" i="53"/>
  <c r="AP566" i="53"/>
  <c r="AQ566" i="53"/>
  <c r="T557" i="53"/>
  <c r="R557" i="53"/>
  <c r="S557" i="53"/>
  <c r="Q557" i="53"/>
  <c r="Z548" i="53"/>
  <c r="AA548" i="53"/>
  <c r="AT565" i="53"/>
  <c r="AS565" i="53"/>
  <c r="AS529" i="53"/>
  <c r="AT529" i="53"/>
  <c r="AG550" i="53"/>
  <c r="AH550" i="53"/>
  <c r="AM535" i="53"/>
  <c r="AT544" i="53"/>
  <c r="AN534" i="53"/>
  <c r="R558" i="53"/>
  <c r="AJ530" i="53"/>
  <c r="AE534" i="53"/>
  <c r="T546" i="53"/>
  <c r="Z540" i="53"/>
  <c r="AA540" i="53"/>
  <c r="AL560" i="53"/>
  <c r="AM560" i="53"/>
  <c r="AN560" i="53"/>
  <c r="AC540" i="53"/>
  <c r="AD540" i="53"/>
  <c r="AE540" i="53"/>
  <c r="AA553" i="53"/>
  <c r="Z553" i="53"/>
  <c r="AC553" i="53"/>
  <c r="AD553" i="53"/>
  <c r="AE553" i="53"/>
  <c r="Z532" i="53"/>
  <c r="AA532" i="53"/>
  <c r="AD531" i="53"/>
  <c r="AC531" i="53"/>
  <c r="AE531" i="53"/>
  <c r="AS552" i="53"/>
  <c r="AT552" i="53"/>
  <c r="AL538" i="53"/>
  <c r="AN538" i="53"/>
  <c r="AM538" i="53"/>
  <c r="AD568" i="53"/>
  <c r="AC568" i="53"/>
  <c r="AE568" i="53"/>
  <c r="AQ544" i="53"/>
  <c r="AP544" i="53"/>
  <c r="AS557" i="53"/>
  <c r="AT557" i="53"/>
  <c r="AN570" i="53"/>
  <c r="AL570" i="53"/>
  <c r="AM570" i="53"/>
  <c r="W564" i="53"/>
  <c r="V564" i="53"/>
  <c r="AQ557" i="53"/>
  <c r="AP557" i="53"/>
  <c r="Z549" i="53"/>
  <c r="AA549" i="53"/>
  <c r="AP527" i="53"/>
  <c r="AQ527" i="53"/>
  <c r="Z563" i="53"/>
  <c r="AA563" i="53"/>
  <c r="AM548" i="53"/>
  <c r="AL548" i="53"/>
  <c r="AN548" i="53"/>
  <c r="AG526" i="53"/>
  <c r="AH526" i="53"/>
  <c r="AJ526" i="53"/>
  <c r="AI526" i="53"/>
  <c r="X565" i="53"/>
  <c r="V565" i="53"/>
  <c r="W565" i="53"/>
  <c r="Q573" i="53"/>
  <c r="R573" i="53"/>
  <c r="S573" i="53"/>
  <c r="T573" i="53"/>
  <c r="Z562" i="53"/>
  <c r="AA562" i="53"/>
  <c r="V541" i="53"/>
  <c r="W541" i="53"/>
  <c r="X541" i="53"/>
  <c r="X528" i="53"/>
  <c r="W528" i="53"/>
  <c r="V528" i="53"/>
  <c r="AC567" i="53"/>
  <c r="AD567" i="53"/>
  <c r="AE567" i="53"/>
  <c r="AS569" i="53"/>
  <c r="AT569" i="53"/>
  <c r="AM524" i="53"/>
  <c r="AL524" i="53"/>
  <c r="AN524" i="53"/>
  <c r="V567" i="53"/>
  <c r="W567" i="53"/>
  <c r="X567" i="53"/>
  <c r="AN558" i="53"/>
  <c r="AM558" i="53"/>
  <c r="AL558" i="53"/>
  <c r="AP543" i="53"/>
  <c r="AQ543" i="53"/>
  <c r="AQ531" i="53"/>
  <c r="AP531" i="53"/>
  <c r="Z557" i="53"/>
  <c r="AA557" i="53"/>
  <c r="AP563" i="53"/>
  <c r="AQ563" i="53"/>
  <c r="AP524" i="53"/>
  <c r="AQ524" i="53"/>
  <c r="Z550" i="53"/>
  <c r="AA550" i="53"/>
  <c r="AS536" i="53"/>
  <c r="AT536" i="53"/>
  <c r="AM532" i="53"/>
  <c r="AN532" i="53"/>
  <c r="AL532" i="53"/>
  <c r="Z555" i="53"/>
  <c r="AA555" i="53"/>
  <c r="AQ528" i="53"/>
  <c r="AP528" i="53"/>
  <c r="AA537" i="53"/>
  <c r="Z537" i="53"/>
  <c r="AG543" i="53"/>
  <c r="AH543" i="53"/>
  <c r="AI543" i="53"/>
  <c r="AJ543" i="53"/>
  <c r="AM534" i="53"/>
  <c r="AT562" i="53"/>
  <c r="AI530" i="53"/>
  <c r="AS526" i="53"/>
  <c r="AD534" i="53"/>
  <c r="S546" i="53"/>
  <c r="AS540" i="53"/>
  <c r="AT540" i="53"/>
  <c r="Q554" i="53"/>
  <c r="R554" i="53"/>
  <c r="S554" i="53"/>
  <c r="T554" i="53"/>
  <c r="Q533" i="53"/>
  <c r="R533" i="53"/>
  <c r="S533" i="53"/>
  <c r="T533" i="53"/>
  <c r="V559" i="53"/>
  <c r="W559" i="53"/>
  <c r="X559" i="53"/>
  <c r="AS553" i="53"/>
  <c r="AT553" i="53"/>
  <c r="AS532" i="53"/>
  <c r="AT532" i="53"/>
  <c r="AI552" i="53"/>
  <c r="AH552" i="53"/>
  <c r="AG552" i="53"/>
  <c r="V539" i="53"/>
  <c r="W539" i="53"/>
  <c r="X539" i="53"/>
  <c r="AH551" i="53"/>
  <c r="AG551" i="53"/>
  <c r="AI551" i="53"/>
  <c r="AJ551" i="53"/>
  <c r="AG544" i="53"/>
  <c r="AH544" i="53"/>
  <c r="AI544" i="53"/>
  <c r="AJ544" i="53"/>
  <c r="AN554" i="53"/>
  <c r="AL554" i="53"/>
  <c r="AM554" i="53"/>
  <c r="AD571" i="53"/>
  <c r="AC571" i="53"/>
  <c r="AS564" i="53"/>
  <c r="AT564" i="53"/>
  <c r="AG557" i="53"/>
  <c r="AH557" i="53"/>
  <c r="AI557" i="53"/>
  <c r="AJ557" i="53"/>
  <c r="V549" i="53"/>
  <c r="W549" i="53"/>
  <c r="AH527" i="53"/>
  <c r="AI527" i="53"/>
  <c r="AJ527" i="53"/>
  <c r="AG527" i="53"/>
  <c r="T548" i="53"/>
  <c r="S548" i="53"/>
  <c r="Q548" i="53"/>
  <c r="R548" i="53"/>
  <c r="AT534" i="53"/>
  <c r="AS534" i="53"/>
  <c r="AN565" i="53"/>
  <c r="AL565" i="53"/>
  <c r="AM565" i="53"/>
  <c r="Z570" i="53"/>
  <c r="AA570" i="53"/>
  <c r="Q562" i="53"/>
  <c r="R562" i="53"/>
  <c r="T562" i="53"/>
  <c r="S562" i="53"/>
  <c r="AA547" i="53"/>
  <c r="Z547" i="53"/>
  <c r="Q541" i="53"/>
  <c r="R541" i="53"/>
  <c r="S541" i="53"/>
  <c r="T541" i="53"/>
  <c r="AS558" i="53"/>
  <c r="AT558" i="53"/>
  <c r="AN528" i="53"/>
  <c r="AM528" i="53"/>
  <c r="AL528" i="53"/>
  <c r="T569" i="53"/>
  <c r="Q569" i="53"/>
  <c r="R569" i="53"/>
  <c r="S569" i="53"/>
  <c r="Z524" i="53"/>
  <c r="AA524" i="53"/>
  <c r="AS567" i="53"/>
  <c r="AT567" i="53"/>
  <c r="AP537" i="53"/>
  <c r="AQ537" i="53"/>
  <c r="AC529" i="53"/>
  <c r="AD529" i="53"/>
  <c r="AE529" i="53"/>
  <c r="AN536" i="53"/>
  <c r="AL536" i="53"/>
  <c r="AM536" i="53"/>
  <c r="Q542" i="53"/>
  <c r="R542" i="53"/>
  <c r="S542" i="53"/>
  <c r="T542" i="53"/>
  <c r="AP545" i="53"/>
  <c r="AQ545" i="53"/>
  <c r="AL562" i="53"/>
  <c r="AM562" i="53"/>
  <c r="AN562" i="53"/>
  <c r="AM567" i="53"/>
  <c r="AL567" i="53"/>
  <c r="AN567" i="53"/>
  <c r="V529" i="53"/>
  <c r="W529" i="53"/>
  <c r="X529" i="53"/>
  <c r="AS542" i="53"/>
  <c r="AP553" i="53"/>
  <c r="AQ553" i="53"/>
  <c r="AJ565" i="53"/>
  <c r="AG565" i="53"/>
  <c r="AH565" i="53"/>
  <c r="AI565" i="53"/>
  <c r="AE524" i="53"/>
  <c r="AC524" i="53"/>
  <c r="AD524" i="53"/>
  <c r="AG542" i="53"/>
  <c r="AJ542" i="53"/>
  <c r="AH542" i="53"/>
  <c r="AI542" i="53"/>
  <c r="AI550" i="53"/>
  <c r="AH530" i="53"/>
  <c r="R546" i="53"/>
  <c r="Q544" i="53"/>
  <c r="T544" i="53"/>
  <c r="R544" i="53"/>
  <c r="S544" i="53"/>
  <c r="AP554" i="53"/>
  <c r="AQ554" i="53"/>
  <c r="AL533" i="53"/>
  <c r="AM533" i="53"/>
  <c r="AH559" i="53"/>
  <c r="AG559" i="53"/>
  <c r="AH532" i="53"/>
  <c r="AI532" i="53"/>
  <c r="AS538" i="53"/>
  <c r="AT538" i="53"/>
  <c r="X552" i="53"/>
  <c r="V552" i="53"/>
  <c r="W552" i="53"/>
  <c r="V538" i="53"/>
  <c r="W538" i="53"/>
  <c r="X538" i="53"/>
  <c r="AS539" i="53"/>
  <c r="AT539" i="53"/>
  <c r="AS551" i="53"/>
  <c r="AT551" i="53"/>
  <c r="AP561" i="53"/>
  <c r="AQ561" i="53"/>
  <c r="W572" i="53"/>
  <c r="V572" i="53"/>
  <c r="AH564" i="53"/>
  <c r="AG564" i="53"/>
  <c r="AI564" i="53"/>
  <c r="AJ564" i="53"/>
  <c r="X557" i="53"/>
  <c r="V557" i="53"/>
  <c r="W557" i="53"/>
  <c r="AE535" i="53"/>
  <c r="AC535" i="53"/>
  <c r="AD535" i="53"/>
  <c r="AE527" i="53"/>
  <c r="AD527" i="53"/>
  <c r="AC527" i="53"/>
  <c r="Z571" i="53"/>
  <c r="AA571" i="53"/>
  <c r="T556" i="53"/>
  <c r="S556" i="53"/>
  <c r="Q556" i="53"/>
  <c r="R556" i="53"/>
  <c r="AS548" i="53"/>
  <c r="AT548" i="53"/>
  <c r="AG534" i="53"/>
  <c r="AH534" i="53"/>
  <c r="AI534" i="53"/>
  <c r="AJ534" i="53"/>
  <c r="Q526" i="53"/>
  <c r="R526" i="53"/>
  <c r="S526" i="53"/>
  <c r="T526" i="53"/>
  <c r="AC565" i="53"/>
  <c r="AD565" i="53"/>
  <c r="AE565" i="53"/>
  <c r="Q570" i="53"/>
  <c r="R570" i="53"/>
  <c r="S570" i="53"/>
  <c r="T570" i="53"/>
  <c r="AP562" i="53"/>
  <c r="AQ562" i="53"/>
  <c r="AT547" i="53"/>
  <c r="AS547" i="53"/>
  <c r="AL541" i="53"/>
  <c r="AN541" i="53"/>
  <c r="AM541" i="53"/>
  <c r="AC528" i="53"/>
  <c r="AD528" i="53"/>
  <c r="AE528" i="53"/>
  <c r="AS524" i="53"/>
  <c r="AT524" i="53"/>
  <c r="AA573" i="53"/>
  <c r="Z573" i="53"/>
  <c r="AC537" i="53"/>
  <c r="AD537" i="53"/>
  <c r="AE537" i="53"/>
  <c r="Q550" i="53"/>
  <c r="R550" i="53"/>
  <c r="S550" i="53"/>
  <c r="T550" i="53"/>
  <c r="AG536" i="53"/>
  <c r="AH536" i="53"/>
  <c r="AI536" i="53"/>
  <c r="AJ536" i="53"/>
  <c r="AP542" i="53"/>
  <c r="AQ542" i="53"/>
  <c r="AA531" i="53"/>
  <c r="Z531" i="53"/>
  <c r="X525" i="53"/>
  <c r="V525" i="53"/>
  <c r="W525" i="53"/>
  <c r="AC532" i="53"/>
  <c r="AD532" i="53"/>
  <c r="AE532" i="53"/>
  <c r="AS535" i="53"/>
  <c r="AT535" i="53"/>
  <c r="AG556" i="53"/>
  <c r="AH556" i="53"/>
  <c r="AI556" i="53"/>
  <c r="AJ556" i="53"/>
  <c r="AS543" i="53"/>
  <c r="AT543" i="53"/>
  <c r="T558" i="53"/>
  <c r="AL552" i="53"/>
  <c r="AN552" i="53"/>
  <c r="AM552" i="53"/>
  <c r="AC545" i="53"/>
  <c r="AD545" i="53"/>
  <c r="AE545" i="53"/>
  <c r="AL547" i="53"/>
  <c r="AN547" i="53"/>
  <c r="AM547" i="53"/>
  <c r="AL537" i="53"/>
  <c r="AN537" i="53"/>
  <c r="AM537" i="53"/>
  <c r="AH567" i="53"/>
  <c r="AG567" i="53"/>
  <c r="AE541" i="53"/>
  <c r="AI567" i="53"/>
  <c r="AN555" i="53"/>
  <c r="AN544" i="53"/>
  <c r="AL544" i="53"/>
  <c r="AM544" i="53"/>
  <c r="AG554" i="53"/>
  <c r="AH554" i="53"/>
  <c r="AI554" i="53"/>
  <c r="AJ554" i="53"/>
  <c r="Z533" i="53"/>
  <c r="AA533" i="53"/>
  <c r="AM561" i="53"/>
  <c r="AL561" i="53"/>
  <c r="AN561" i="53"/>
  <c r="AL546" i="53"/>
  <c r="AM546" i="53"/>
  <c r="AN546" i="53"/>
  <c r="AQ552" i="53"/>
  <c r="AP552" i="53"/>
  <c r="AT531" i="53"/>
  <c r="AS531" i="53"/>
  <c r="AA544" i="53"/>
  <c r="Z544" i="53"/>
  <c r="AL530" i="53"/>
  <c r="AM530" i="53"/>
  <c r="AN530" i="53"/>
  <c r="AI573" i="53"/>
  <c r="AJ573" i="53"/>
  <c r="AG573" i="53"/>
  <c r="AH573" i="53"/>
  <c r="AP564" i="53"/>
  <c r="AQ564" i="53"/>
  <c r="AN557" i="53"/>
  <c r="AL557" i="53"/>
  <c r="AM557" i="53"/>
  <c r="AP535" i="53"/>
  <c r="AQ535" i="53"/>
  <c r="R527" i="53"/>
  <c r="Q527" i="53"/>
  <c r="S527" i="53"/>
  <c r="T527" i="53"/>
  <c r="AQ536" i="53"/>
  <c r="AP536" i="53"/>
  <c r="Z556" i="53"/>
  <c r="AA556" i="53"/>
  <c r="AJ548" i="53"/>
  <c r="AG548" i="53"/>
  <c r="AH548" i="53"/>
  <c r="AI548" i="53"/>
  <c r="Z526" i="53"/>
  <c r="AA526" i="53"/>
  <c r="AA529" i="53"/>
  <c r="Z529" i="53"/>
  <c r="AP570" i="53"/>
  <c r="AQ570" i="53"/>
  <c r="AD555" i="53"/>
  <c r="AC555" i="53"/>
  <c r="AI547" i="53"/>
  <c r="AG547" i="53"/>
  <c r="AH547" i="53"/>
  <c r="AP558" i="53"/>
  <c r="AQ558" i="53"/>
  <c r="AA528" i="53"/>
  <c r="Z528" i="53"/>
  <c r="Z569" i="53"/>
  <c r="AA569" i="53"/>
  <c r="AN573" i="53"/>
  <c r="AL573" i="53"/>
  <c r="AM573" i="53"/>
  <c r="AI524" i="53"/>
  <c r="AH524" i="53"/>
  <c r="R567" i="53"/>
  <c r="Q567" i="53"/>
  <c r="AS573" i="53"/>
  <c r="AT573" i="53"/>
  <c r="AP529" i="53"/>
  <c r="AQ529" i="53"/>
  <c r="AE543" i="53"/>
  <c r="AC543" i="53"/>
  <c r="AD543" i="53"/>
  <c r="AC536" i="53"/>
  <c r="AD536" i="53"/>
  <c r="V553" i="53"/>
  <c r="X553" i="53"/>
  <c r="W553" i="53"/>
  <c r="AQ565" i="53"/>
  <c r="AP565" i="53"/>
  <c r="X544" i="53"/>
  <c r="V544" i="53"/>
  <c r="W544" i="53"/>
  <c r="Q549" i="53"/>
  <c r="R549" i="53"/>
  <c r="S549" i="53"/>
  <c r="T549" i="53"/>
  <c r="S547" i="53"/>
  <c r="Q547" i="53"/>
  <c r="R547" i="53"/>
  <c r="X536" i="53"/>
  <c r="V536" i="53"/>
  <c r="W536" i="53"/>
  <c r="AQ538" i="53"/>
  <c r="AD549" i="53"/>
  <c r="AA551" i="53"/>
  <c r="AD541" i="53"/>
  <c r="AI559" i="53"/>
  <c r="AM563" i="53"/>
  <c r="X572" i="53"/>
  <c r="S558" i="53"/>
  <c r="AN563" i="53"/>
  <c r="AJ537" i="53"/>
  <c r="AE525" i="53"/>
  <c r="X535" i="53"/>
  <c r="AL545" i="53"/>
  <c r="AM545" i="53"/>
  <c r="AN545" i="53"/>
  <c r="V554" i="53"/>
  <c r="W554" i="53"/>
  <c r="X554" i="53"/>
  <c r="V533" i="53"/>
  <c r="W533" i="53"/>
  <c r="AC566" i="53"/>
  <c r="AD566" i="53"/>
  <c r="AE566" i="53"/>
  <c r="AQ539" i="53"/>
  <c r="AP539" i="53"/>
  <c r="R525" i="53"/>
  <c r="S525" i="53"/>
  <c r="T525" i="53"/>
  <c r="Q525" i="53"/>
  <c r="S560" i="53"/>
  <c r="Q560" i="53"/>
  <c r="R560" i="53"/>
  <c r="AI531" i="53"/>
  <c r="AG531" i="53"/>
  <c r="AH531" i="53"/>
  <c r="AL559" i="53"/>
  <c r="AN559" i="53"/>
  <c r="AM559" i="53"/>
  <c r="R551" i="53"/>
  <c r="Q551" i="53"/>
  <c r="S551" i="53"/>
  <c r="T551" i="53"/>
  <c r="AI525" i="53"/>
  <c r="AJ525" i="53"/>
  <c r="AG525" i="53"/>
  <c r="AH525" i="53"/>
  <c r="AA565" i="53"/>
  <c r="Z565" i="53"/>
  <c r="AP572" i="53"/>
  <c r="AQ572" i="53"/>
  <c r="AE564" i="53"/>
  <c r="AC564" i="53"/>
  <c r="AD564" i="53"/>
  <c r="AL549" i="53"/>
  <c r="AM549" i="53"/>
  <c r="R535" i="53"/>
  <c r="S535" i="53"/>
  <c r="T535" i="53"/>
  <c r="Q535" i="53"/>
  <c r="AE556" i="53"/>
  <c r="AC556" i="53"/>
  <c r="AD556" i="53"/>
  <c r="AD563" i="53"/>
  <c r="AC563" i="53"/>
  <c r="AS556" i="53"/>
  <c r="AT556" i="53"/>
  <c r="W548" i="53"/>
  <c r="V548" i="53"/>
  <c r="X548" i="53"/>
  <c r="V537" i="53"/>
  <c r="W537" i="53"/>
  <c r="AG570" i="53"/>
  <c r="AH570" i="53"/>
  <c r="AI570" i="53"/>
  <c r="AJ570" i="53"/>
  <c r="AT555" i="53"/>
  <c r="AS555" i="53"/>
  <c r="V547" i="53"/>
  <c r="X547" i="53"/>
  <c r="W547" i="53"/>
  <c r="V558" i="53"/>
  <c r="W558" i="53"/>
  <c r="X558" i="53"/>
  <c r="Q528" i="53"/>
  <c r="R528" i="53"/>
  <c r="T528" i="53"/>
  <c r="S528" i="53"/>
  <c r="X573" i="53"/>
  <c r="W573" i="53"/>
  <c r="V573" i="53"/>
  <c r="AC573" i="53"/>
  <c r="AD573" i="53"/>
  <c r="AE573" i="53"/>
  <c r="AP550" i="53"/>
  <c r="AQ550" i="53"/>
  <c r="Z543" i="53"/>
  <c r="AA543" i="53"/>
  <c r="AA536" i="53"/>
  <c r="Z536" i="53"/>
  <c r="Z542" i="53"/>
  <c r="AA542" i="53"/>
  <c r="S552" i="53"/>
  <c r="T552" i="53"/>
  <c r="Q552" i="53"/>
  <c r="R552" i="53"/>
  <c r="S539" i="53"/>
  <c r="Q539" i="53"/>
  <c r="R539" i="53"/>
  <c r="W561" i="53"/>
  <c r="V561" i="53"/>
  <c r="X561" i="53"/>
  <c r="R572" i="53"/>
  <c r="Q572" i="53"/>
  <c r="S572" i="53"/>
  <c r="T572" i="53"/>
  <c r="AG563" i="53"/>
  <c r="AI563" i="53"/>
  <c r="AJ563" i="53"/>
  <c r="AH563" i="53"/>
  <c r="AG537" i="53"/>
  <c r="AI533" i="53"/>
  <c r="AJ533" i="53"/>
  <c r="AG533" i="53"/>
  <c r="AH533" i="53"/>
  <c r="AL553" i="53"/>
  <c r="AM553" i="53"/>
  <c r="AN553" i="53"/>
  <c r="S568" i="53"/>
  <c r="Q568" i="53"/>
  <c r="R568" i="53"/>
  <c r="AM572" i="53"/>
  <c r="AL572" i="53"/>
  <c r="AC569" i="53"/>
  <c r="AD569" i="53"/>
  <c r="AE569" i="53"/>
  <c r="AN533" i="53"/>
  <c r="AC549" i="53"/>
  <c r="AJ538" i="53"/>
  <c r="AM555" i="53"/>
  <c r="X564" i="53"/>
  <c r="T568" i="53"/>
  <c r="AN572" i="53"/>
  <c r="W535" i="53"/>
  <c r="AP525" i="53"/>
  <c r="AQ525" i="53"/>
  <c r="AH540" i="53"/>
  <c r="AI540" i="53"/>
  <c r="AQ532" i="53"/>
  <c r="AP532" i="53"/>
  <c r="AL568" i="53"/>
  <c r="AM568" i="53"/>
  <c r="AN568" i="53"/>
  <c r="AD539" i="53"/>
  <c r="AC539" i="53"/>
  <c r="AE539" i="53"/>
  <c r="AN525" i="53"/>
  <c r="AL525" i="53"/>
  <c r="AM525" i="53"/>
  <c r="AD560" i="53"/>
  <c r="AC560" i="53"/>
  <c r="AE560" i="53"/>
  <c r="AS545" i="53"/>
  <c r="AT545" i="53"/>
  <c r="V531" i="53"/>
  <c r="W531" i="53"/>
  <c r="X531" i="53"/>
  <c r="AQ560" i="53"/>
  <c r="AP560" i="53"/>
  <c r="AE551" i="53"/>
  <c r="AC551" i="53"/>
  <c r="AD551" i="53"/>
  <c r="AS530" i="53"/>
  <c r="AT530" i="53"/>
  <c r="R543" i="53"/>
  <c r="S543" i="53"/>
  <c r="T543" i="53"/>
  <c r="Q543" i="53"/>
  <c r="AE572" i="53"/>
  <c r="AC572" i="53"/>
  <c r="AD572" i="53"/>
  <c r="R564" i="53"/>
  <c r="Q564" i="53"/>
  <c r="S564" i="53"/>
  <c r="T564" i="53"/>
  <c r="AG549" i="53"/>
  <c r="AH549" i="53"/>
  <c r="AI549" i="53"/>
  <c r="AJ549" i="53"/>
  <c r="Z535" i="53"/>
  <c r="AA535" i="53"/>
  <c r="Z527" i="53"/>
  <c r="AA527" i="53"/>
  <c r="AG562" i="53"/>
  <c r="AH562" i="53"/>
  <c r="AI562" i="53"/>
  <c r="AJ562" i="53"/>
  <c r="Q563" i="53"/>
  <c r="R563" i="53"/>
  <c r="S563" i="53"/>
  <c r="T563" i="53"/>
  <c r="W556" i="53"/>
  <c r="V556" i="53"/>
  <c r="AP526" i="53"/>
  <c r="AQ526" i="53"/>
  <c r="V570" i="53"/>
  <c r="W570" i="53"/>
  <c r="X570" i="53"/>
  <c r="Q555" i="53"/>
  <c r="T555" i="53"/>
  <c r="R555" i="53"/>
  <c r="S555" i="53"/>
  <c r="AQ547" i="53"/>
  <c r="AP547" i="53"/>
  <c r="AG541" i="53"/>
  <c r="AH541" i="53"/>
  <c r="AJ541" i="53"/>
  <c r="AI541" i="53"/>
  <c r="AC558" i="53"/>
  <c r="AD558" i="53"/>
  <c r="AE558" i="53"/>
  <c r="AS528" i="53"/>
  <c r="AT528" i="53"/>
  <c r="W569" i="53"/>
  <c r="V569" i="53"/>
  <c r="X569" i="53"/>
  <c r="AT527" i="53"/>
  <c r="AS527" i="53"/>
  <c r="Q571" i="53"/>
  <c r="T571" i="53"/>
  <c r="R571" i="53"/>
  <c r="S571" i="53"/>
  <c r="Q536" i="53"/>
  <c r="R536" i="53"/>
  <c r="S536" i="53"/>
  <c r="T536" i="53"/>
  <c r="AP521" i="53"/>
  <c r="AT491" i="53"/>
  <c r="AI475" i="53"/>
  <c r="AN468" i="53"/>
  <c r="Q509" i="53"/>
  <c r="AD490" i="53"/>
  <c r="S497" i="53"/>
  <c r="AT471" i="53"/>
  <c r="AG517" i="53"/>
  <c r="AJ516" i="53"/>
  <c r="R505" i="53"/>
  <c r="W481" i="53"/>
  <c r="AC522" i="53"/>
  <c r="AD517" i="53"/>
  <c r="AI465" i="53"/>
  <c r="AJ476" i="53"/>
  <c r="W476" i="53"/>
  <c r="X465" i="53"/>
  <c r="AM492" i="53"/>
  <c r="V353" i="53"/>
  <c r="AG465" i="53"/>
  <c r="Q484" i="53"/>
  <c r="AG381" i="53"/>
  <c r="AJ465" i="53"/>
  <c r="AL492" i="53"/>
  <c r="AE493" i="53"/>
  <c r="AI517" i="53"/>
  <c r="S375" i="53"/>
  <c r="AD492" i="53"/>
  <c r="AE490" i="53"/>
  <c r="AI412" i="53"/>
  <c r="R476" i="53"/>
  <c r="T484" i="53"/>
  <c r="AP518" i="53"/>
  <c r="T468" i="53"/>
  <c r="T509" i="53"/>
  <c r="R468" i="53"/>
  <c r="AH508" i="53"/>
  <c r="X481" i="53"/>
  <c r="AM493" i="53"/>
  <c r="W465" i="53"/>
  <c r="AT509" i="53"/>
  <c r="W447" i="53"/>
  <c r="AT479" i="53"/>
  <c r="AP489" i="53"/>
  <c r="Q375" i="53"/>
  <c r="AJ412" i="53"/>
  <c r="AL459" i="53"/>
  <c r="AQ422" i="53"/>
  <c r="V447" i="53"/>
  <c r="AS362" i="53"/>
  <c r="W523" i="53"/>
  <c r="Z485" i="53"/>
  <c r="AL355" i="53"/>
  <c r="AJ381" i="53"/>
  <c r="AQ454" i="53"/>
  <c r="Q473" i="53"/>
  <c r="W446" i="53"/>
  <c r="AN355" i="53"/>
  <c r="T375" i="53"/>
  <c r="AH381" i="53"/>
  <c r="AQ509" i="53"/>
  <c r="AJ470" i="53"/>
  <c r="T487" i="53"/>
  <c r="X499" i="53"/>
  <c r="AG516" i="53"/>
  <c r="AD467" i="53"/>
  <c r="AP485" i="53"/>
  <c r="AC467" i="53"/>
  <c r="Z474" i="53"/>
  <c r="AD493" i="53"/>
  <c r="AI516" i="53"/>
  <c r="Q468" i="53"/>
  <c r="V484" i="53"/>
  <c r="AA514" i="53"/>
  <c r="S484" i="53"/>
  <c r="AM412" i="53"/>
  <c r="AH496" i="53"/>
  <c r="V476" i="53"/>
  <c r="AC492" i="53"/>
  <c r="AS505" i="53"/>
  <c r="AN462" i="53"/>
  <c r="Z466" i="53"/>
  <c r="AN460" i="53"/>
  <c r="AT350" i="53"/>
  <c r="AL462" i="53"/>
  <c r="AM460" i="53"/>
  <c r="AT358" i="53"/>
  <c r="AJ489" i="53"/>
  <c r="W510" i="53"/>
  <c r="X510" i="53"/>
  <c r="AN456" i="53"/>
  <c r="AL456" i="53"/>
  <c r="AQ504" i="53"/>
  <c r="S520" i="53"/>
  <c r="T457" i="53"/>
  <c r="AH477" i="53"/>
  <c r="AN506" i="53"/>
  <c r="AT466" i="53"/>
  <c r="AP472" i="53"/>
  <c r="AG477" i="53"/>
  <c r="AM506" i="53"/>
  <c r="AT440" i="53"/>
  <c r="AI477" i="53"/>
  <c r="AD484" i="53"/>
  <c r="Q475" i="53"/>
  <c r="AP464" i="53"/>
  <c r="AS484" i="53"/>
  <c r="AP458" i="53"/>
  <c r="AC491" i="53"/>
  <c r="Z515" i="53"/>
  <c r="AL487" i="53"/>
  <c r="X460" i="53"/>
  <c r="AN493" i="53"/>
  <c r="V523" i="53"/>
  <c r="AN459" i="53"/>
  <c r="AQ491" i="53"/>
  <c r="AM470" i="53"/>
  <c r="AJ508" i="53"/>
  <c r="AI508" i="53"/>
  <c r="AN470" i="53"/>
  <c r="AT455" i="53"/>
  <c r="V472" i="53"/>
  <c r="AJ496" i="53"/>
  <c r="AA506" i="53"/>
  <c r="AG510" i="53"/>
  <c r="V460" i="53"/>
  <c r="AN520" i="53"/>
  <c r="AC518" i="53"/>
  <c r="AC365" i="53"/>
  <c r="AI496" i="53"/>
  <c r="AT477" i="53"/>
  <c r="AD522" i="53"/>
  <c r="AQ506" i="53"/>
  <c r="AH332" i="53"/>
  <c r="AJ346" i="53"/>
  <c r="AS353" i="53"/>
  <c r="AP477" i="53"/>
  <c r="AI473" i="53"/>
  <c r="AE479" i="53"/>
  <c r="AP501" i="53"/>
  <c r="AQ333" i="53"/>
  <c r="AH473" i="53"/>
  <c r="AC479" i="53"/>
  <c r="AM520" i="53"/>
  <c r="AI332" i="53"/>
  <c r="AG473" i="53"/>
  <c r="AJ332" i="53"/>
  <c r="AE518" i="53"/>
  <c r="S519" i="53"/>
  <c r="R515" i="53"/>
  <c r="T515" i="53"/>
  <c r="AI447" i="53"/>
  <c r="AJ495" i="53"/>
  <c r="W492" i="53"/>
  <c r="Q522" i="53"/>
  <c r="AQ516" i="53"/>
  <c r="T513" i="53"/>
  <c r="X347" i="53"/>
  <c r="AT379" i="53"/>
  <c r="AG495" i="53"/>
  <c r="AI488" i="53"/>
  <c r="X462" i="53"/>
  <c r="AS514" i="53"/>
  <c r="R332" i="53"/>
  <c r="AG444" i="53"/>
  <c r="AL523" i="53"/>
  <c r="S522" i="53"/>
  <c r="T460" i="53"/>
  <c r="R513" i="53"/>
  <c r="W462" i="53"/>
  <c r="AE508" i="53"/>
  <c r="R522" i="53"/>
  <c r="R523" i="53"/>
  <c r="AM523" i="53"/>
  <c r="AD508" i="53"/>
  <c r="AH495" i="53"/>
  <c r="X475" i="53"/>
  <c r="Z477" i="53"/>
  <c r="S506" i="53"/>
  <c r="W475" i="53"/>
  <c r="Q463" i="53"/>
  <c r="AJ498" i="53"/>
  <c r="AJ517" i="53"/>
  <c r="T463" i="53"/>
  <c r="AG498" i="53"/>
  <c r="Q515" i="53"/>
  <c r="AQ463" i="53"/>
  <c r="R463" i="53"/>
  <c r="S501" i="53"/>
  <c r="Z479" i="53"/>
  <c r="T506" i="53"/>
  <c r="AH498" i="53"/>
  <c r="R506" i="53"/>
  <c r="AA493" i="53"/>
  <c r="AM517" i="53"/>
  <c r="AJ462" i="53"/>
  <c r="R488" i="53"/>
  <c r="AM501" i="53"/>
  <c r="AC477" i="53"/>
  <c r="AQ474" i="53"/>
  <c r="AE517" i="53"/>
  <c r="AQ520" i="53"/>
  <c r="Q462" i="53"/>
  <c r="AT463" i="53"/>
  <c r="S523" i="53"/>
  <c r="AH522" i="53"/>
  <c r="AQ476" i="53"/>
  <c r="Q465" i="53"/>
  <c r="AA463" i="53"/>
  <c r="W504" i="53"/>
  <c r="AS480" i="53"/>
  <c r="R481" i="53"/>
  <c r="AC458" i="53"/>
  <c r="V499" i="53"/>
  <c r="AI479" i="53"/>
  <c r="AM468" i="53"/>
  <c r="AM487" i="53"/>
  <c r="AA496" i="53"/>
  <c r="X495" i="53"/>
  <c r="AH467" i="53"/>
  <c r="S505" i="53"/>
  <c r="AI522" i="53"/>
  <c r="T505" i="53"/>
  <c r="X484" i="53"/>
  <c r="AH479" i="53"/>
  <c r="W470" i="53"/>
  <c r="AL505" i="53"/>
  <c r="S498" i="53"/>
  <c r="AI467" i="53"/>
  <c r="T523" i="53"/>
  <c r="AG522" i="53"/>
  <c r="AT516" i="53"/>
  <c r="AJ479" i="53"/>
  <c r="Z497" i="53"/>
  <c r="AI511" i="53"/>
  <c r="R519" i="53"/>
  <c r="AH455" i="53"/>
  <c r="T519" i="53"/>
  <c r="AG467" i="53"/>
  <c r="AT522" i="53"/>
  <c r="V504" i="53"/>
  <c r="AQ522" i="53"/>
  <c r="AN516" i="53"/>
  <c r="AN517" i="53"/>
  <c r="W505" i="53"/>
  <c r="Q455" i="53"/>
  <c r="AH511" i="53"/>
  <c r="AD504" i="53"/>
  <c r="AP510" i="53"/>
  <c r="AQ508" i="53"/>
  <c r="W381" i="53"/>
  <c r="AA440" i="53"/>
  <c r="AM465" i="53"/>
  <c r="S470" i="53"/>
  <c r="T483" i="53"/>
  <c r="V473" i="53"/>
  <c r="AE504" i="53"/>
  <c r="S479" i="53"/>
  <c r="AD463" i="53"/>
  <c r="AL501" i="53"/>
  <c r="V464" i="53"/>
  <c r="AN480" i="53"/>
  <c r="W468" i="53"/>
  <c r="R470" i="53"/>
  <c r="R483" i="53"/>
  <c r="R496" i="53"/>
  <c r="Z461" i="53"/>
  <c r="AS485" i="53"/>
  <c r="AL472" i="53"/>
  <c r="AE472" i="53"/>
  <c r="AM516" i="53"/>
  <c r="AL480" i="53"/>
  <c r="AI459" i="53"/>
  <c r="R487" i="53"/>
  <c r="T470" i="53"/>
  <c r="S483" i="53"/>
  <c r="AN497" i="53"/>
  <c r="W456" i="53"/>
  <c r="AC472" i="53"/>
  <c r="S462" i="53"/>
  <c r="T502" i="53"/>
  <c r="AN490" i="53"/>
  <c r="AC455" i="53"/>
  <c r="AM485" i="53"/>
  <c r="W506" i="53"/>
  <c r="X456" i="53"/>
  <c r="AM505" i="53"/>
  <c r="R462" i="53"/>
  <c r="AM490" i="53"/>
  <c r="AG487" i="53"/>
  <c r="AP455" i="53"/>
  <c r="AE484" i="53"/>
  <c r="X464" i="53"/>
  <c r="AE477" i="53"/>
  <c r="AI497" i="53"/>
  <c r="V470" i="53"/>
  <c r="AJ510" i="53"/>
  <c r="AT483" i="53"/>
  <c r="S467" i="53"/>
  <c r="Z510" i="53"/>
  <c r="AA516" i="53"/>
  <c r="AA522" i="53"/>
  <c r="Z522" i="53"/>
  <c r="AD491" i="53"/>
  <c r="AT512" i="53"/>
  <c r="AC471" i="53"/>
  <c r="AH510" i="53"/>
  <c r="Q467" i="53"/>
  <c r="AE516" i="53"/>
  <c r="AD516" i="53"/>
  <c r="V517" i="53"/>
  <c r="W517" i="53"/>
  <c r="AJ468" i="53"/>
  <c r="V522" i="53"/>
  <c r="AS517" i="53"/>
  <c r="AT517" i="53"/>
  <c r="AN464" i="53"/>
  <c r="AA501" i="53"/>
  <c r="AS492" i="53"/>
  <c r="AJ502" i="53"/>
  <c r="AM472" i="53"/>
  <c r="AT504" i="53"/>
  <c r="AE505" i="53"/>
  <c r="AQ523" i="53"/>
  <c r="AA458" i="53"/>
  <c r="AI502" i="53"/>
  <c r="AG511" i="53"/>
  <c r="AN478" i="53"/>
  <c r="AD505" i="53"/>
  <c r="Z508" i="53"/>
  <c r="AA508" i="53"/>
  <c r="AS456" i="53"/>
  <c r="AA460" i="53"/>
  <c r="AM478" i="53"/>
  <c r="X522" i="53"/>
  <c r="AH502" i="53"/>
  <c r="R467" i="53"/>
  <c r="AG484" i="53"/>
  <c r="AJ484" i="53"/>
  <c r="AH484" i="53"/>
  <c r="AQ502" i="53"/>
  <c r="AP502" i="53"/>
  <c r="X486" i="53"/>
  <c r="V486" i="53"/>
  <c r="AA470" i="53"/>
  <c r="Z470" i="53"/>
  <c r="AL477" i="53"/>
  <c r="AM477" i="53"/>
  <c r="AN477" i="53"/>
  <c r="V521" i="53"/>
  <c r="W521" i="53"/>
  <c r="X521" i="53"/>
  <c r="AS493" i="53"/>
  <c r="AT493" i="53"/>
  <c r="AI469" i="53"/>
  <c r="AH469" i="53"/>
  <c r="AG469" i="53"/>
  <c r="AJ469" i="53"/>
  <c r="S461" i="53"/>
  <c r="T461" i="53"/>
  <c r="Q461" i="53"/>
  <c r="R461" i="53"/>
  <c r="AA483" i="53"/>
  <c r="Z483" i="53"/>
  <c r="X507" i="53"/>
  <c r="V507" i="53"/>
  <c r="W507" i="53"/>
  <c r="X500" i="53"/>
  <c r="V500" i="53"/>
  <c r="AT476" i="53"/>
  <c r="AS476" i="53"/>
  <c r="AI460" i="53"/>
  <c r="AG460" i="53"/>
  <c r="AL467" i="53"/>
  <c r="AN467" i="53"/>
  <c r="AT497" i="53"/>
  <c r="AS497" i="53"/>
  <c r="AN507" i="53"/>
  <c r="AL507" i="53"/>
  <c r="AM507" i="53"/>
  <c r="AQ475" i="53"/>
  <c r="AP475" i="53"/>
  <c r="S490" i="53"/>
  <c r="R490" i="53"/>
  <c r="AH466" i="53"/>
  <c r="AG466" i="53"/>
  <c r="AI466" i="53"/>
  <c r="AJ466" i="53"/>
  <c r="AJ415" i="53"/>
  <c r="AL473" i="53"/>
  <c r="AJ487" i="53"/>
  <c r="AD471" i="53"/>
  <c r="W478" i="53"/>
  <c r="T490" i="53"/>
  <c r="AI455" i="53"/>
  <c r="AA523" i="53"/>
  <c r="AP513" i="53"/>
  <c r="AQ513" i="53"/>
  <c r="T512" i="53"/>
  <c r="Q512" i="53"/>
  <c r="R512" i="53"/>
  <c r="S512" i="53"/>
  <c r="Z504" i="53"/>
  <c r="AA504" i="53"/>
  <c r="Z480" i="53"/>
  <c r="AA480" i="53"/>
  <c r="Q456" i="53"/>
  <c r="T456" i="53"/>
  <c r="S456" i="53"/>
  <c r="R456" i="53"/>
  <c r="T503" i="53"/>
  <c r="Q503" i="53"/>
  <c r="R503" i="53"/>
  <c r="AQ492" i="53"/>
  <c r="AP492" i="53"/>
  <c r="AS519" i="53"/>
  <c r="AT519" i="53"/>
  <c r="AT502" i="53"/>
  <c r="AS502" i="53"/>
  <c r="AA486" i="53"/>
  <c r="Z486" i="53"/>
  <c r="AD470" i="53"/>
  <c r="AC470" i="53"/>
  <c r="AE470" i="53"/>
  <c r="AQ462" i="53"/>
  <c r="AP462" i="53"/>
  <c r="AA473" i="53"/>
  <c r="Z473" i="53"/>
  <c r="Z513" i="53"/>
  <c r="AA513" i="53"/>
  <c r="AM519" i="53"/>
  <c r="AL519" i="53"/>
  <c r="AN519" i="53"/>
  <c r="AC501" i="53"/>
  <c r="AD501" i="53"/>
  <c r="R485" i="53"/>
  <c r="S485" i="53"/>
  <c r="Q485" i="53"/>
  <c r="T485" i="53"/>
  <c r="W469" i="53"/>
  <c r="X469" i="53"/>
  <c r="V469" i="53"/>
  <c r="AC483" i="53"/>
  <c r="AD483" i="53"/>
  <c r="W479" i="53"/>
  <c r="V479" i="53"/>
  <c r="X479" i="53"/>
  <c r="AN499" i="53"/>
  <c r="AM499" i="53"/>
  <c r="AL499" i="53"/>
  <c r="AP500" i="53"/>
  <c r="AQ500" i="53"/>
  <c r="V467" i="53"/>
  <c r="W467" i="53"/>
  <c r="X467" i="53"/>
  <c r="Z495" i="53"/>
  <c r="AA495" i="53"/>
  <c r="X515" i="53"/>
  <c r="V515" i="53"/>
  <c r="W515" i="53"/>
  <c r="AA491" i="53"/>
  <c r="Z491" i="53"/>
  <c r="AP514" i="53"/>
  <c r="AQ514" i="53"/>
  <c r="AA521" i="53"/>
  <c r="Z521" i="53"/>
  <c r="AE482" i="53"/>
  <c r="AC482" i="53"/>
  <c r="AD482" i="53"/>
  <c r="AH458" i="53"/>
  <c r="AI458" i="53"/>
  <c r="AJ458" i="53"/>
  <c r="AG458" i="53"/>
  <c r="AA505" i="53"/>
  <c r="Z505" i="53"/>
  <c r="R489" i="53"/>
  <c r="Q489" i="53"/>
  <c r="W457" i="53"/>
  <c r="V457" i="53"/>
  <c r="V519" i="53"/>
  <c r="X519" i="53"/>
  <c r="W519" i="53"/>
  <c r="Z481" i="53"/>
  <c r="AA481" i="53"/>
  <c r="AH463" i="53"/>
  <c r="AG463" i="53"/>
  <c r="AJ463" i="53"/>
  <c r="AA489" i="53"/>
  <c r="Z489" i="53"/>
  <c r="R409" i="53"/>
  <c r="AL381" i="53"/>
  <c r="T357" i="53"/>
  <c r="AA411" i="53"/>
  <c r="T446" i="53"/>
  <c r="AE445" i="53"/>
  <c r="T448" i="53"/>
  <c r="AJ460" i="53"/>
  <c r="AM473" i="53"/>
  <c r="AD458" i="53"/>
  <c r="V468" i="53"/>
  <c r="AL497" i="53"/>
  <c r="AH487" i="53"/>
  <c r="V492" i="53"/>
  <c r="V478" i="53"/>
  <c r="AT498" i="53"/>
  <c r="AG509" i="53"/>
  <c r="AI509" i="53"/>
  <c r="AG455" i="53"/>
  <c r="T489" i="53"/>
  <c r="AI523" i="53"/>
  <c r="Q488" i="53"/>
  <c r="T488" i="53"/>
  <c r="Q504" i="53"/>
  <c r="R504" i="53"/>
  <c r="T504" i="53"/>
  <c r="S504" i="53"/>
  <c r="AN488" i="53"/>
  <c r="AM488" i="53"/>
  <c r="AL488" i="53"/>
  <c r="AP480" i="53"/>
  <c r="AQ480" i="53"/>
  <c r="AG464" i="53"/>
  <c r="AJ464" i="53"/>
  <c r="AI464" i="53"/>
  <c r="AH464" i="53"/>
  <c r="AQ503" i="53"/>
  <c r="AP503" i="53"/>
  <c r="Z455" i="53"/>
  <c r="AA455" i="53"/>
  <c r="Q494" i="53"/>
  <c r="R494" i="53"/>
  <c r="T494" i="53"/>
  <c r="AA475" i="53"/>
  <c r="Z475" i="53"/>
  <c r="AT513" i="53"/>
  <c r="AS513" i="53"/>
  <c r="AD502" i="53"/>
  <c r="AE502" i="53"/>
  <c r="AC502" i="53"/>
  <c r="AQ486" i="53"/>
  <c r="AP486" i="53"/>
  <c r="AT470" i="53"/>
  <c r="AS470" i="53"/>
  <c r="AD462" i="53"/>
  <c r="AC462" i="53"/>
  <c r="AE462" i="53"/>
  <c r="AE475" i="53"/>
  <c r="AD475" i="53"/>
  <c r="AM503" i="53"/>
  <c r="AL503" i="53"/>
  <c r="AN503" i="53"/>
  <c r="AM514" i="53"/>
  <c r="AL514" i="53"/>
  <c r="AN514" i="53"/>
  <c r="AL509" i="53"/>
  <c r="AN509" i="53"/>
  <c r="AM509" i="53"/>
  <c r="S469" i="53"/>
  <c r="R469" i="53"/>
  <c r="Q469" i="53"/>
  <c r="T469" i="53"/>
  <c r="W461" i="53"/>
  <c r="X461" i="53"/>
  <c r="V461" i="53"/>
  <c r="AD523" i="53"/>
  <c r="AC523" i="53"/>
  <c r="AD459" i="53"/>
  <c r="AC459" i="53"/>
  <c r="AP479" i="53"/>
  <c r="AQ479" i="53"/>
  <c r="AP468" i="53"/>
  <c r="AQ468" i="53"/>
  <c r="AE506" i="53"/>
  <c r="AC506" i="53"/>
  <c r="AG500" i="53"/>
  <c r="AH500" i="53"/>
  <c r="AI500" i="53"/>
  <c r="AJ500" i="53"/>
  <c r="AG492" i="53"/>
  <c r="AJ492" i="53"/>
  <c r="AH492" i="53"/>
  <c r="AI492" i="53"/>
  <c r="Z476" i="53"/>
  <c r="AA476" i="53"/>
  <c r="AG468" i="53"/>
  <c r="AI468" i="53"/>
  <c r="AS495" i="53"/>
  <c r="AT495" i="53"/>
  <c r="AG494" i="53"/>
  <c r="AJ494" i="53"/>
  <c r="AH494" i="53"/>
  <c r="AI507" i="53"/>
  <c r="AH507" i="53"/>
  <c r="AJ507" i="53"/>
  <c r="AG507" i="53"/>
  <c r="V491" i="53"/>
  <c r="W491" i="53"/>
  <c r="AM471" i="53"/>
  <c r="AN471" i="53"/>
  <c r="AL471" i="53"/>
  <c r="AS488" i="53"/>
  <c r="AT488" i="53"/>
  <c r="W516" i="53"/>
  <c r="X516" i="53"/>
  <c r="V516" i="53"/>
  <c r="AL521" i="53"/>
  <c r="AN521" i="53"/>
  <c r="AM521" i="53"/>
  <c r="AM498" i="53"/>
  <c r="AN498" i="53"/>
  <c r="AL498" i="53"/>
  <c r="AP490" i="53"/>
  <c r="AQ490" i="53"/>
  <c r="R482" i="53"/>
  <c r="Q482" i="53"/>
  <c r="S482" i="53"/>
  <c r="T482" i="53"/>
  <c r="AN466" i="53"/>
  <c r="AL466" i="53"/>
  <c r="AM466" i="53"/>
  <c r="AP505" i="53"/>
  <c r="AQ505" i="53"/>
  <c r="AP473" i="53"/>
  <c r="AQ473" i="53"/>
  <c r="AM457" i="53"/>
  <c r="AN457" i="53"/>
  <c r="AP487" i="53"/>
  <c r="AQ487" i="53"/>
  <c r="AT499" i="53"/>
  <c r="AS499" i="53"/>
  <c r="AP519" i="53"/>
  <c r="AQ519" i="53"/>
  <c r="AG497" i="53"/>
  <c r="AH497" i="53"/>
  <c r="AS465" i="53"/>
  <c r="AT465" i="53"/>
  <c r="AG397" i="53"/>
  <c r="AL464" i="53"/>
  <c r="S460" i="53"/>
  <c r="AI484" i="53"/>
  <c r="S478" i="53"/>
  <c r="X473" i="53"/>
  <c r="AA488" i="53"/>
  <c r="V505" i="53"/>
  <c r="T479" i="53"/>
  <c r="AE501" i="53"/>
  <c r="AS459" i="53"/>
  <c r="W495" i="53"/>
  <c r="AI457" i="53"/>
  <c r="X457" i="53"/>
  <c r="AI490" i="53"/>
  <c r="AA509" i="53"/>
  <c r="AE463" i="53"/>
  <c r="AQ515" i="53"/>
  <c r="AP515" i="53"/>
  <c r="AP512" i="53"/>
  <c r="AQ512" i="53"/>
  <c r="AA472" i="53"/>
  <c r="Z472" i="53"/>
  <c r="AD464" i="53"/>
  <c r="AC464" i="53"/>
  <c r="AE464" i="53"/>
  <c r="AA456" i="53"/>
  <c r="Z456" i="53"/>
  <c r="W455" i="53"/>
  <c r="X455" i="53"/>
  <c r="V455" i="53"/>
  <c r="AI515" i="53"/>
  <c r="AG515" i="53"/>
  <c r="AH515" i="53"/>
  <c r="AJ515" i="53"/>
  <c r="AA502" i="53"/>
  <c r="Z502" i="53"/>
  <c r="AG486" i="53"/>
  <c r="AH486" i="53"/>
  <c r="AJ486" i="53"/>
  <c r="AJ478" i="53"/>
  <c r="AI478" i="53"/>
  <c r="AG478" i="53"/>
  <c r="AH478" i="53"/>
  <c r="W511" i="53"/>
  <c r="V511" i="53"/>
  <c r="AH489" i="53"/>
  <c r="AG489" i="53"/>
  <c r="AI521" i="53"/>
  <c r="AG521" i="53"/>
  <c r="AH521" i="53"/>
  <c r="V509" i="53"/>
  <c r="W509" i="53"/>
  <c r="X509" i="53"/>
  <c r="AQ469" i="53"/>
  <c r="AP469" i="53"/>
  <c r="AL461" i="53"/>
  <c r="AN461" i="53"/>
  <c r="AM461" i="53"/>
  <c r="AP483" i="53"/>
  <c r="AQ483" i="53"/>
  <c r="AT475" i="53"/>
  <c r="AS475" i="53"/>
  <c r="AQ507" i="53"/>
  <c r="AP507" i="53"/>
  <c r="Q500" i="53"/>
  <c r="R500" i="53"/>
  <c r="T500" i="53"/>
  <c r="AA484" i="53"/>
  <c r="Z484" i="53"/>
  <c r="AE468" i="53"/>
  <c r="AC468" i="53"/>
  <c r="AD468" i="53"/>
  <c r="AP460" i="53"/>
  <c r="AQ460" i="53"/>
  <c r="AQ499" i="53"/>
  <c r="AP499" i="53"/>
  <c r="V518" i="53"/>
  <c r="W518" i="53"/>
  <c r="AC507" i="53"/>
  <c r="AD507" i="53"/>
  <c r="AE507" i="53"/>
  <c r="AH471" i="53"/>
  <c r="AG471" i="53"/>
  <c r="AJ471" i="53"/>
  <c r="AH493" i="53"/>
  <c r="AG493" i="53"/>
  <c r="AJ493" i="53"/>
  <c r="AI493" i="53"/>
  <c r="AH514" i="53"/>
  <c r="AJ514" i="53"/>
  <c r="AI514" i="53"/>
  <c r="AG514" i="53"/>
  <c r="W498" i="53"/>
  <c r="V498" i="53"/>
  <c r="X498" i="53"/>
  <c r="AH482" i="53"/>
  <c r="AG482" i="53"/>
  <c r="AJ482" i="53"/>
  <c r="R466" i="53"/>
  <c r="T466" i="53"/>
  <c r="Q466" i="53"/>
  <c r="S466" i="53"/>
  <c r="AS458" i="53"/>
  <c r="AT458" i="53"/>
  <c r="S473" i="53"/>
  <c r="R473" i="53"/>
  <c r="AS457" i="53"/>
  <c r="AT457" i="53"/>
  <c r="AS487" i="53"/>
  <c r="AT487" i="53"/>
  <c r="AG513" i="53"/>
  <c r="AH513" i="53"/>
  <c r="AI513" i="53"/>
  <c r="AJ513" i="53"/>
  <c r="S481" i="53"/>
  <c r="T481" i="53"/>
  <c r="AA465" i="53"/>
  <c r="Z465" i="53"/>
  <c r="AT363" i="53"/>
  <c r="AM467" i="53"/>
  <c r="AE483" i="53"/>
  <c r="Q460" i="53"/>
  <c r="AN485" i="53"/>
  <c r="R478" i="53"/>
  <c r="AM484" i="53"/>
  <c r="X506" i="53"/>
  <c r="R479" i="53"/>
  <c r="AJ509" i="53"/>
  <c r="AG457" i="53"/>
  <c r="AH490" i="53"/>
  <c r="AH523" i="53"/>
  <c r="AE503" i="53"/>
  <c r="AC503" i="53"/>
  <c r="AD503" i="53"/>
  <c r="AG512" i="53"/>
  <c r="AH512" i="53"/>
  <c r="AJ512" i="53"/>
  <c r="AI512" i="53"/>
  <c r="AC496" i="53"/>
  <c r="AD496" i="53"/>
  <c r="AE496" i="53"/>
  <c r="S480" i="53"/>
  <c r="Q480" i="53"/>
  <c r="R480" i="53"/>
  <c r="T480" i="53"/>
  <c r="Q464" i="53"/>
  <c r="S464" i="53"/>
  <c r="R464" i="53"/>
  <c r="T464" i="53"/>
  <c r="AD499" i="53"/>
  <c r="AE499" i="53"/>
  <c r="AC499" i="53"/>
  <c r="AT515" i="53"/>
  <c r="AS515" i="53"/>
  <c r="AL510" i="53"/>
  <c r="AN510" i="53"/>
  <c r="AM510" i="53"/>
  <c r="AA494" i="53"/>
  <c r="Z494" i="53"/>
  <c r="AN486" i="53"/>
  <c r="AL486" i="53"/>
  <c r="AT478" i="53"/>
  <c r="AS478" i="53"/>
  <c r="AS511" i="53"/>
  <c r="AT511" i="53"/>
  <c r="AL491" i="53"/>
  <c r="AM491" i="53"/>
  <c r="Z517" i="53"/>
  <c r="AA517" i="53"/>
  <c r="AT521" i="53"/>
  <c r="AS521" i="53"/>
  <c r="V501" i="53"/>
  <c r="W501" i="53"/>
  <c r="X501" i="53"/>
  <c r="R493" i="53"/>
  <c r="Q493" i="53"/>
  <c r="S493" i="53"/>
  <c r="T493" i="53"/>
  <c r="AA469" i="53"/>
  <c r="Z469" i="53"/>
  <c r="AQ461" i="53"/>
  <c r="AP461" i="53"/>
  <c r="V483" i="53"/>
  <c r="W483" i="53"/>
  <c r="X483" i="53"/>
  <c r="AA459" i="53"/>
  <c r="Z459" i="53"/>
  <c r="AL508" i="53"/>
  <c r="AM508" i="53"/>
  <c r="AN508" i="53"/>
  <c r="AL500" i="53"/>
  <c r="AM500" i="53"/>
  <c r="AN500" i="53"/>
  <c r="AN476" i="53"/>
  <c r="AL476" i="53"/>
  <c r="AM476" i="53"/>
  <c r="Z468" i="53"/>
  <c r="AA468" i="53"/>
  <c r="AE460" i="53"/>
  <c r="AC460" i="53"/>
  <c r="AD460" i="53"/>
  <c r="AQ467" i="53"/>
  <c r="AP467" i="53"/>
  <c r="AS503" i="53"/>
  <c r="AT503" i="53"/>
  <c r="R520" i="53"/>
  <c r="Q520" i="53"/>
  <c r="AG491" i="53"/>
  <c r="AJ491" i="53"/>
  <c r="AH491" i="53"/>
  <c r="AI491" i="53"/>
  <c r="AN475" i="53"/>
  <c r="AM475" i="53"/>
  <c r="AL475" i="53"/>
  <c r="Z471" i="53"/>
  <c r="AA471" i="53"/>
  <c r="AP517" i="53"/>
  <c r="AQ517" i="53"/>
  <c r="R514" i="53"/>
  <c r="Q514" i="53"/>
  <c r="S514" i="53"/>
  <c r="AC498" i="53"/>
  <c r="AD498" i="53"/>
  <c r="AS482" i="53"/>
  <c r="AT482" i="53"/>
  <c r="AC474" i="53"/>
  <c r="AD474" i="53"/>
  <c r="AE474" i="53"/>
  <c r="AC466" i="53"/>
  <c r="AD466" i="53"/>
  <c r="X458" i="53"/>
  <c r="V458" i="53"/>
  <c r="W458" i="53"/>
  <c r="AE473" i="53"/>
  <c r="AC473" i="53"/>
  <c r="AD473" i="53"/>
  <c r="AE457" i="53"/>
  <c r="AC457" i="53"/>
  <c r="AD457" i="53"/>
  <c r="V487" i="53"/>
  <c r="W487" i="53"/>
  <c r="X487" i="53"/>
  <c r="V513" i="53"/>
  <c r="W513" i="53"/>
  <c r="X513" i="53"/>
  <c r="AT481" i="53"/>
  <c r="AS481" i="53"/>
  <c r="AP465" i="53"/>
  <c r="AQ465" i="53"/>
  <c r="X512" i="53"/>
  <c r="V512" i="53"/>
  <c r="W512" i="53"/>
  <c r="W488" i="53"/>
  <c r="V488" i="53"/>
  <c r="X488" i="53"/>
  <c r="AI472" i="53"/>
  <c r="AJ472" i="53"/>
  <c r="AG472" i="53"/>
  <c r="AH472" i="53"/>
  <c r="AL502" i="53"/>
  <c r="AM502" i="53"/>
  <c r="AM511" i="53"/>
  <c r="AN511" i="53"/>
  <c r="AL511" i="53"/>
  <c r="AE485" i="53"/>
  <c r="AD485" i="53"/>
  <c r="R459" i="53"/>
  <c r="T459" i="53"/>
  <c r="AC520" i="53"/>
  <c r="AD520" i="53"/>
  <c r="AE520" i="53"/>
  <c r="Q492" i="53"/>
  <c r="T492" i="53"/>
  <c r="R492" i="53"/>
  <c r="AS468" i="53"/>
  <c r="AT468" i="53"/>
  <c r="AN512" i="53"/>
  <c r="AL512" i="53"/>
  <c r="AM512" i="53"/>
  <c r="AN482" i="53"/>
  <c r="AM482" i="53"/>
  <c r="AL482" i="53"/>
  <c r="R474" i="53"/>
  <c r="T474" i="53"/>
  <c r="S474" i="53"/>
  <c r="Q474" i="53"/>
  <c r="W503" i="53"/>
  <c r="V503" i="53"/>
  <c r="X503" i="53"/>
  <c r="AH520" i="53"/>
  <c r="AG520" i="53"/>
  <c r="AE465" i="53"/>
  <c r="AD465" i="53"/>
  <c r="AC465" i="53"/>
  <c r="AI481" i="53"/>
  <c r="T478" i="53"/>
  <c r="AL484" i="53"/>
  <c r="T495" i="53"/>
  <c r="AT507" i="53"/>
  <c r="T471" i="53"/>
  <c r="AQ488" i="53"/>
  <c r="AJ457" i="53"/>
  <c r="AJ490" i="53"/>
  <c r="AQ496" i="53"/>
  <c r="AM463" i="53"/>
  <c r="AN463" i="53"/>
  <c r="AL463" i="53"/>
  <c r="AD521" i="53"/>
  <c r="AE521" i="53"/>
  <c r="AC521" i="53"/>
  <c r="T496" i="53"/>
  <c r="Q496" i="53"/>
  <c r="AI480" i="53"/>
  <c r="AG480" i="53"/>
  <c r="AH480" i="53"/>
  <c r="AJ480" i="53"/>
  <c r="AM455" i="53"/>
  <c r="AL455" i="53"/>
  <c r="AN455" i="53"/>
  <c r="AS460" i="53"/>
  <c r="AT460" i="53"/>
  <c r="AD497" i="53"/>
  <c r="AE497" i="53"/>
  <c r="AC497" i="53"/>
  <c r="AQ494" i="53"/>
  <c r="AP494" i="53"/>
  <c r="AT486" i="53"/>
  <c r="AS486" i="53"/>
  <c r="AI470" i="53"/>
  <c r="AH470" i="53"/>
  <c r="AT462" i="53"/>
  <c r="AS462" i="53"/>
  <c r="T511" i="53"/>
  <c r="R511" i="53"/>
  <c r="S511" i="53"/>
  <c r="S507" i="53"/>
  <c r="Q507" i="53"/>
  <c r="R507" i="53"/>
  <c r="T507" i="53"/>
  <c r="AH518" i="53"/>
  <c r="AG518" i="53"/>
  <c r="AI518" i="53"/>
  <c r="AJ518" i="53"/>
  <c r="AS501" i="53"/>
  <c r="AT501" i="53"/>
  <c r="AP493" i="53"/>
  <c r="AQ493" i="53"/>
  <c r="AC469" i="53"/>
  <c r="AE469" i="53"/>
  <c r="AI461" i="53"/>
  <c r="AJ461" i="53"/>
  <c r="AG461" i="53"/>
  <c r="AH461" i="53"/>
  <c r="AL483" i="53"/>
  <c r="AM483" i="53"/>
  <c r="AQ459" i="53"/>
  <c r="AP459" i="53"/>
  <c r="AM479" i="53"/>
  <c r="AN479" i="53"/>
  <c r="AL479" i="53"/>
  <c r="W514" i="53"/>
  <c r="V514" i="53"/>
  <c r="X514" i="53"/>
  <c r="AT508" i="53"/>
  <c r="AS508" i="53"/>
  <c r="AC500" i="53"/>
  <c r="AD500" i="53"/>
  <c r="AE500" i="53"/>
  <c r="AI476" i="53"/>
  <c r="AG476" i="53"/>
  <c r="S491" i="53"/>
  <c r="Q491" i="53"/>
  <c r="R491" i="53"/>
  <c r="T491" i="53"/>
  <c r="T475" i="53"/>
  <c r="R475" i="53"/>
  <c r="X466" i="53"/>
  <c r="W466" i="53"/>
  <c r="V466" i="53"/>
  <c r="AD510" i="53"/>
  <c r="AE510" i="53"/>
  <c r="AC510" i="53"/>
  <c r="AT506" i="53"/>
  <c r="AS506" i="53"/>
  <c r="R498" i="53"/>
  <c r="Q498" i="53"/>
  <c r="AP482" i="53"/>
  <c r="AQ482" i="53"/>
  <c r="AS474" i="53"/>
  <c r="AT474" i="53"/>
  <c r="AP466" i="53"/>
  <c r="AQ466" i="53"/>
  <c r="AL489" i="53"/>
  <c r="AM489" i="53"/>
  <c r="AN489" i="53"/>
  <c r="AT473" i="53"/>
  <c r="AS473" i="53"/>
  <c r="R457" i="53"/>
  <c r="S457" i="53"/>
  <c r="AD515" i="53"/>
  <c r="AC515" i="53"/>
  <c r="AE515" i="53"/>
  <c r="AD513" i="53"/>
  <c r="AC513" i="53"/>
  <c r="AE481" i="53"/>
  <c r="AC481" i="53"/>
  <c r="AD481" i="53"/>
  <c r="S465" i="53"/>
  <c r="R465" i="53"/>
  <c r="W463" i="53"/>
  <c r="X463" i="53"/>
  <c r="V463" i="53"/>
  <c r="AD350" i="53"/>
  <c r="AI354" i="53"/>
  <c r="X346" i="53"/>
  <c r="AE379" i="53"/>
  <c r="Z416" i="53"/>
  <c r="S459" i="53"/>
  <c r="AQ471" i="53"/>
  <c r="Q487" i="53"/>
  <c r="AH481" i="53"/>
  <c r="R495" i="53"/>
  <c r="S471" i="53"/>
  <c r="AA503" i="53"/>
  <c r="S513" i="53"/>
  <c r="AI520" i="53"/>
  <c r="AN502" i="53"/>
  <c r="AP456" i="53"/>
  <c r="AJ523" i="53"/>
  <c r="AA467" i="53"/>
  <c r="Z467" i="53"/>
  <c r="AT494" i="53"/>
  <c r="AS494" i="53"/>
  <c r="AN496" i="53"/>
  <c r="AL496" i="53"/>
  <c r="AM496" i="53"/>
  <c r="AD480" i="53"/>
  <c r="AE480" i="53"/>
  <c r="AC480" i="53"/>
  <c r="AT472" i="53"/>
  <c r="AS472" i="53"/>
  <c r="AG456" i="53"/>
  <c r="AH456" i="53"/>
  <c r="AI456" i="53"/>
  <c r="AJ456" i="53"/>
  <c r="S510" i="53"/>
  <c r="Q510" i="53"/>
  <c r="R510" i="53"/>
  <c r="T510" i="53"/>
  <c r="X494" i="53"/>
  <c r="V494" i="53"/>
  <c r="W494" i="53"/>
  <c r="Q486" i="53"/>
  <c r="R486" i="53"/>
  <c r="T486" i="53"/>
  <c r="AH462" i="53"/>
  <c r="AI462" i="53"/>
  <c r="AE511" i="53"/>
  <c r="AC511" i="53"/>
  <c r="AD511" i="53"/>
  <c r="AH499" i="53"/>
  <c r="AG499" i="53"/>
  <c r="AI499" i="53"/>
  <c r="AJ499" i="53"/>
  <c r="AS518" i="53"/>
  <c r="AT518" i="53"/>
  <c r="T501" i="53"/>
  <c r="Q501" i="53"/>
  <c r="AS469" i="53"/>
  <c r="AT469" i="53"/>
  <c r="AI483" i="53"/>
  <c r="AH483" i="53"/>
  <c r="AJ483" i="53"/>
  <c r="V459" i="53"/>
  <c r="W459" i="53"/>
  <c r="X459" i="53"/>
  <c r="AQ497" i="53"/>
  <c r="AP497" i="53"/>
  <c r="Z500" i="53"/>
  <c r="AA500" i="53"/>
  <c r="AQ484" i="53"/>
  <c r="AP484" i="53"/>
  <c r="Q476" i="53"/>
  <c r="S476" i="53"/>
  <c r="AA499" i="53"/>
  <c r="Z499" i="53"/>
  <c r="AE495" i="53"/>
  <c r="AC495" i="53"/>
  <c r="AD495" i="53"/>
  <c r="AH475" i="53"/>
  <c r="AJ475" i="53"/>
  <c r="AA511" i="53"/>
  <c r="Z511" i="53"/>
  <c r="AD519" i="53"/>
  <c r="AE519" i="53"/>
  <c r="AC519" i="53"/>
  <c r="AA490" i="53"/>
  <c r="Z490" i="53"/>
  <c r="Z482" i="53"/>
  <c r="AA482" i="53"/>
  <c r="AH474" i="53"/>
  <c r="AI474" i="53"/>
  <c r="AG474" i="53"/>
  <c r="AJ474" i="53"/>
  <c r="V520" i="53"/>
  <c r="X520" i="53"/>
  <c r="W520" i="53"/>
  <c r="V489" i="53"/>
  <c r="X489" i="53"/>
  <c r="W489" i="53"/>
  <c r="Z457" i="53"/>
  <c r="AA457" i="53"/>
  <c r="Z487" i="53"/>
  <c r="AA487" i="53"/>
  <c r="AA518" i="53"/>
  <c r="Z518" i="53"/>
  <c r="AL513" i="53"/>
  <c r="AM513" i="53"/>
  <c r="AN513" i="53"/>
  <c r="AP481" i="53"/>
  <c r="AQ481" i="53"/>
  <c r="AC350" i="53"/>
  <c r="AG354" i="53"/>
  <c r="AG362" i="53"/>
  <c r="W346" i="53"/>
  <c r="S409" i="53"/>
  <c r="AC379" i="53"/>
  <c r="Q459" i="53"/>
  <c r="X472" i="53"/>
  <c r="AL465" i="53"/>
  <c r="AE455" i="53"/>
  <c r="AG481" i="53"/>
  <c r="AT496" i="53"/>
  <c r="Q495" i="53"/>
  <c r="R471" i="53"/>
  <c r="Q490" i="53"/>
  <c r="S503" i="53"/>
  <c r="V497" i="53"/>
  <c r="X497" i="53"/>
  <c r="W497" i="53"/>
  <c r="AA512" i="53"/>
  <c r="Z512" i="53"/>
  <c r="AN504" i="53"/>
  <c r="AL504" i="53"/>
  <c r="AM504" i="53"/>
  <c r="AJ488" i="53"/>
  <c r="AG488" i="53"/>
  <c r="AD456" i="53"/>
  <c r="AC456" i="53"/>
  <c r="AE456" i="53"/>
  <c r="T455" i="53"/>
  <c r="S455" i="53"/>
  <c r="AD489" i="53"/>
  <c r="AE489" i="53"/>
  <c r="AC489" i="53"/>
  <c r="AQ470" i="53"/>
  <c r="AP470" i="53"/>
  <c r="Q502" i="53"/>
  <c r="R502" i="53"/>
  <c r="AC486" i="53"/>
  <c r="AD486" i="53"/>
  <c r="Z478" i="53"/>
  <c r="AA478" i="53"/>
  <c r="AT464" i="53"/>
  <c r="AS464" i="53"/>
  <c r="AS500" i="53"/>
  <c r="AT500" i="53"/>
  <c r="Z519" i="53"/>
  <c r="AA519" i="53"/>
  <c r="AH485" i="53"/>
  <c r="AG485" i="53"/>
  <c r="AI485" i="53"/>
  <c r="AJ485" i="53"/>
  <c r="V477" i="53"/>
  <c r="X477" i="53"/>
  <c r="W477" i="53"/>
  <c r="AC461" i="53"/>
  <c r="AE461" i="53"/>
  <c r="AS523" i="53"/>
  <c r="AT523" i="53"/>
  <c r="AH459" i="53"/>
  <c r="AJ459" i="53"/>
  <c r="R458" i="53"/>
  <c r="Q458" i="53"/>
  <c r="S458" i="53"/>
  <c r="T458" i="53"/>
  <c r="AQ498" i="53"/>
  <c r="AP498" i="53"/>
  <c r="V508" i="53"/>
  <c r="W508" i="53"/>
  <c r="X508" i="53"/>
  <c r="AT467" i="53"/>
  <c r="AS467" i="53"/>
  <c r="AL495" i="53"/>
  <c r="AM495" i="53"/>
  <c r="AN495" i="53"/>
  <c r="AP478" i="53"/>
  <c r="AQ478" i="53"/>
  <c r="W471" i="53"/>
  <c r="V471" i="53"/>
  <c r="X471" i="53"/>
  <c r="AS520" i="53"/>
  <c r="AT520" i="53"/>
  <c r="AS490" i="53"/>
  <c r="AT490" i="53"/>
  <c r="X482" i="53"/>
  <c r="W482" i="53"/>
  <c r="AN474" i="53"/>
  <c r="AL474" i="53"/>
  <c r="AM474" i="53"/>
  <c r="AT489" i="53"/>
  <c r="AS489" i="53"/>
  <c r="AQ457" i="53"/>
  <c r="AP457" i="53"/>
  <c r="AD487" i="53"/>
  <c r="AC487" i="53"/>
  <c r="AE487" i="53"/>
  <c r="AN494" i="53"/>
  <c r="AM494" i="53"/>
  <c r="AL494" i="53"/>
  <c r="AL518" i="53"/>
  <c r="AM518" i="53"/>
  <c r="R497" i="53"/>
  <c r="Q497" i="53"/>
  <c r="AM481" i="53"/>
  <c r="AL481" i="53"/>
  <c r="AN481" i="53"/>
  <c r="X353" i="53"/>
  <c r="AS404" i="53"/>
  <c r="Z347" i="53"/>
  <c r="AP341" i="53"/>
  <c r="W397" i="53"/>
  <c r="AH377" i="53"/>
  <c r="AS446" i="53"/>
  <c r="T373" i="53"/>
  <c r="AG385" i="53"/>
  <c r="AI385" i="53"/>
  <c r="Z438" i="53"/>
  <c r="W382" i="53"/>
  <c r="AH354" i="53"/>
  <c r="AN381" i="53"/>
  <c r="AQ384" i="53"/>
  <c r="AT369" i="53"/>
  <c r="AI415" i="53"/>
  <c r="R446" i="53"/>
  <c r="AD445" i="53"/>
  <c r="R448" i="53"/>
  <c r="T349" i="53"/>
  <c r="AE355" i="53"/>
  <c r="AJ362" i="53"/>
  <c r="T409" i="53"/>
  <c r="AI392" i="53"/>
  <c r="AH415" i="53"/>
  <c r="AQ440" i="53"/>
  <c r="AC355" i="53"/>
  <c r="AH362" i="53"/>
  <c r="AH397" i="53"/>
  <c r="Q407" i="53"/>
  <c r="Q446" i="53"/>
  <c r="AS438" i="53"/>
  <c r="AG340" i="53"/>
  <c r="AC354" i="53"/>
  <c r="AQ403" i="53"/>
  <c r="S370" i="53"/>
  <c r="W399" i="53"/>
  <c r="S429" i="53"/>
  <c r="R346" i="53"/>
  <c r="AM378" i="53"/>
  <c r="V405" i="53"/>
  <c r="AD409" i="53"/>
  <c r="AP358" i="53"/>
  <c r="AC409" i="53"/>
  <c r="AH412" i="53"/>
  <c r="X399" i="53"/>
  <c r="AE338" i="53"/>
  <c r="AN361" i="53"/>
  <c r="T384" i="53"/>
  <c r="AD354" i="53"/>
  <c r="AC338" i="53"/>
  <c r="AL361" i="53"/>
  <c r="AT411" i="53"/>
  <c r="X405" i="53"/>
  <c r="AJ340" i="53"/>
  <c r="AP350" i="53"/>
  <c r="R365" i="53"/>
  <c r="AQ415" i="53"/>
  <c r="AN362" i="53"/>
  <c r="X417" i="53"/>
  <c r="AL423" i="53"/>
  <c r="AH351" i="53"/>
  <c r="W417" i="53"/>
  <c r="AN404" i="53"/>
  <c r="Q365" i="53"/>
  <c r="R429" i="53"/>
  <c r="X382" i="53"/>
  <c r="AL378" i="53"/>
  <c r="AA423" i="53"/>
  <c r="X446" i="53"/>
  <c r="AN446" i="53"/>
  <c r="AA339" i="53"/>
  <c r="Z401" i="53"/>
  <c r="AM446" i="53"/>
  <c r="AT430" i="53"/>
  <c r="AI340" i="53"/>
  <c r="S365" i="53"/>
  <c r="T429" i="53"/>
  <c r="AL354" i="53"/>
  <c r="AJ351" i="53"/>
  <c r="AM370" i="53"/>
  <c r="AN346" i="53"/>
  <c r="T378" i="53"/>
  <c r="AT390" i="53"/>
  <c r="T392" i="53"/>
  <c r="AL346" i="53"/>
  <c r="AG351" i="53"/>
  <c r="AM354" i="53"/>
  <c r="AL370" i="53"/>
  <c r="AM423" i="53"/>
  <c r="AG439" i="53"/>
  <c r="AI439" i="53"/>
  <c r="AL404" i="53"/>
  <c r="AQ355" i="53"/>
  <c r="AL362" i="53"/>
  <c r="S373" i="53"/>
  <c r="AG431" i="53"/>
  <c r="R373" i="53"/>
  <c r="Z407" i="53"/>
  <c r="R405" i="53"/>
  <c r="AJ357" i="53"/>
  <c r="Z377" i="53"/>
  <c r="AQ421" i="53"/>
  <c r="S378" i="53"/>
  <c r="AQ374" i="53"/>
  <c r="AP438" i="53"/>
  <c r="AA409" i="53"/>
  <c r="Q378" i="53"/>
  <c r="AH439" i="53"/>
  <c r="AC446" i="53"/>
  <c r="AH394" i="53"/>
  <c r="Z336" i="53"/>
  <c r="AQ429" i="53"/>
  <c r="AI437" i="53"/>
  <c r="AE344" i="53"/>
  <c r="AC433" i="53"/>
  <c r="AH348" i="53"/>
  <c r="V343" i="53"/>
  <c r="AJ348" i="53"/>
  <c r="Z398" i="53"/>
  <c r="Q386" i="53"/>
  <c r="AT385" i="53"/>
  <c r="AH437" i="53"/>
  <c r="AI431" i="53"/>
  <c r="AJ437" i="53"/>
  <c r="AJ431" i="53"/>
  <c r="AA334" i="53"/>
  <c r="T407" i="53"/>
  <c r="AM440" i="53"/>
  <c r="AJ397" i="53"/>
  <c r="AP377" i="53"/>
  <c r="S407" i="53"/>
  <c r="S423" i="53"/>
  <c r="AP339" i="53"/>
  <c r="AQ390" i="53"/>
  <c r="AG392" i="53"/>
  <c r="AL441" i="53"/>
  <c r="AL440" i="53"/>
  <c r="S448" i="53"/>
  <c r="AC344" i="53"/>
  <c r="AD352" i="53"/>
  <c r="AG348" i="53"/>
  <c r="AP406" i="53"/>
  <c r="AE352" i="53"/>
  <c r="AA419" i="53"/>
  <c r="AS410" i="53"/>
  <c r="W343" i="53"/>
  <c r="AQ423" i="53"/>
  <c r="AI414" i="53"/>
  <c r="X372" i="53"/>
  <c r="AT418" i="53"/>
  <c r="AI335" i="53"/>
  <c r="AH335" i="53"/>
  <c r="AJ376" i="53"/>
  <c r="AE395" i="53"/>
  <c r="T421" i="53"/>
  <c r="AE387" i="53"/>
  <c r="AT442" i="53"/>
  <c r="S350" i="53"/>
  <c r="AL364" i="53"/>
  <c r="AA403" i="53"/>
  <c r="AH376" i="53"/>
  <c r="AT409" i="53"/>
  <c r="T414" i="53"/>
  <c r="AC360" i="53"/>
  <c r="AA379" i="53"/>
  <c r="AM406" i="53"/>
  <c r="R440" i="53"/>
  <c r="T410" i="53"/>
  <c r="T386" i="53"/>
  <c r="AI386" i="53"/>
  <c r="AE418" i="53"/>
  <c r="AA394" i="53"/>
  <c r="V442" i="53"/>
  <c r="AD385" i="53"/>
  <c r="AH442" i="53"/>
  <c r="S348" i="53"/>
  <c r="AC385" i="53"/>
  <c r="AT339" i="53"/>
  <c r="AJ343" i="53"/>
  <c r="AT387" i="53"/>
  <c r="AP416" i="53"/>
  <c r="AG428" i="53"/>
  <c r="T341" i="53"/>
  <c r="R356" i="53"/>
  <c r="AQ382" i="53"/>
  <c r="AM343" i="53"/>
  <c r="AG389" i="53"/>
  <c r="AN372" i="53"/>
  <c r="T356" i="53"/>
  <c r="W402" i="53"/>
  <c r="AC393" i="53"/>
  <c r="AQ431" i="53"/>
  <c r="AL372" i="53"/>
  <c r="AA410" i="53"/>
  <c r="AN380" i="53"/>
  <c r="W433" i="53"/>
  <c r="AA335" i="53"/>
  <c r="X345" i="53"/>
  <c r="AD360" i="53"/>
  <c r="Q356" i="53"/>
  <c r="AL380" i="53"/>
  <c r="Q348" i="53"/>
  <c r="AG442" i="53"/>
  <c r="AL343" i="53"/>
  <c r="V402" i="53"/>
  <c r="T348" i="53"/>
  <c r="AQ414" i="53"/>
  <c r="AA396" i="53"/>
  <c r="AJ442" i="53"/>
  <c r="AS345" i="53"/>
  <c r="T351" i="53"/>
  <c r="S383" i="53"/>
  <c r="AA386" i="53"/>
  <c r="AD424" i="53"/>
  <c r="AD398" i="53"/>
  <c r="AE398" i="53"/>
  <c r="W372" i="53"/>
  <c r="AD446" i="53"/>
  <c r="AN420" i="53"/>
  <c r="AI424" i="53"/>
  <c r="T424" i="53"/>
  <c r="W362" i="53"/>
  <c r="R421" i="53"/>
  <c r="AG399" i="53"/>
  <c r="X363" i="53"/>
  <c r="AE424" i="53"/>
  <c r="T438" i="53"/>
  <c r="AP435" i="53"/>
  <c r="AE433" i="53"/>
  <c r="V433" i="53"/>
  <c r="S451" i="53"/>
  <c r="AN345" i="53"/>
  <c r="AH386" i="53"/>
  <c r="R401" i="53"/>
  <c r="AH402" i="53"/>
  <c r="AI402" i="53"/>
  <c r="AQ376" i="53"/>
  <c r="AA369" i="53"/>
  <c r="AD419" i="53"/>
  <c r="AT450" i="53"/>
  <c r="AH338" i="53"/>
  <c r="AJ386" i="53"/>
  <c r="Q438" i="53"/>
  <c r="R438" i="53"/>
  <c r="AM333" i="53"/>
  <c r="AQ334" i="53"/>
  <c r="AH414" i="53"/>
  <c r="AG402" i="53"/>
  <c r="AJ414" i="53"/>
  <c r="AC405" i="53"/>
  <c r="X442" i="53"/>
  <c r="X339" i="53"/>
  <c r="AC395" i="53"/>
  <c r="AJ392" i="53"/>
  <c r="AL406" i="53"/>
  <c r="AJ368" i="53"/>
  <c r="AA437" i="53"/>
  <c r="R423" i="53"/>
  <c r="X436" i="53"/>
  <c r="AA454" i="53"/>
  <c r="AN364" i="53"/>
  <c r="R414" i="53"/>
  <c r="AE432" i="53"/>
  <c r="S430" i="53"/>
  <c r="R396" i="53"/>
  <c r="R430" i="53"/>
  <c r="AN441" i="53"/>
  <c r="AD432" i="53"/>
  <c r="S332" i="53"/>
  <c r="S414" i="53"/>
  <c r="AC387" i="53"/>
  <c r="X441" i="53"/>
  <c r="S396" i="53"/>
  <c r="AP387" i="53"/>
  <c r="AC388" i="53"/>
  <c r="R434" i="53"/>
  <c r="V441" i="53"/>
  <c r="Q396" i="53"/>
  <c r="T332" i="53"/>
  <c r="AJ335" i="53"/>
  <c r="AG376" i="53"/>
  <c r="AG396" i="53"/>
  <c r="AD388" i="53"/>
  <c r="AJ385" i="53"/>
  <c r="W436" i="53"/>
  <c r="T343" i="53"/>
  <c r="AE410" i="53"/>
  <c r="AP335" i="53"/>
  <c r="AI356" i="53"/>
  <c r="V425" i="53"/>
  <c r="AG356" i="53"/>
  <c r="AS380" i="53"/>
  <c r="Q399" i="53"/>
  <c r="T368" i="53"/>
  <c r="AT395" i="53"/>
  <c r="AT414" i="53"/>
  <c r="AE339" i="53"/>
  <c r="AG349" i="53"/>
  <c r="R368" i="53"/>
  <c r="AT333" i="53"/>
  <c r="S343" i="53"/>
  <c r="R343" i="53"/>
  <c r="AN444" i="53"/>
  <c r="AI333" i="53"/>
  <c r="W351" i="53"/>
  <c r="V354" i="53"/>
  <c r="AH349" i="53"/>
  <c r="Z424" i="53"/>
  <c r="X420" i="53"/>
  <c r="Q436" i="53"/>
  <c r="AA453" i="53"/>
  <c r="AT344" i="53"/>
  <c r="AN407" i="53"/>
  <c r="AH393" i="53"/>
  <c r="V351" i="53"/>
  <c r="T358" i="53"/>
  <c r="W354" i="53"/>
  <c r="AM410" i="53"/>
  <c r="AM407" i="53"/>
  <c r="W370" i="53"/>
  <c r="AT401" i="53"/>
  <c r="V427" i="53"/>
  <c r="X426" i="53"/>
  <c r="W420" i="53"/>
  <c r="AD339" i="53"/>
  <c r="AJ349" i="53"/>
  <c r="AA392" i="53"/>
  <c r="S334" i="53"/>
  <c r="X361" i="53"/>
  <c r="AN353" i="53"/>
  <c r="AQ344" i="53"/>
  <c r="R389" i="53"/>
  <c r="T367" i="53"/>
  <c r="AA371" i="53"/>
  <c r="AT416" i="53"/>
  <c r="W426" i="53"/>
  <c r="AE448" i="53"/>
  <c r="AH450" i="53"/>
  <c r="AA452" i="53"/>
  <c r="AC422" i="53"/>
  <c r="W333" i="53"/>
  <c r="X333" i="53"/>
  <c r="AS381" i="53"/>
  <c r="R334" i="53"/>
  <c r="V361" i="53"/>
  <c r="AL353" i="53"/>
  <c r="AD342" i="53"/>
  <c r="AD363" i="53"/>
  <c r="S367" i="53"/>
  <c r="AA374" i="53"/>
  <c r="AH405" i="53"/>
  <c r="AH383" i="53"/>
  <c r="V439" i="53"/>
  <c r="W427" i="53"/>
  <c r="AC448" i="53"/>
  <c r="AE425" i="53"/>
  <c r="AM447" i="53"/>
  <c r="AH400" i="53"/>
  <c r="AC419" i="53"/>
  <c r="V345" i="53"/>
  <c r="Q334" i="53"/>
  <c r="AC342" i="53"/>
  <c r="W359" i="53"/>
  <c r="AA355" i="53"/>
  <c r="AC363" i="53"/>
  <c r="AA357" i="53"/>
  <c r="W386" i="53"/>
  <c r="T399" i="53"/>
  <c r="Q367" i="53"/>
  <c r="AH396" i="53"/>
  <c r="AJ383" i="53"/>
  <c r="AT427" i="53"/>
  <c r="AC434" i="53"/>
  <c r="AE393" i="53"/>
  <c r="AD425" i="53"/>
  <c r="AP446" i="53"/>
  <c r="AL447" i="53"/>
  <c r="AT451" i="53"/>
  <c r="Z350" i="53"/>
  <c r="AQ366" i="53"/>
  <c r="V359" i="53"/>
  <c r="V386" i="53"/>
  <c r="S399" i="53"/>
  <c r="AG383" i="53"/>
  <c r="AL435" i="53"/>
  <c r="AM435" i="53"/>
  <c r="T423" i="53"/>
  <c r="X425" i="53"/>
  <c r="X340" i="53"/>
  <c r="R381" i="53"/>
  <c r="AE380" i="53"/>
  <c r="AQ394" i="53"/>
  <c r="AH438" i="53"/>
  <c r="AD403" i="53"/>
  <c r="AQ448" i="53"/>
  <c r="Z332" i="53"/>
  <c r="AH447" i="53"/>
  <c r="AI334" i="53"/>
  <c r="W340" i="53"/>
  <c r="R410" i="53"/>
  <c r="AH421" i="53"/>
  <c r="AM383" i="53"/>
  <c r="T413" i="53"/>
  <c r="Q335" i="53"/>
  <c r="X412" i="53"/>
  <c r="R428" i="53"/>
  <c r="AE403" i="53"/>
  <c r="AQ453" i="53"/>
  <c r="S449" i="53"/>
  <c r="AH334" i="53"/>
  <c r="AM359" i="53"/>
  <c r="Q401" i="53"/>
  <c r="AL366" i="53"/>
  <c r="AI421" i="53"/>
  <c r="AL383" i="53"/>
  <c r="T335" i="53"/>
  <c r="W412" i="53"/>
  <c r="Q428" i="53"/>
  <c r="AP430" i="53"/>
  <c r="AQ443" i="53"/>
  <c r="AM420" i="53"/>
  <c r="AD451" i="53"/>
  <c r="AG334" i="53"/>
  <c r="AL359" i="53"/>
  <c r="AA341" i="53"/>
  <c r="AQ357" i="53"/>
  <c r="AD358" i="53"/>
  <c r="AQ363" i="53"/>
  <c r="AN388" i="53"/>
  <c r="AN366" i="53"/>
  <c r="AC380" i="53"/>
  <c r="AT422" i="53"/>
  <c r="S335" i="53"/>
  <c r="AE449" i="53"/>
  <c r="AT419" i="53"/>
  <c r="AJ438" i="53"/>
  <c r="S402" i="53"/>
  <c r="T449" i="53"/>
  <c r="T333" i="53"/>
  <c r="AC358" i="53"/>
  <c r="AH365" i="53"/>
  <c r="AA384" i="53"/>
  <c r="AL388" i="53"/>
  <c r="AJ377" i="53"/>
  <c r="S410" i="53"/>
  <c r="AG438" i="53"/>
  <c r="R402" i="53"/>
  <c r="AQ452" i="53"/>
  <c r="AG447" i="53"/>
  <c r="AP342" i="53"/>
  <c r="AS346" i="53"/>
  <c r="AA415" i="53"/>
  <c r="T401" i="53"/>
  <c r="AI377" i="53"/>
  <c r="AJ399" i="53"/>
  <c r="AJ421" i="53"/>
  <c r="AM375" i="53"/>
  <c r="Q402" i="53"/>
  <c r="AJ444" i="53"/>
  <c r="R449" i="53"/>
  <c r="W347" i="53"/>
  <c r="V397" i="53"/>
  <c r="AI399" i="53"/>
  <c r="AL375" i="53"/>
  <c r="AC449" i="53"/>
  <c r="AI444" i="53"/>
  <c r="AH346" i="53"/>
  <c r="R369" i="53"/>
  <c r="AL345" i="53"/>
  <c r="AE365" i="53"/>
  <c r="AC366" i="53"/>
  <c r="AL412" i="53"/>
  <c r="T445" i="53"/>
  <c r="AQ447" i="53"/>
  <c r="T451" i="53"/>
  <c r="AS338" i="53"/>
  <c r="AG346" i="53"/>
  <c r="AE371" i="53"/>
  <c r="AA368" i="53"/>
  <c r="T391" i="53"/>
  <c r="X404" i="53"/>
  <c r="AD416" i="53"/>
  <c r="AT424" i="53"/>
  <c r="AJ429" i="53"/>
  <c r="R445" i="53"/>
  <c r="AT342" i="53"/>
  <c r="AP336" i="53"/>
  <c r="AC371" i="53"/>
  <c r="X364" i="53"/>
  <c r="S391" i="53"/>
  <c r="V404" i="53"/>
  <c r="X411" i="53"/>
  <c r="AI429" i="53"/>
  <c r="AA445" i="53"/>
  <c r="AD334" i="53"/>
  <c r="R362" i="53"/>
  <c r="AI363" i="53"/>
  <c r="Q391" i="53"/>
  <c r="R422" i="53"/>
  <c r="W411" i="53"/>
  <c r="AH429" i="53"/>
  <c r="AJ445" i="53"/>
  <c r="AC334" i="53"/>
  <c r="T422" i="53"/>
  <c r="AE366" i="53"/>
  <c r="AA439" i="53"/>
  <c r="AJ428" i="53"/>
  <c r="AQ347" i="53"/>
  <c r="S422" i="53"/>
  <c r="AA421" i="53"/>
  <c r="AE416" i="53"/>
  <c r="AM439" i="53"/>
  <c r="AI428" i="53"/>
  <c r="R451" i="53"/>
  <c r="AT397" i="53"/>
  <c r="X381" i="53"/>
  <c r="AQ413" i="53"/>
  <c r="AL439" i="53"/>
  <c r="T436" i="53"/>
  <c r="S445" i="53"/>
  <c r="Z342" i="53"/>
  <c r="AL438" i="53"/>
  <c r="AN438" i="53"/>
  <c r="AA363" i="53"/>
  <c r="W335" i="53"/>
  <c r="AJ341" i="53"/>
  <c r="AD401" i="53"/>
  <c r="AG395" i="53"/>
  <c r="AI413" i="53"/>
  <c r="AJ375" i="53"/>
  <c r="AH391" i="53"/>
  <c r="AQ427" i="53"/>
  <c r="S338" i="53"/>
  <c r="S450" i="53"/>
  <c r="AS432" i="53"/>
  <c r="AT432" i="53"/>
  <c r="AN332" i="53"/>
  <c r="AL332" i="53"/>
  <c r="AM332" i="53"/>
  <c r="R376" i="53"/>
  <c r="AI378" i="53"/>
  <c r="AH375" i="53"/>
  <c r="AQ410" i="53"/>
  <c r="AT334" i="53"/>
  <c r="AM351" i="53"/>
  <c r="V335" i="53"/>
  <c r="AH341" i="53"/>
  <c r="X380" i="53"/>
  <c r="T383" i="53"/>
  <c r="AD377" i="53"/>
  <c r="AQ402" i="53"/>
  <c r="AT406" i="53"/>
  <c r="AH422" i="53"/>
  <c r="AA366" i="53"/>
  <c r="AN411" i="53"/>
  <c r="AQ398" i="53"/>
  <c r="AJ405" i="53"/>
  <c r="AJ422" i="53"/>
  <c r="AI375" i="53"/>
  <c r="AJ391" i="53"/>
  <c r="AL402" i="53"/>
  <c r="R338" i="53"/>
  <c r="T430" i="53"/>
  <c r="AI450" i="53"/>
  <c r="AH453" i="53"/>
  <c r="AS394" i="53"/>
  <c r="AJ424" i="53"/>
  <c r="Q424" i="53"/>
  <c r="AN333" i="53"/>
  <c r="V438" i="53"/>
  <c r="W438" i="53"/>
  <c r="X438" i="53"/>
  <c r="AE439" i="53"/>
  <c r="AC439" i="53"/>
  <c r="AD439" i="53"/>
  <c r="X440" i="53"/>
  <c r="V440" i="53"/>
  <c r="W440" i="53"/>
  <c r="AT439" i="53"/>
  <c r="AS439" i="53"/>
  <c r="AG405" i="53"/>
  <c r="AI359" i="53"/>
  <c r="V380" i="53"/>
  <c r="AJ367" i="53"/>
  <c r="AC377" i="53"/>
  <c r="W374" i="53"/>
  <c r="AM411" i="53"/>
  <c r="AI391" i="53"/>
  <c r="Q338" i="53"/>
  <c r="AC400" i="53"/>
  <c r="AS447" i="53"/>
  <c r="AT447" i="53"/>
  <c r="AI446" i="53"/>
  <c r="AJ446" i="53"/>
  <c r="AH446" i="53"/>
  <c r="AL347" i="53"/>
  <c r="T354" i="53"/>
  <c r="AA349" i="53"/>
  <c r="AG338" i="53"/>
  <c r="Q383" i="53"/>
  <c r="AI367" i="53"/>
  <c r="W378" i="53"/>
  <c r="AA390" i="53"/>
  <c r="AE369" i="53"/>
  <c r="X374" i="53"/>
  <c r="AG408" i="53"/>
  <c r="AQ408" i="53"/>
  <c r="AN417" i="53"/>
  <c r="AQ386" i="53"/>
  <c r="AD422" i="53"/>
  <c r="AM431" i="53"/>
  <c r="AN449" i="53"/>
  <c r="AE405" i="53"/>
  <c r="T428" i="53"/>
  <c r="AH407" i="53"/>
  <c r="X449" i="53"/>
  <c r="AJ450" i="53"/>
  <c r="AJ453" i="53"/>
  <c r="AM438" i="53"/>
  <c r="AG424" i="53"/>
  <c r="AE400" i="53"/>
  <c r="Q440" i="53"/>
  <c r="T440" i="53"/>
  <c r="T447" i="53"/>
  <c r="Q447" i="53"/>
  <c r="R447" i="53"/>
  <c r="S447" i="53"/>
  <c r="AJ448" i="53"/>
  <c r="AI448" i="53"/>
  <c r="AG448" i="53"/>
  <c r="AH448" i="53"/>
  <c r="V370" i="53"/>
  <c r="AL351" i="53"/>
  <c r="R354" i="53"/>
  <c r="AH359" i="53"/>
  <c r="X388" i="53"/>
  <c r="AG367" i="53"/>
  <c r="V378" i="53"/>
  <c r="AD369" i="53"/>
  <c r="AQ396" i="53"/>
  <c r="AI422" i="53"/>
  <c r="AM417" i="53"/>
  <c r="V363" i="53"/>
  <c r="T394" i="53"/>
  <c r="S420" i="53"/>
  <c r="Q415" i="53"/>
  <c r="AN433" i="53"/>
  <c r="AL449" i="53"/>
  <c r="AJ407" i="53"/>
  <c r="V449" i="53"/>
  <c r="AA435" i="53"/>
  <c r="AH452" i="53"/>
  <c r="AN431" i="53"/>
  <c r="AQ400" i="53"/>
  <c r="R424" i="53"/>
  <c r="R333" i="53"/>
  <c r="Q333" i="53"/>
  <c r="W339" i="53"/>
  <c r="AL410" i="53"/>
  <c r="Q354" i="53"/>
  <c r="AM347" i="53"/>
  <c r="AJ359" i="53"/>
  <c r="V388" i="53"/>
  <c r="AQ379" i="53"/>
  <c r="R436" i="53"/>
  <c r="S444" i="53"/>
  <c r="AI407" i="53"/>
  <c r="X448" i="53"/>
  <c r="V448" i="53"/>
  <c r="W448" i="53"/>
  <c r="AS448" i="53"/>
  <c r="AT448" i="53"/>
  <c r="AE447" i="53"/>
  <c r="AC447" i="53"/>
  <c r="AD447" i="53"/>
  <c r="AH333" i="53"/>
  <c r="AG333" i="53"/>
  <c r="AI434" i="53"/>
  <c r="AJ434" i="53"/>
  <c r="AG449" i="53"/>
  <c r="AH449" i="53"/>
  <c r="AI449" i="53"/>
  <c r="AJ449" i="53"/>
  <c r="W395" i="53"/>
  <c r="X395" i="53"/>
  <c r="V395" i="53"/>
  <c r="AH387" i="53"/>
  <c r="AI387" i="53"/>
  <c r="AJ387" i="53"/>
  <c r="AG387" i="53"/>
  <c r="AG380" i="53"/>
  <c r="AI380" i="53"/>
  <c r="AJ380" i="53"/>
  <c r="AH380" i="53"/>
  <c r="AM360" i="53"/>
  <c r="AL360" i="53"/>
  <c r="AL356" i="53"/>
  <c r="AN356" i="53"/>
  <c r="AM352" i="53"/>
  <c r="AL352" i="53"/>
  <c r="AT420" i="53"/>
  <c r="AS420" i="53"/>
  <c r="AI342" i="53"/>
  <c r="AH342" i="53"/>
  <c r="AG342" i="53"/>
  <c r="AL334" i="53"/>
  <c r="AM334" i="53"/>
  <c r="AN334" i="53"/>
  <c r="S427" i="53"/>
  <c r="T427" i="53"/>
  <c r="Q427" i="53"/>
  <c r="R427" i="53"/>
  <c r="Z389" i="53"/>
  <c r="AA389" i="53"/>
  <c r="AE444" i="53"/>
  <c r="AD444" i="53"/>
  <c r="AC444" i="53"/>
  <c r="AS423" i="53"/>
  <c r="AT423" i="53"/>
  <c r="AL385" i="53"/>
  <c r="AM385" i="53"/>
  <c r="AN385" i="53"/>
  <c r="AS429" i="53"/>
  <c r="AT429" i="53"/>
  <c r="AT388" i="53"/>
  <c r="AS388" i="53"/>
  <c r="Q425" i="53"/>
  <c r="R425" i="53"/>
  <c r="S425" i="53"/>
  <c r="T425" i="53"/>
  <c r="AH440" i="53"/>
  <c r="AI440" i="53"/>
  <c r="AJ440" i="53"/>
  <c r="AG440" i="53"/>
  <c r="W332" i="53"/>
  <c r="X332" i="53"/>
  <c r="V332" i="53"/>
  <c r="AC454" i="53"/>
  <c r="AE454" i="53"/>
  <c r="AL430" i="53"/>
  <c r="AN430" i="53"/>
  <c r="AM430" i="53"/>
  <c r="V400" i="53"/>
  <c r="W400" i="53"/>
  <c r="X400" i="53"/>
  <c r="AS384" i="53"/>
  <c r="AT384" i="53"/>
  <c r="AQ340" i="53"/>
  <c r="AP340" i="53"/>
  <c r="X437" i="53"/>
  <c r="V437" i="53"/>
  <c r="W437" i="53"/>
  <c r="AQ399" i="53"/>
  <c r="AP399" i="53"/>
  <c r="AP365" i="53"/>
  <c r="AQ365" i="53"/>
  <c r="T359" i="53"/>
  <c r="S359" i="53"/>
  <c r="R359" i="53"/>
  <c r="Z346" i="53"/>
  <c r="AA346" i="53"/>
  <c r="Q371" i="53"/>
  <c r="S371" i="53"/>
  <c r="T371" i="53"/>
  <c r="R371" i="53"/>
  <c r="AA358" i="53"/>
  <c r="Z358" i="53"/>
  <c r="AN367" i="53"/>
  <c r="AL367" i="53"/>
  <c r="AT347" i="53"/>
  <c r="AS347" i="53"/>
  <c r="AC412" i="53"/>
  <c r="AE412" i="53"/>
  <c r="AD412" i="53"/>
  <c r="AS370" i="53"/>
  <c r="AT370" i="53"/>
  <c r="AL357" i="53"/>
  <c r="AM357" i="53"/>
  <c r="AN357" i="53"/>
  <c r="AP354" i="53"/>
  <c r="AQ354" i="53"/>
  <c r="AE411" i="53"/>
  <c r="AD411" i="53"/>
  <c r="AC411" i="53"/>
  <c r="AJ373" i="53"/>
  <c r="AI373" i="53"/>
  <c r="AD353" i="53"/>
  <c r="AC353" i="53"/>
  <c r="AE353" i="53"/>
  <c r="Z417" i="53"/>
  <c r="AA417" i="53"/>
  <c r="AP381" i="53"/>
  <c r="AQ381" i="53"/>
  <c r="AP349" i="53"/>
  <c r="AQ349" i="53"/>
  <c r="AI416" i="53"/>
  <c r="AJ416" i="53"/>
  <c r="AG416" i="53"/>
  <c r="AH416" i="53"/>
  <c r="AS355" i="53"/>
  <c r="AT355" i="53"/>
  <c r="Z426" i="53"/>
  <c r="AA426" i="53"/>
  <c r="V414" i="53"/>
  <c r="W414" i="53"/>
  <c r="X414" i="53"/>
  <c r="AP343" i="53"/>
  <c r="AQ343" i="53"/>
  <c r="AN352" i="53"/>
  <c r="AM335" i="53"/>
  <c r="AA352" i="53"/>
  <c r="T350" i="53"/>
  <c r="AN348" i="53"/>
  <c r="AM386" i="53"/>
  <c r="V364" i="53"/>
  <c r="AH373" i="53"/>
  <c r="AC389" i="53"/>
  <c r="AD389" i="53"/>
  <c r="AA414" i="53"/>
  <c r="W375" i="53"/>
  <c r="AA406" i="53"/>
  <c r="S421" i="53"/>
  <c r="R386" i="53"/>
  <c r="X391" i="53"/>
  <c r="AI400" i="53"/>
  <c r="V443" i="53"/>
  <c r="T415" i="53"/>
  <c r="AT374" i="53"/>
  <c r="AS425" i="53"/>
  <c r="R450" i="53"/>
  <c r="AE451" i="53"/>
  <c r="S453" i="53"/>
  <c r="AI452" i="53"/>
  <c r="AQ433" i="53"/>
  <c r="AP433" i="53"/>
  <c r="AD452" i="53"/>
  <c r="AE452" i="53"/>
  <c r="AC452" i="53"/>
  <c r="AL436" i="53"/>
  <c r="AM436" i="53"/>
  <c r="AN436" i="53"/>
  <c r="V344" i="53"/>
  <c r="W344" i="53"/>
  <c r="X344" i="53"/>
  <c r="AE443" i="53"/>
  <c r="AC443" i="53"/>
  <c r="AD443" i="53"/>
  <c r="Z450" i="53"/>
  <c r="AA450" i="53"/>
  <c r="T434" i="53"/>
  <c r="S434" i="53"/>
  <c r="S419" i="53"/>
  <c r="Q419" i="53"/>
  <c r="R419" i="53"/>
  <c r="T419" i="53"/>
  <c r="AM336" i="53"/>
  <c r="AL336" i="53"/>
  <c r="Z428" i="53"/>
  <c r="AA428" i="53"/>
  <c r="AT449" i="53"/>
  <c r="AS449" i="53"/>
  <c r="AQ425" i="53"/>
  <c r="AP425" i="53"/>
  <c r="AL414" i="53"/>
  <c r="AM414" i="53"/>
  <c r="AN414" i="53"/>
  <c r="AP395" i="53"/>
  <c r="AQ395" i="53"/>
  <c r="X387" i="53"/>
  <c r="W387" i="53"/>
  <c r="V387" i="53"/>
  <c r="AM376" i="53"/>
  <c r="AN376" i="53"/>
  <c r="AL376" i="53"/>
  <c r="AD372" i="53"/>
  <c r="AE372" i="53"/>
  <c r="AC372" i="53"/>
  <c r="AS368" i="53"/>
  <c r="AT368" i="53"/>
  <c r="AP364" i="53"/>
  <c r="AQ364" i="53"/>
  <c r="Z360" i="53"/>
  <c r="AA360" i="53"/>
  <c r="V356" i="53"/>
  <c r="X356" i="53"/>
  <c r="W356" i="53"/>
  <c r="W352" i="53"/>
  <c r="V352" i="53"/>
  <c r="V348" i="53"/>
  <c r="X348" i="53"/>
  <c r="W348" i="53"/>
  <c r="AC343" i="53"/>
  <c r="AD343" i="53"/>
  <c r="AE343" i="53"/>
  <c r="AP432" i="53"/>
  <c r="AQ432" i="53"/>
  <c r="AS386" i="53"/>
  <c r="AT386" i="53"/>
  <c r="AT453" i="53"/>
  <c r="AS453" i="53"/>
  <c r="X398" i="53"/>
  <c r="V398" i="53"/>
  <c r="W398" i="53"/>
  <c r="AT393" i="53"/>
  <c r="AS393" i="53"/>
  <c r="AS437" i="53"/>
  <c r="AT437" i="53"/>
  <c r="X445" i="53"/>
  <c r="W445" i="53"/>
  <c r="V445" i="53"/>
  <c r="V385" i="53"/>
  <c r="W385" i="53"/>
  <c r="X385" i="53"/>
  <c r="X341" i="53"/>
  <c r="W341" i="53"/>
  <c r="V341" i="53"/>
  <c r="AG388" i="53"/>
  <c r="AI388" i="53"/>
  <c r="AJ388" i="53"/>
  <c r="AH388" i="53"/>
  <c r="AP426" i="53"/>
  <c r="AQ426" i="53"/>
  <c r="AS332" i="53"/>
  <c r="AT332" i="53"/>
  <c r="AN454" i="53"/>
  <c r="AL454" i="53"/>
  <c r="AM454" i="53"/>
  <c r="V422" i="53"/>
  <c r="W422" i="53"/>
  <c r="X422" i="53"/>
  <c r="S392" i="53"/>
  <c r="Q392" i="53"/>
  <c r="X384" i="53"/>
  <c r="V384" i="53"/>
  <c r="W384" i="53"/>
  <c r="AC340" i="53"/>
  <c r="AE340" i="53"/>
  <c r="AD340" i="53"/>
  <c r="AS444" i="53"/>
  <c r="AT444" i="53"/>
  <c r="AC399" i="53"/>
  <c r="AE399" i="53"/>
  <c r="AD399" i="53"/>
  <c r="Q397" i="53"/>
  <c r="S397" i="53"/>
  <c r="T397" i="53"/>
  <c r="R397" i="53"/>
  <c r="AL337" i="53"/>
  <c r="AM337" i="53"/>
  <c r="W365" i="53"/>
  <c r="X365" i="53"/>
  <c r="AE359" i="53"/>
  <c r="AC359" i="53"/>
  <c r="AD359" i="53"/>
  <c r="AC413" i="53"/>
  <c r="AE413" i="53"/>
  <c r="AD413" i="53"/>
  <c r="AS371" i="53"/>
  <c r="AT371" i="53"/>
  <c r="V358" i="53"/>
  <c r="X358" i="53"/>
  <c r="W358" i="53"/>
  <c r="W403" i="53"/>
  <c r="V403" i="53"/>
  <c r="AG361" i="53"/>
  <c r="AH361" i="53"/>
  <c r="AI361" i="53"/>
  <c r="AJ361" i="53"/>
  <c r="AA367" i="53"/>
  <c r="Z367" i="53"/>
  <c r="Z408" i="53"/>
  <c r="AA408" i="53"/>
  <c r="AG366" i="53"/>
  <c r="AH366" i="53"/>
  <c r="AI366" i="53"/>
  <c r="AJ366" i="53"/>
  <c r="AC347" i="53"/>
  <c r="AD347" i="53"/>
  <c r="AE347" i="53"/>
  <c r="AA412" i="53"/>
  <c r="Z412" i="53"/>
  <c r="AG357" i="53"/>
  <c r="AI357" i="53"/>
  <c r="S411" i="53"/>
  <c r="T411" i="53"/>
  <c r="Q411" i="53"/>
  <c r="R411" i="53"/>
  <c r="S405" i="53"/>
  <c r="T405" i="53"/>
  <c r="AL369" i="53"/>
  <c r="AM369" i="53"/>
  <c r="AN369" i="53"/>
  <c r="AL363" i="53"/>
  <c r="AM363" i="53"/>
  <c r="AN363" i="53"/>
  <c r="AI350" i="53"/>
  <c r="AH350" i="53"/>
  <c r="AJ350" i="53"/>
  <c r="Q353" i="53"/>
  <c r="R353" i="53"/>
  <c r="S353" i="53"/>
  <c r="T353" i="53"/>
  <c r="Z381" i="53"/>
  <c r="AA381" i="53"/>
  <c r="AT375" i="53"/>
  <c r="AS375" i="53"/>
  <c r="AC349" i="53"/>
  <c r="AD349" i="53"/>
  <c r="AE349" i="53"/>
  <c r="Q416" i="53"/>
  <c r="S416" i="53"/>
  <c r="T416" i="53"/>
  <c r="R416" i="53"/>
  <c r="AG379" i="53"/>
  <c r="AH379" i="53"/>
  <c r="AI379" i="53"/>
  <c r="AJ379" i="53"/>
  <c r="AN443" i="53"/>
  <c r="AL443" i="53"/>
  <c r="AM443" i="53"/>
  <c r="AI419" i="53"/>
  <c r="AG419" i="53"/>
  <c r="AH419" i="53"/>
  <c r="AJ419" i="53"/>
  <c r="AM418" i="53"/>
  <c r="AL418" i="53"/>
  <c r="R406" i="53"/>
  <c r="Q406" i="53"/>
  <c r="T406" i="53"/>
  <c r="AQ372" i="53"/>
  <c r="AP372" i="53"/>
  <c r="V407" i="53"/>
  <c r="W407" i="53"/>
  <c r="X407" i="53"/>
  <c r="AN360" i="53"/>
  <c r="AL335" i="53"/>
  <c r="R350" i="53"/>
  <c r="AM348" i="53"/>
  <c r="AL386" i="53"/>
  <c r="AM356" i="53"/>
  <c r="AS361" i="53"/>
  <c r="AG373" i="53"/>
  <c r="AL398" i="53"/>
  <c r="AM367" i="53"/>
  <c r="R420" i="53"/>
  <c r="X375" i="53"/>
  <c r="AQ419" i="53"/>
  <c r="AS372" i="53"/>
  <c r="S415" i="53"/>
  <c r="AN426" i="53"/>
  <c r="R442" i="53"/>
  <c r="T450" i="53"/>
  <c r="T452" i="53"/>
  <c r="AM434" i="53"/>
  <c r="AN434" i="53"/>
  <c r="AL434" i="53"/>
  <c r="AT452" i="53"/>
  <c r="AS452" i="53"/>
  <c r="Z436" i="53"/>
  <c r="AA436" i="53"/>
  <c r="AG345" i="53"/>
  <c r="AH345" i="53"/>
  <c r="AI345" i="53"/>
  <c r="AJ345" i="53"/>
  <c r="AH390" i="53"/>
  <c r="AI390" i="53"/>
  <c r="AJ390" i="53"/>
  <c r="AG390" i="53"/>
  <c r="AH451" i="53"/>
  <c r="AI451" i="53"/>
  <c r="AG451" i="53"/>
  <c r="AP397" i="53"/>
  <c r="AQ397" i="53"/>
  <c r="AG441" i="53"/>
  <c r="AH441" i="53"/>
  <c r="AI441" i="53"/>
  <c r="AJ441" i="53"/>
  <c r="AL450" i="53"/>
  <c r="AN450" i="53"/>
  <c r="AM450" i="53"/>
  <c r="AL396" i="53"/>
  <c r="AM396" i="53"/>
  <c r="AN396" i="53"/>
  <c r="X429" i="53"/>
  <c r="V429" i="53"/>
  <c r="W429" i="53"/>
  <c r="AG418" i="53"/>
  <c r="AI418" i="53"/>
  <c r="AJ418" i="53"/>
  <c r="AT402" i="53"/>
  <c r="AS402" i="53"/>
  <c r="AP380" i="53"/>
  <c r="AQ380" i="53"/>
  <c r="Q372" i="53"/>
  <c r="S372" i="53"/>
  <c r="T372" i="53"/>
  <c r="R372" i="53"/>
  <c r="AG368" i="53"/>
  <c r="AI368" i="53"/>
  <c r="AG360" i="53"/>
  <c r="AH360" i="53"/>
  <c r="AJ360" i="53"/>
  <c r="AI360" i="53"/>
  <c r="AS356" i="53"/>
  <c r="AT356" i="53"/>
  <c r="AS352" i="53"/>
  <c r="AT352" i="53"/>
  <c r="AS348" i="53"/>
  <c r="AT348" i="53"/>
  <c r="Z343" i="53"/>
  <c r="AA343" i="53"/>
  <c r="AP445" i="53"/>
  <c r="AQ445" i="53"/>
  <c r="W432" i="53"/>
  <c r="X432" i="53"/>
  <c r="V432" i="53"/>
  <c r="AM394" i="53"/>
  <c r="AL394" i="53"/>
  <c r="S342" i="53"/>
  <c r="R342" i="53"/>
  <c r="T342" i="53"/>
  <c r="V334" i="53"/>
  <c r="W334" i="53"/>
  <c r="X334" i="53"/>
  <c r="AE453" i="53"/>
  <c r="AC453" i="53"/>
  <c r="AD453" i="53"/>
  <c r="AP391" i="53"/>
  <c r="AQ391" i="53"/>
  <c r="AD428" i="53"/>
  <c r="AE428" i="53"/>
  <c r="AC428" i="53"/>
  <c r="AJ389" i="53"/>
  <c r="AI389" i="53"/>
  <c r="AP418" i="53"/>
  <c r="AQ418" i="53"/>
  <c r="AP439" i="53"/>
  <c r="AQ439" i="53"/>
  <c r="AG445" i="53"/>
  <c r="AI445" i="53"/>
  <c r="V423" i="53"/>
  <c r="X423" i="53"/>
  <c r="AA393" i="53"/>
  <c r="Z393" i="53"/>
  <c r="AN339" i="53"/>
  <c r="AM339" i="53"/>
  <c r="AL339" i="53"/>
  <c r="AL338" i="53"/>
  <c r="AN338" i="53"/>
  <c r="X435" i="53"/>
  <c r="V435" i="53"/>
  <c r="W435" i="53"/>
  <c r="AD333" i="53"/>
  <c r="AE333" i="53"/>
  <c r="AC333" i="53"/>
  <c r="AL422" i="53"/>
  <c r="AM422" i="53"/>
  <c r="AN422" i="53"/>
  <c r="AL340" i="53"/>
  <c r="AN340" i="53"/>
  <c r="AM340" i="53"/>
  <c r="Z449" i="53"/>
  <c r="AA449" i="53"/>
  <c r="AD383" i="53"/>
  <c r="AE383" i="53"/>
  <c r="AC383" i="53"/>
  <c r="S337" i="53"/>
  <c r="T337" i="53"/>
  <c r="Q337" i="53"/>
  <c r="R337" i="53"/>
  <c r="AS378" i="53"/>
  <c r="AT378" i="53"/>
  <c r="AM365" i="53"/>
  <c r="AN365" i="53"/>
  <c r="AS359" i="53"/>
  <c r="AT359" i="53"/>
  <c r="AL413" i="53"/>
  <c r="AN413" i="53"/>
  <c r="AM413" i="53"/>
  <c r="V371" i="53"/>
  <c r="W371" i="53"/>
  <c r="X371" i="53"/>
  <c r="AS403" i="53"/>
  <c r="AT403" i="53"/>
  <c r="AQ361" i="53"/>
  <c r="AP361" i="53"/>
  <c r="AT367" i="53"/>
  <c r="AS367" i="53"/>
  <c r="V408" i="53"/>
  <c r="W408" i="53"/>
  <c r="X408" i="53"/>
  <c r="AT366" i="53"/>
  <c r="AS366" i="53"/>
  <c r="S347" i="53"/>
  <c r="T347" i="53"/>
  <c r="R347" i="53"/>
  <c r="Q347" i="53"/>
  <c r="AP412" i="53"/>
  <c r="AQ412" i="53"/>
  <c r="AE370" i="53"/>
  <c r="AC370" i="53"/>
  <c r="AD370" i="53"/>
  <c r="Q357" i="53"/>
  <c r="S357" i="53"/>
  <c r="Z351" i="53"/>
  <c r="AA351" i="53"/>
  <c r="AS405" i="53"/>
  <c r="AT405" i="53"/>
  <c r="AT373" i="53"/>
  <c r="AS373" i="53"/>
  <c r="Z353" i="53"/>
  <c r="AA353" i="53"/>
  <c r="AT417" i="53"/>
  <c r="AS417" i="53"/>
  <c r="Z404" i="53"/>
  <c r="AA404" i="53"/>
  <c r="AC375" i="53"/>
  <c r="AD375" i="53"/>
  <c r="AE375" i="53"/>
  <c r="Q349" i="53"/>
  <c r="S349" i="53"/>
  <c r="AG374" i="53"/>
  <c r="AI374" i="53"/>
  <c r="AJ374" i="53"/>
  <c r="AH374" i="53"/>
  <c r="AC421" i="53"/>
  <c r="AD421" i="53"/>
  <c r="AE421" i="53"/>
  <c r="AA345" i="53"/>
  <c r="Z345" i="53"/>
  <c r="AL451" i="53"/>
  <c r="AN451" i="53"/>
  <c r="AP434" i="53"/>
  <c r="AQ434" i="53"/>
  <c r="AP450" i="53"/>
  <c r="AQ450" i="53"/>
  <c r="Q336" i="53"/>
  <c r="S336" i="53"/>
  <c r="T336" i="53"/>
  <c r="R336" i="53"/>
  <c r="S443" i="53"/>
  <c r="Q443" i="53"/>
  <c r="R443" i="53"/>
  <c r="T443" i="53"/>
  <c r="AG425" i="53"/>
  <c r="AH425" i="53"/>
  <c r="AI425" i="53"/>
  <c r="AJ425" i="53"/>
  <c r="AT337" i="53"/>
  <c r="S351" i="53"/>
  <c r="AA376" i="53"/>
  <c r="AA382" i="53"/>
  <c r="AD418" i="53"/>
  <c r="X396" i="53"/>
  <c r="T420" i="53"/>
  <c r="AA427" i="53"/>
  <c r="AE404" i="53"/>
  <c r="T444" i="53"/>
  <c r="AH434" i="53"/>
  <c r="AM426" i="53"/>
  <c r="R453" i="53"/>
  <c r="AI453" i="53"/>
  <c r="T453" i="53"/>
  <c r="AJ452" i="53"/>
  <c r="Z397" i="53"/>
  <c r="AA397" i="53"/>
  <c r="V428" i="53"/>
  <c r="W428" i="53"/>
  <c r="X428" i="53"/>
  <c r="AE442" i="53"/>
  <c r="AD442" i="53"/>
  <c r="Z434" i="53"/>
  <c r="AA434" i="53"/>
  <c r="AG336" i="53"/>
  <c r="AH336" i="53"/>
  <c r="AJ336" i="53"/>
  <c r="AI336" i="53"/>
  <c r="AE368" i="53"/>
  <c r="AC368" i="53"/>
  <c r="AD368" i="53"/>
  <c r="Z433" i="53"/>
  <c r="AA433" i="53"/>
  <c r="Q418" i="53"/>
  <c r="S418" i="53"/>
  <c r="T418" i="53"/>
  <c r="AG410" i="53"/>
  <c r="AI410" i="53"/>
  <c r="AJ410" i="53"/>
  <c r="AH410" i="53"/>
  <c r="AA395" i="53"/>
  <c r="Z395" i="53"/>
  <c r="Z387" i="53"/>
  <c r="AA387" i="53"/>
  <c r="Q380" i="53"/>
  <c r="R380" i="53"/>
  <c r="S380" i="53"/>
  <c r="T380" i="53"/>
  <c r="V376" i="53"/>
  <c r="W376" i="53"/>
  <c r="X376" i="53"/>
  <c r="AP368" i="53"/>
  <c r="AQ368" i="53"/>
  <c r="AD364" i="53"/>
  <c r="AC364" i="53"/>
  <c r="AE364" i="53"/>
  <c r="V360" i="53"/>
  <c r="W360" i="53"/>
  <c r="X360" i="53"/>
  <c r="AG352" i="53"/>
  <c r="AH352" i="53"/>
  <c r="AJ352" i="53"/>
  <c r="AI352" i="53"/>
  <c r="AH343" i="53"/>
  <c r="AI343" i="53"/>
  <c r="AD335" i="53"/>
  <c r="AC335" i="53"/>
  <c r="AG432" i="53"/>
  <c r="AH432" i="53"/>
  <c r="AI432" i="53"/>
  <c r="AJ432" i="53"/>
  <c r="AC391" i="53"/>
  <c r="AD391" i="53"/>
  <c r="AE391" i="53"/>
  <c r="AM389" i="53"/>
  <c r="AN389" i="53"/>
  <c r="AL389" i="53"/>
  <c r="AS431" i="53"/>
  <c r="AT431" i="53"/>
  <c r="AN401" i="53"/>
  <c r="AL401" i="53"/>
  <c r="AM401" i="53"/>
  <c r="AQ393" i="53"/>
  <c r="AP393" i="53"/>
  <c r="AC341" i="53"/>
  <c r="AE341" i="53"/>
  <c r="AD341" i="53"/>
  <c r="AC429" i="53"/>
  <c r="AD429" i="53"/>
  <c r="AE429" i="53"/>
  <c r="R339" i="53"/>
  <c r="Q339" i="53"/>
  <c r="T339" i="53"/>
  <c r="AH435" i="53"/>
  <c r="AI435" i="53"/>
  <c r="AJ435" i="53"/>
  <c r="AG435" i="53"/>
  <c r="Q388" i="53"/>
  <c r="R388" i="53"/>
  <c r="T388" i="53"/>
  <c r="S388" i="53"/>
  <c r="AS436" i="53"/>
  <c r="AT436" i="53"/>
  <c r="AS445" i="53"/>
  <c r="AT445" i="53"/>
  <c r="Q454" i="53"/>
  <c r="R454" i="53"/>
  <c r="T454" i="53"/>
  <c r="S454" i="53"/>
  <c r="X392" i="53"/>
  <c r="V392" i="53"/>
  <c r="W392" i="53"/>
  <c r="AD384" i="53"/>
  <c r="AE384" i="53"/>
  <c r="AC384" i="53"/>
  <c r="AA340" i="53"/>
  <c r="Z340" i="53"/>
  <c r="AM399" i="53"/>
  <c r="AN399" i="53"/>
  <c r="AL399" i="53"/>
  <c r="Z383" i="53"/>
  <c r="AA383" i="53"/>
  <c r="AC390" i="53"/>
  <c r="AE390" i="53"/>
  <c r="Z337" i="53"/>
  <c r="AA337" i="53"/>
  <c r="AS407" i="53"/>
  <c r="AT407" i="53"/>
  <c r="AA378" i="53"/>
  <c r="Z378" i="53"/>
  <c r="AP359" i="53"/>
  <c r="AQ359" i="53"/>
  <c r="AL377" i="53"/>
  <c r="AM377" i="53"/>
  <c r="AN377" i="53"/>
  <c r="AI358" i="53"/>
  <c r="AG358" i="53"/>
  <c r="AJ358" i="53"/>
  <c r="AH358" i="53"/>
  <c r="AG403" i="53"/>
  <c r="AI403" i="53"/>
  <c r="AJ403" i="53"/>
  <c r="AH403" i="53"/>
  <c r="Q361" i="53"/>
  <c r="S361" i="53"/>
  <c r="T361" i="53"/>
  <c r="R361" i="53"/>
  <c r="AP409" i="53"/>
  <c r="AQ409" i="53"/>
  <c r="V367" i="53"/>
  <c r="W367" i="53"/>
  <c r="X367" i="53"/>
  <c r="T408" i="53"/>
  <c r="Q408" i="53"/>
  <c r="R408" i="53"/>
  <c r="S408" i="53"/>
  <c r="AQ370" i="53"/>
  <c r="AP370" i="53"/>
  <c r="AS357" i="53"/>
  <c r="AT357" i="53"/>
  <c r="AT351" i="53"/>
  <c r="AS351" i="53"/>
  <c r="Z354" i="53"/>
  <c r="AA354" i="53"/>
  <c r="AQ405" i="53"/>
  <c r="AP405" i="53"/>
  <c r="S369" i="53"/>
  <c r="Q369" i="53"/>
  <c r="AG363" i="53"/>
  <c r="AJ363" i="53"/>
  <c r="AE373" i="53"/>
  <c r="AD373" i="53"/>
  <c r="AG417" i="53"/>
  <c r="AI417" i="53"/>
  <c r="AJ417" i="53"/>
  <c r="AH417" i="53"/>
  <c r="AP375" i="53"/>
  <c r="AQ375" i="53"/>
  <c r="S362" i="53"/>
  <c r="T362" i="53"/>
  <c r="AL349" i="53"/>
  <c r="AN349" i="53"/>
  <c r="AM349" i="53"/>
  <c r="Q374" i="53"/>
  <c r="R374" i="53"/>
  <c r="S374" i="53"/>
  <c r="T374" i="53"/>
  <c r="S355" i="53"/>
  <c r="Q355" i="53"/>
  <c r="T355" i="53"/>
  <c r="R355" i="53"/>
  <c r="AE415" i="53"/>
  <c r="AC415" i="53"/>
  <c r="AD415" i="53"/>
  <c r="AM379" i="53"/>
  <c r="AN379" i="53"/>
  <c r="AL379" i="53"/>
  <c r="AI341" i="53"/>
  <c r="AJ338" i="53"/>
  <c r="AT377" i="53"/>
  <c r="AH408" i="53"/>
  <c r="V391" i="53"/>
  <c r="AI408" i="53"/>
  <c r="W410" i="53"/>
  <c r="AC404" i="53"/>
  <c r="AG434" i="53"/>
  <c r="AA451" i="53"/>
  <c r="AD454" i="53"/>
  <c r="AP420" i="53"/>
  <c r="AQ420" i="53"/>
  <c r="AP345" i="53"/>
  <c r="AQ345" i="53"/>
  <c r="AI344" i="53"/>
  <c r="AJ344" i="53"/>
  <c r="AH344" i="53"/>
  <c r="AG344" i="53"/>
  <c r="Z418" i="53"/>
  <c r="AA418" i="53"/>
  <c r="AS428" i="53"/>
  <c r="AT428" i="53"/>
  <c r="V450" i="53"/>
  <c r="W450" i="53"/>
  <c r="X450" i="53"/>
  <c r="Q426" i="53"/>
  <c r="T426" i="53"/>
  <c r="S426" i="53"/>
  <c r="W336" i="53"/>
  <c r="V336" i="53"/>
  <c r="AH398" i="53"/>
  <c r="AJ398" i="53"/>
  <c r="AG398" i="53"/>
  <c r="AC406" i="53"/>
  <c r="AD406" i="53"/>
  <c r="AE406" i="53"/>
  <c r="AL395" i="53"/>
  <c r="AN395" i="53"/>
  <c r="AM395" i="53"/>
  <c r="AS376" i="53"/>
  <c r="AT376" i="53"/>
  <c r="Z372" i="53"/>
  <c r="AA372" i="53"/>
  <c r="V368" i="53"/>
  <c r="W368" i="53"/>
  <c r="X368" i="53"/>
  <c r="AC356" i="53"/>
  <c r="AD356" i="53"/>
  <c r="AE356" i="53"/>
  <c r="AP352" i="53"/>
  <c r="AQ352" i="53"/>
  <c r="AQ348" i="53"/>
  <c r="AP348" i="53"/>
  <c r="S382" i="53"/>
  <c r="T382" i="53"/>
  <c r="Q382" i="53"/>
  <c r="R382" i="53"/>
  <c r="V431" i="53"/>
  <c r="X431" i="53"/>
  <c r="AE394" i="53"/>
  <c r="AC394" i="53"/>
  <c r="AD394" i="53"/>
  <c r="AE436" i="53"/>
  <c r="AC436" i="53"/>
  <c r="AD436" i="53"/>
  <c r="AL391" i="53"/>
  <c r="AN391" i="53"/>
  <c r="AM391" i="53"/>
  <c r="R398" i="53"/>
  <c r="T398" i="53"/>
  <c r="Q398" i="53"/>
  <c r="T389" i="53"/>
  <c r="S389" i="53"/>
  <c r="X401" i="53"/>
  <c r="W401" i="53"/>
  <c r="V401" i="53"/>
  <c r="AL393" i="53"/>
  <c r="AN393" i="53"/>
  <c r="S341" i="53"/>
  <c r="Q341" i="53"/>
  <c r="Z338" i="53"/>
  <c r="AA338" i="53"/>
  <c r="AP388" i="53"/>
  <c r="AQ388" i="53"/>
  <c r="AA399" i="53"/>
  <c r="Z399" i="53"/>
  <c r="AL400" i="53"/>
  <c r="AM400" i="53"/>
  <c r="AN400" i="53"/>
  <c r="AS392" i="53"/>
  <c r="AT392" i="53"/>
  <c r="S384" i="53"/>
  <c r="Q384" i="53"/>
  <c r="AS383" i="53"/>
  <c r="AT383" i="53"/>
  <c r="T390" i="53"/>
  <c r="Q390" i="53"/>
  <c r="R390" i="53"/>
  <c r="S390" i="53"/>
  <c r="AE397" i="53"/>
  <c r="AD397" i="53"/>
  <c r="V337" i="53"/>
  <c r="W337" i="53"/>
  <c r="AC407" i="53"/>
  <c r="AD407" i="53"/>
  <c r="AE407" i="53"/>
  <c r="AA359" i="53"/>
  <c r="Z359" i="53"/>
  <c r="S346" i="53"/>
  <c r="T346" i="53"/>
  <c r="V413" i="53"/>
  <c r="W413" i="53"/>
  <c r="X413" i="53"/>
  <c r="V377" i="53"/>
  <c r="X377" i="53"/>
  <c r="W377" i="53"/>
  <c r="AP371" i="53"/>
  <c r="AQ371" i="53"/>
  <c r="AP367" i="53"/>
  <c r="AQ367" i="53"/>
  <c r="AL408" i="53"/>
  <c r="AM408" i="53"/>
  <c r="AN408" i="53"/>
  <c r="R366" i="53"/>
  <c r="S366" i="53"/>
  <c r="T366" i="53"/>
  <c r="Q366" i="53"/>
  <c r="R370" i="53"/>
  <c r="Q370" i="53"/>
  <c r="X357" i="53"/>
  <c r="V357" i="53"/>
  <c r="W357" i="53"/>
  <c r="AD351" i="53"/>
  <c r="AC351" i="53"/>
  <c r="V369" i="53"/>
  <c r="W369" i="53"/>
  <c r="X369" i="53"/>
  <c r="S363" i="53"/>
  <c r="R363" i="53"/>
  <c r="T363" i="53"/>
  <c r="Q363" i="53"/>
  <c r="AQ373" i="53"/>
  <c r="AP373" i="53"/>
  <c r="Q417" i="53"/>
  <c r="S417" i="53"/>
  <c r="R417" i="53"/>
  <c r="T417" i="53"/>
  <c r="AS349" i="53"/>
  <c r="AT349" i="53"/>
  <c r="AN416" i="53"/>
  <c r="AM416" i="53"/>
  <c r="AL416" i="53"/>
  <c r="AN374" i="53"/>
  <c r="AL374" i="53"/>
  <c r="AM374" i="53"/>
  <c r="AS415" i="53"/>
  <c r="AT415" i="53"/>
  <c r="AL421" i="53"/>
  <c r="AM421" i="53"/>
  <c r="AN421" i="53"/>
  <c r="T379" i="53"/>
  <c r="R379" i="53"/>
  <c r="S379" i="53"/>
  <c r="Q379" i="53"/>
  <c r="X424" i="53"/>
  <c r="V424" i="53"/>
  <c r="W424" i="53"/>
  <c r="AJ342" i="53"/>
  <c r="AJ356" i="53"/>
  <c r="Q351" i="53"/>
  <c r="X362" i="53"/>
  <c r="Q368" i="53"/>
  <c r="W396" i="53"/>
  <c r="AC401" i="53"/>
  <c r="W419" i="53"/>
  <c r="AM398" i="53"/>
  <c r="AD410" i="53"/>
  <c r="X419" i="53"/>
  <c r="AA413" i="53"/>
  <c r="AJ396" i="53"/>
  <c r="AJ400" i="53"/>
  <c r="AM402" i="53"/>
  <c r="V410" i="53"/>
  <c r="W439" i="53"/>
  <c r="AL433" i="53"/>
  <c r="W443" i="53"/>
  <c r="AD434" i="53"/>
  <c r="Q444" i="53"/>
  <c r="Z430" i="53"/>
  <c r="AM444" i="53"/>
  <c r="AQ451" i="53"/>
  <c r="AT454" i="53"/>
  <c r="AA425" i="53"/>
  <c r="Z425" i="53"/>
  <c r="AD441" i="53"/>
  <c r="AC441" i="53"/>
  <c r="AL452" i="53"/>
  <c r="AN452" i="53"/>
  <c r="AM452" i="53"/>
  <c r="AD345" i="53"/>
  <c r="AC345" i="53"/>
  <c r="AE345" i="53"/>
  <c r="AN390" i="53"/>
  <c r="AM390" i="53"/>
  <c r="Z444" i="53"/>
  <c r="AA444" i="53"/>
  <c r="AT426" i="53"/>
  <c r="AS426" i="53"/>
  <c r="AS336" i="53"/>
  <c r="AT336" i="53"/>
  <c r="AC437" i="53"/>
  <c r="AD437" i="53"/>
  <c r="AE437" i="53"/>
  <c r="Q395" i="53"/>
  <c r="S395" i="53"/>
  <c r="T395" i="53"/>
  <c r="R395" i="53"/>
  <c r="Q387" i="53"/>
  <c r="R387" i="53"/>
  <c r="T387" i="53"/>
  <c r="S387" i="53"/>
  <c r="Z380" i="53"/>
  <c r="AA380" i="53"/>
  <c r="Z364" i="53"/>
  <c r="AA364" i="53"/>
  <c r="AS360" i="53"/>
  <c r="AT360" i="53"/>
  <c r="AQ356" i="53"/>
  <c r="AP356" i="53"/>
  <c r="AT335" i="53"/>
  <c r="AS335" i="53"/>
  <c r="R435" i="53"/>
  <c r="T435" i="53"/>
  <c r="Q435" i="53"/>
  <c r="S435" i="53"/>
  <c r="AI443" i="53"/>
  <c r="AG443" i="53"/>
  <c r="AH443" i="53"/>
  <c r="AJ443" i="53"/>
  <c r="AM432" i="53"/>
  <c r="AN432" i="53"/>
  <c r="AL432" i="53"/>
  <c r="AL342" i="53"/>
  <c r="AM342" i="53"/>
  <c r="AN342" i="53"/>
  <c r="AM453" i="53"/>
  <c r="AL453" i="53"/>
  <c r="AN453" i="53"/>
  <c r="Z391" i="53"/>
  <c r="AA391" i="53"/>
  <c r="AT389" i="53"/>
  <c r="AS389" i="53"/>
  <c r="AA441" i="53"/>
  <c r="Z441" i="53"/>
  <c r="AE431" i="53"/>
  <c r="AC431" i="53"/>
  <c r="AD431" i="53"/>
  <c r="V393" i="53"/>
  <c r="X393" i="53"/>
  <c r="W393" i="53"/>
  <c r="S385" i="53"/>
  <c r="Q385" i="53"/>
  <c r="R385" i="53"/>
  <c r="T385" i="53"/>
  <c r="AH339" i="53"/>
  <c r="AG339" i="53"/>
  <c r="AJ339" i="53"/>
  <c r="AG382" i="53"/>
  <c r="AH382" i="53"/>
  <c r="AI382" i="53"/>
  <c r="AJ382" i="53"/>
  <c r="AP338" i="53"/>
  <c r="AQ338" i="53"/>
  <c r="AG454" i="53"/>
  <c r="AH454" i="53"/>
  <c r="AJ454" i="53"/>
  <c r="AI454" i="53"/>
  <c r="Z400" i="53"/>
  <c r="AA400" i="53"/>
  <c r="AP392" i="53"/>
  <c r="AQ392" i="53"/>
  <c r="AP383" i="53"/>
  <c r="AQ383" i="53"/>
  <c r="X390" i="53"/>
  <c r="V390" i="53"/>
  <c r="AG337" i="53"/>
  <c r="AI337" i="53"/>
  <c r="AJ337" i="53"/>
  <c r="AH337" i="53"/>
  <c r="AQ407" i="53"/>
  <c r="AP407" i="53"/>
  <c r="AP378" i="53"/>
  <c r="AQ378" i="53"/>
  <c r="AI365" i="53"/>
  <c r="AJ365" i="53"/>
  <c r="R413" i="53"/>
  <c r="Q413" i="53"/>
  <c r="AH371" i="53"/>
  <c r="AI371" i="53"/>
  <c r="AJ371" i="53"/>
  <c r="AG371" i="53"/>
  <c r="Z361" i="53"/>
  <c r="AA361" i="53"/>
  <c r="AL409" i="53"/>
  <c r="AN409" i="53"/>
  <c r="AM409" i="53"/>
  <c r="AC367" i="53"/>
  <c r="AD367" i="53"/>
  <c r="AE367" i="53"/>
  <c r="AS408" i="53"/>
  <c r="AT408" i="53"/>
  <c r="Z370" i="53"/>
  <c r="AA370" i="53"/>
  <c r="AQ351" i="53"/>
  <c r="AP351" i="53"/>
  <c r="AS354" i="53"/>
  <c r="AT354" i="53"/>
  <c r="AG411" i="53"/>
  <c r="AH411" i="53"/>
  <c r="AJ411" i="53"/>
  <c r="AI411" i="53"/>
  <c r="AM405" i="53"/>
  <c r="AN405" i="53"/>
  <c r="AI369" i="53"/>
  <c r="AH369" i="53"/>
  <c r="AJ369" i="53"/>
  <c r="AG369" i="53"/>
  <c r="AL350" i="53"/>
  <c r="AM350" i="53"/>
  <c r="AN350" i="53"/>
  <c r="Z373" i="53"/>
  <c r="AA373" i="53"/>
  <c r="AG353" i="53"/>
  <c r="AH353" i="53"/>
  <c r="AI353" i="53"/>
  <c r="AJ353" i="53"/>
  <c r="AP417" i="53"/>
  <c r="AQ417" i="53"/>
  <c r="AP404" i="53"/>
  <c r="AQ404" i="53"/>
  <c r="T381" i="53"/>
  <c r="S381" i="53"/>
  <c r="AE362" i="53"/>
  <c r="AD362" i="53"/>
  <c r="AC362" i="53"/>
  <c r="V349" i="53"/>
  <c r="W349" i="53"/>
  <c r="X349" i="53"/>
  <c r="X416" i="53"/>
  <c r="V416" i="53"/>
  <c r="W416" i="53"/>
  <c r="AC374" i="53"/>
  <c r="AD374" i="53"/>
  <c r="AE374" i="53"/>
  <c r="X355" i="53"/>
  <c r="V355" i="53"/>
  <c r="W355" i="53"/>
  <c r="AA344" i="53"/>
  <c r="AE435" i="53"/>
  <c r="AT435" i="53"/>
  <c r="AP441" i="53"/>
  <c r="AQ441" i="53"/>
  <c r="V452" i="53"/>
  <c r="X452" i="53"/>
  <c r="W452" i="53"/>
  <c r="Z420" i="53"/>
  <c r="AA420" i="53"/>
  <c r="AM344" i="53"/>
  <c r="AN344" i="53"/>
  <c r="AL344" i="53"/>
  <c r="AC414" i="53"/>
  <c r="AE414" i="53"/>
  <c r="AE426" i="53"/>
  <c r="AC426" i="53"/>
  <c r="AD426" i="53"/>
  <c r="AT396" i="53"/>
  <c r="AS396" i="53"/>
  <c r="AP437" i="53"/>
  <c r="AQ437" i="53"/>
  <c r="Q433" i="53"/>
  <c r="S433" i="53"/>
  <c r="T433" i="53"/>
  <c r="R433" i="53"/>
  <c r="AD402" i="53"/>
  <c r="AC402" i="53"/>
  <c r="AC376" i="53"/>
  <c r="AD376" i="53"/>
  <c r="AE376" i="53"/>
  <c r="R364" i="53"/>
  <c r="S364" i="53"/>
  <c r="T364" i="53"/>
  <c r="Q364" i="53"/>
  <c r="AP360" i="53"/>
  <c r="AQ360" i="53"/>
  <c r="AC348" i="53"/>
  <c r="AD348" i="53"/>
  <c r="AE348" i="53"/>
  <c r="W389" i="53"/>
  <c r="V389" i="53"/>
  <c r="AS443" i="53"/>
  <c r="AT443" i="53"/>
  <c r="AQ332" i="53"/>
  <c r="AP332" i="53"/>
  <c r="AA432" i="53"/>
  <c r="Z432" i="53"/>
  <c r="AJ394" i="53"/>
  <c r="AG394" i="53"/>
  <c r="V342" i="53"/>
  <c r="W342" i="53"/>
  <c r="X342" i="53"/>
  <c r="W453" i="53"/>
  <c r="V453" i="53"/>
  <c r="X453" i="53"/>
  <c r="AS391" i="53"/>
  <c r="AT391" i="53"/>
  <c r="AI427" i="53"/>
  <c r="AG427" i="53"/>
  <c r="AJ427" i="53"/>
  <c r="AH427" i="53"/>
  <c r="S442" i="53"/>
  <c r="T442" i="53"/>
  <c r="Z431" i="53"/>
  <c r="AA431" i="53"/>
  <c r="AI393" i="53"/>
  <c r="AG393" i="53"/>
  <c r="AS341" i="53"/>
  <c r="AT341" i="53"/>
  <c r="AL437" i="53"/>
  <c r="AM437" i="53"/>
  <c r="AN437" i="53"/>
  <c r="AN382" i="53"/>
  <c r="AM382" i="53"/>
  <c r="AL382" i="53"/>
  <c r="V338" i="53"/>
  <c r="X338" i="53"/>
  <c r="AA388" i="53"/>
  <c r="Z388" i="53"/>
  <c r="X454" i="53"/>
  <c r="V454" i="53"/>
  <c r="W454" i="53"/>
  <c r="AC430" i="53"/>
  <c r="AE430" i="53"/>
  <c r="AC392" i="53"/>
  <c r="AE392" i="53"/>
  <c r="AD392" i="53"/>
  <c r="AL384" i="53"/>
  <c r="AM384" i="53"/>
  <c r="AN384" i="53"/>
  <c r="AN427" i="53"/>
  <c r="AL427" i="53"/>
  <c r="AM427" i="53"/>
  <c r="AM397" i="53"/>
  <c r="AL397" i="53"/>
  <c r="AN397" i="53"/>
  <c r="AP337" i="53"/>
  <c r="AQ337" i="53"/>
  <c r="AC378" i="53"/>
  <c r="AD378" i="53"/>
  <c r="AE378" i="53"/>
  <c r="AS365" i="53"/>
  <c r="AT365" i="53"/>
  <c r="AE346" i="53"/>
  <c r="AC346" i="53"/>
  <c r="AD346" i="53"/>
  <c r="AS413" i="53"/>
  <c r="AT413" i="53"/>
  <c r="S377" i="53"/>
  <c r="R377" i="53"/>
  <c r="T377" i="53"/>
  <c r="Q358" i="53"/>
  <c r="R358" i="53"/>
  <c r="Q403" i="53"/>
  <c r="R403" i="53"/>
  <c r="T403" i="53"/>
  <c r="S403" i="53"/>
  <c r="V409" i="53"/>
  <c r="W409" i="53"/>
  <c r="X409" i="53"/>
  <c r="AD408" i="53"/>
  <c r="AE408" i="53"/>
  <c r="AC408" i="53"/>
  <c r="X366" i="53"/>
  <c r="W366" i="53"/>
  <c r="AH347" i="53"/>
  <c r="AG347" i="53"/>
  <c r="AJ347" i="53"/>
  <c r="AT412" i="53"/>
  <c r="AS412" i="53"/>
  <c r="AJ370" i="53"/>
  <c r="AG370" i="53"/>
  <c r="AH370" i="53"/>
  <c r="AI370" i="53"/>
  <c r="AD357" i="53"/>
  <c r="AE357" i="53"/>
  <c r="AC357" i="53"/>
  <c r="AP411" i="53"/>
  <c r="AQ411" i="53"/>
  <c r="Z405" i="53"/>
  <c r="AA405" i="53"/>
  <c r="AQ369" i="53"/>
  <c r="AP369" i="53"/>
  <c r="AM373" i="53"/>
  <c r="AL373" i="53"/>
  <c r="AD417" i="53"/>
  <c r="AC417" i="53"/>
  <c r="Q404" i="53"/>
  <c r="R404" i="53"/>
  <c r="T404" i="53"/>
  <c r="S404" i="53"/>
  <c r="Z375" i="53"/>
  <c r="AA375" i="53"/>
  <c r="Z362" i="53"/>
  <c r="AA362" i="53"/>
  <c r="AL415" i="53"/>
  <c r="AN415" i="53"/>
  <c r="V421" i="53"/>
  <c r="W421" i="53"/>
  <c r="X421" i="53"/>
  <c r="V379" i="53"/>
  <c r="W379" i="53"/>
  <c r="X379" i="53"/>
  <c r="AP401" i="53"/>
  <c r="AD435" i="53"/>
  <c r="R452" i="53"/>
  <c r="S452" i="53"/>
  <c r="AQ428" i="53"/>
  <c r="AP428" i="53"/>
  <c r="AP442" i="53"/>
  <c r="AQ442" i="53"/>
  <c r="Q345" i="53"/>
  <c r="R345" i="53"/>
  <c r="S345" i="53"/>
  <c r="T345" i="53"/>
  <c r="R344" i="53"/>
  <c r="S344" i="53"/>
  <c r="Q344" i="53"/>
  <c r="T344" i="53"/>
  <c r="AL429" i="53"/>
  <c r="AN429" i="53"/>
  <c r="AM429" i="53"/>
  <c r="V451" i="53"/>
  <c r="X451" i="53"/>
  <c r="AT433" i="53"/>
  <c r="AS433" i="53"/>
  <c r="AC450" i="53"/>
  <c r="AE450" i="53"/>
  <c r="AS434" i="53"/>
  <c r="AT434" i="53"/>
  <c r="AD396" i="53"/>
  <c r="AC396" i="53"/>
  <c r="AE396" i="53"/>
  <c r="AC336" i="53"/>
  <c r="AD336" i="53"/>
  <c r="AT441" i="53"/>
  <c r="AS441" i="53"/>
  <c r="AH406" i="53"/>
  <c r="AG406" i="53"/>
  <c r="AJ406" i="53"/>
  <c r="AJ395" i="53"/>
  <c r="AI395" i="53"/>
  <c r="AL387" i="53"/>
  <c r="AM387" i="53"/>
  <c r="AN387" i="53"/>
  <c r="Q376" i="53"/>
  <c r="S376" i="53"/>
  <c r="AG372" i="53"/>
  <c r="AH372" i="53"/>
  <c r="AI372" i="53"/>
  <c r="AJ372" i="53"/>
  <c r="AM368" i="53"/>
  <c r="AN368" i="53"/>
  <c r="AL368" i="53"/>
  <c r="AG364" i="53"/>
  <c r="AI364" i="53"/>
  <c r="AJ364" i="53"/>
  <c r="AH364" i="53"/>
  <c r="Q360" i="53"/>
  <c r="R360" i="53"/>
  <c r="S360" i="53"/>
  <c r="T360" i="53"/>
  <c r="AA356" i="53"/>
  <c r="Z356" i="53"/>
  <c r="Q352" i="53"/>
  <c r="R352" i="53"/>
  <c r="S352" i="53"/>
  <c r="T352" i="53"/>
  <c r="AA348" i="53"/>
  <c r="Z348" i="53"/>
  <c r="AS343" i="53"/>
  <c r="AT343" i="53"/>
  <c r="AQ436" i="53"/>
  <c r="AP436" i="53"/>
  <c r="AP444" i="53"/>
  <c r="AQ444" i="53"/>
  <c r="AN424" i="53"/>
  <c r="AL424" i="53"/>
  <c r="AM424" i="53"/>
  <c r="Q394" i="53"/>
  <c r="R394" i="53"/>
  <c r="AE420" i="53"/>
  <c r="AC420" i="53"/>
  <c r="AD420" i="53"/>
  <c r="AP389" i="53"/>
  <c r="AQ389" i="53"/>
  <c r="V430" i="53"/>
  <c r="W430" i="53"/>
  <c r="X430" i="53"/>
  <c r="AM442" i="53"/>
  <c r="AL442" i="53"/>
  <c r="AN442" i="53"/>
  <c r="AE423" i="53"/>
  <c r="AC423" i="53"/>
  <c r="AD423" i="53"/>
  <c r="AA385" i="53"/>
  <c r="Z385" i="53"/>
  <c r="AM341" i="53"/>
  <c r="AN341" i="53"/>
  <c r="AL341" i="53"/>
  <c r="AC382" i="53"/>
  <c r="AE382" i="53"/>
  <c r="AD382" i="53"/>
  <c r="AS400" i="53"/>
  <c r="AT400" i="53"/>
  <c r="AS340" i="53"/>
  <c r="AT340" i="53"/>
  <c r="AS399" i="53"/>
  <c r="AT399" i="53"/>
  <c r="W383" i="53"/>
  <c r="V383" i="53"/>
  <c r="AC427" i="53"/>
  <c r="AD427" i="53"/>
  <c r="AE427" i="53"/>
  <c r="AC337" i="53"/>
  <c r="AE337" i="53"/>
  <c r="AJ378" i="53"/>
  <c r="AH378" i="53"/>
  <c r="Z365" i="53"/>
  <c r="AA365" i="53"/>
  <c r="AP346" i="53"/>
  <c r="AQ346" i="53"/>
  <c r="AH413" i="53"/>
  <c r="AG413" i="53"/>
  <c r="AL371" i="53"/>
  <c r="AN371" i="53"/>
  <c r="AM371" i="53"/>
  <c r="AL358" i="53"/>
  <c r="AM358" i="53"/>
  <c r="AN358" i="53"/>
  <c r="AM403" i="53"/>
  <c r="AL403" i="53"/>
  <c r="AD361" i="53"/>
  <c r="AE361" i="53"/>
  <c r="AG409" i="53"/>
  <c r="AI409" i="53"/>
  <c r="AJ409" i="53"/>
  <c r="AH409" i="53"/>
  <c r="Q412" i="53"/>
  <c r="S412" i="53"/>
  <c r="R412" i="53"/>
  <c r="V350" i="53"/>
  <c r="X350" i="53"/>
  <c r="W350" i="53"/>
  <c r="W373" i="53"/>
  <c r="V373" i="53"/>
  <c r="AQ353" i="53"/>
  <c r="AP353" i="53"/>
  <c r="AI404" i="53"/>
  <c r="AJ404" i="53"/>
  <c r="AG404" i="53"/>
  <c r="AH404" i="53"/>
  <c r="AE381" i="53"/>
  <c r="AD381" i="53"/>
  <c r="AC381" i="53"/>
  <c r="AP362" i="53"/>
  <c r="AQ362" i="53"/>
  <c r="AI355" i="53"/>
  <c r="AH355" i="53"/>
  <c r="AJ355" i="53"/>
  <c r="AG355" i="53"/>
  <c r="V415" i="53"/>
  <c r="X415" i="53"/>
  <c r="AS421" i="53"/>
  <c r="AT421" i="53"/>
  <c r="AF329" i="53"/>
  <c r="AH329" i="53" s="1"/>
  <c r="Y330" i="53"/>
  <c r="AA330" i="53" s="1"/>
  <c r="AR329" i="53"/>
  <c r="AS329" i="53" s="1"/>
  <c r="AF327" i="53"/>
  <c r="AG327" i="53" s="1"/>
  <c r="AB327" i="53"/>
  <c r="AC327" i="53" s="1"/>
  <c r="AF328" i="53"/>
  <c r="AJ328" i="53" s="1"/>
  <c r="U328" i="53"/>
  <c r="V328" i="53" s="1"/>
  <c r="AO331" i="53"/>
  <c r="AP331" i="53" s="1"/>
  <c r="AO329" i="53"/>
  <c r="P328" i="53"/>
  <c r="R328" i="53" s="1"/>
  <c r="AR331" i="53"/>
  <c r="AS331" i="53" s="1"/>
  <c r="AF331" i="53"/>
  <c r="AG331" i="53" s="1"/>
  <c r="AR327" i="53"/>
  <c r="AS327" i="53" s="1"/>
  <c r="Y331" i="53"/>
  <c r="AR328" i="53"/>
  <c r="AT328" i="53" s="1"/>
  <c r="AK328" i="53"/>
  <c r="AL328" i="53" s="1"/>
  <c r="P327" i="53"/>
  <c r="Q327" i="53" s="1"/>
  <c r="AL330" i="53"/>
  <c r="AM330" i="53"/>
  <c r="V327" i="53"/>
  <c r="W327" i="53"/>
  <c r="X327" i="53"/>
  <c r="Q331" i="53"/>
  <c r="T331" i="53"/>
  <c r="W329" i="53"/>
  <c r="V329" i="53"/>
  <c r="AR330" i="53"/>
  <c r="U330" i="53"/>
  <c r="X330" i="53" s="1"/>
  <c r="AB329" i="53"/>
  <c r="AE329" i="53" s="1"/>
  <c r="AF330" i="53"/>
  <c r="AK331" i="53"/>
  <c r="AK329" i="53"/>
  <c r="AN329" i="53" s="1"/>
  <c r="P329" i="53"/>
  <c r="AB328" i="53"/>
  <c r="AE328" i="53" s="1"/>
  <c r="AO327" i="53"/>
  <c r="Y327" i="53"/>
  <c r="U331" i="53"/>
  <c r="AO330" i="53"/>
  <c r="Y329" i="53"/>
  <c r="Y328" i="53"/>
  <c r="Z328" i="53" s="1"/>
  <c r="AB330" i="53"/>
  <c r="P330" i="53"/>
  <c r="AB331" i="53"/>
  <c r="AC331" i="53" s="1"/>
  <c r="AK327" i="53"/>
  <c r="S331" i="53"/>
  <c r="R331" i="53"/>
  <c r="X329" i="53"/>
  <c r="AN330" i="53"/>
  <c r="AQ328" i="53"/>
  <c r="AT329" i="53" l="1"/>
  <c r="AJ327" i="53"/>
  <c r="AH327" i="53"/>
  <c r="AH331" i="53"/>
  <c r="R327" i="53"/>
  <c r="AI331" i="53"/>
  <c r="AS328" i="53"/>
  <c r="AJ329" i="53"/>
  <c r="AG329" i="53"/>
  <c r="AI329" i="53"/>
  <c r="AI328" i="53"/>
  <c r="AE327" i="53"/>
  <c r="AD327" i="53"/>
  <c r="AI327" i="53"/>
  <c r="AM328" i="53"/>
  <c r="Z330" i="53"/>
  <c r="T328" i="53"/>
  <c r="AN328" i="53"/>
  <c r="AJ331" i="53"/>
  <c r="AQ331" i="53"/>
  <c r="AA328" i="53"/>
  <c r="AT331" i="53"/>
  <c r="AE331" i="53"/>
  <c r="Z331" i="53"/>
  <c r="AA331" i="53"/>
  <c r="X328" i="53"/>
  <c r="AH328" i="53"/>
  <c r="AG328" i="53"/>
  <c r="AT327" i="53"/>
  <c r="S328" i="53"/>
  <c r="T327" i="53"/>
  <c r="W328" i="53"/>
  <c r="Q328" i="53"/>
  <c r="AQ329" i="53"/>
  <c r="AP329" i="53"/>
  <c r="AD331" i="53"/>
  <c r="S327" i="53"/>
  <c r="AM331" i="53"/>
  <c r="AL331" i="53"/>
  <c r="AN331" i="53"/>
  <c r="AL327" i="53"/>
  <c r="AM327" i="53"/>
  <c r="AN327" i="53"/>
  <c r="Z327" i="53"/>
  <c r="AA327" i="53"/>
  <c r="AJ330" i="53"/>
  <c r="AH330" i="53"/>
  <c r="AI330" i="53"/>
  <c r="X331" i="53"/>
  <c r="V331" i="53"/>
  <c r="W331" i="53"/>
  <c r="AQ327" i="53"/>
  <c r="AP327" i="53"/>
  <c r="AC329" i="53"/>
  <c r="AD329" i="53"/>
  <c r="AC330" i="53"/>
  <c r="AD330" i="53"/>
  <c r="AE330" i="53"/>
  <c r="AA329" i="53"/>
  <c r="Z329" i="53"/>
  <c r="AD328" i="53"/>
  <c r="AC328" i="53"/>
  <c r="V330" i="53"/>
  <c r="W330" i="53"/>
  <c r="T330" i="53"/>
  <c r="R330" i="53"/>
  <c r="S330" i="53"/>
  <c r="Q330" i="53"/>
  <c r="R329" i="53"/>
  <c r="S329" i="53"/>
  <c r="T329" i="53"/>
  <c r="Q329" i="53"/>
  <c r="AG330" i="53"/>
  <c r="AP330" i="53"/>
  <c r="AQ330" i="53"/>
  <c r="AM329" i="53"/>
  <c r="AL329" i="53"/>
  <c r="AT330" i="53"/>
  <c r="AS330" i="53"/>
  <c r="N8" i="12" l="1"/>
  <c r="K207" i="13"/>
  <c r="G208" i="13" l="1"/>
  <c r="L207" i="13"/>
  <c r="D208" i="13"/>
  <c r="D207" i="13"/>
  <c r="J326" i="53"/>
  <c r="M326" i="53" s="1"/>
  <c r="J267" i="53"/>
  <c r="M267" i="53" s="1"/>
  <c r="U267" i="53" s="1"/>
  <c r="M266" i="53"/>
  <c r="P266" i="53" s="1"/>
  <c r="P326" i="53" l="1"/>
  <c r="S326" i="53" s="1"/>
  <c r="AK326" i="53"/>
  <c r="AL326" i="53" s="1"/>
  <c r="Y326" i="53"/>
  <c r="Z326" i="53" s="1"/>
  <c r="AB326" i="53"/>
  <c r="AE326" i="53" s="1"/>
  <c r="AF326" i="53"/>
  <c r="AI326" i="53" s="1"/>
  <c r="AO326" i="53"/>
  <c r="AP326" i="53" s="1"/>
  <c r="AR326" i="53"/>
  <c r="U326" i="53"/>
  <c r="V326" i="53" s="1"/>
  <c r="V267" i="53"/>
  <c r="W267" i="53"/>
  <c r="X267" i="53"/>
  <c r="P267" i="53"/>
  <c r="Q267" i="53" s="1"/>
  <c r="AR267" i="53"/>
  <c r="AS267" i="53" s="1"/>
  <c r="AB267" i="53"/>
  <c r="AF267" i="53"/>
  <c r="AG267" i="53" s="1"/>
  <c r="AO267" i="53"/>
  <c r="Y267" i="53"/>
  <c r="AK267" i="53"/>
  <c r="Q266" i="53"/>
  <c r="R266" i="53"/>
  <c r="Y266" i="53"/>
  <c r="U266" i="53"/>
  <c r="AK266" i="53"/>
  <c r="AF266" i="53"/>
  <c r="AI266" i="53" s="1"/>
  <c r="AO266" i="53"/>
  <c r="AR266" i="53"/>
  <c r="AB266" i="53"/>
  <c r="T266" i="53"/>
  <c r="S266" i="53"/>
  <c r="T267" i="53" l="1"/>
  <c r="AA326" i="53"/>
  <c r="T326" i="53"/>
  <c r="AQ326" i="53"/>
  <c r="AM326" i="53"/>
  <c r="AD326" i="53"/>
  <c r="AC326" i="53"/>
  <c r="AT326" i="53"/>
  <c r="AS326" i="53"/>
  <c r="AH326" i="53"/>
  <c r="AG326" i="53"/>
  <c r="R267" i="53"/>
  <c r="X326" i="53"/>
  <c r="W326" i="53"/>
  <c r="AJ326" i="53"/>
  <c r="AN326" i="53"/>
  <c r="R326" i="53"/>
  <c r="Q326" i="53"/>
  <c r="AJ267" i="53"/>
  <c r="S267" i="53"/>
  <c r="AP267" i="53"/>
  <c r="AQ267" i="53"/>
  <c r="AC267" i="53"/>
  <c r="AE267" i="53"/>
  <c r="AH267" i="53"/>
  <c r="AD267" i="53"/>
  <c r="AT267" i="53"/>
  <c r="AI267" i="53"/>
  <c r="AL267" i="53"/>
  <c r="AM267" i="53"/>
  <c r="AN267" i="53"/>
  <c r="Z267" i="53"/>
  <c r="AA267" i="53"/>
  <c r="AC266" i="53"/>
  <c r="AD266" i="53"/>
  <c r="AE266" i="53"/>
  <c r="AN266" i="53"/>
  <c r="AL266" i="53"/>
  <c r="AM266" i="53"/>
  <c r="AS266" i="53"/>
  <c r="AT266" i="53"/>
  <c r="AQ266" i="53"/>
  <c r="AP266" i="53"/>
  <c r="AG266" i="53"/>
  <c r="AH266" i="53"/>
  <c r="AJ266" i="53"/>
  <c r="V266" i="53"/>
  <c r="W266" i="53"/>
  <c r="X266" i="53"/>
  <c r="AA266" i="53"/>
  <c r="Z266" i="53"/>
  <c r="J257" i="53"/>
  <c r="J288" i="53" l="1"/>
  <c r="J287" i="53"/>
  <c r="J286" i="53"/>
  <c r="P8" i="53" l="1"/>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77" i="53"/>
  <c r="P178" i="53"/>
  <c r="P179" i="53"/>
  <c r="P180" i="53"/>
  <c r="P181" i="53"/>
  <c r="P182" i="53"/>
  <c r="P183" i="53"/>
  <c r="P184" i="53"/>
  <c r="P185" i="53"/>
  <c r="P186" i="53"/>
  <c r="P187" i="53"/>
  <c r="P188" i="53"/>
  <c r="P189" i="53"/>
  <c r="P190" i="53"/>
  <c r="P191" i="53"/>
  <c r="P192" i="53"/>
  <c r="P193" i="53"/>
  <c r="P194" i="53"/>
  <c r="P195" i="53"/>
  <c r="P196" i="53"/>
  <c r="P197" i="53"/>
  <c r="P198" i="53"/>
  <c r="P199" i="53"/>
  <c r="P200" i="53"/>
  <c r="P201" i="53"/>
  <c r="P202" i="53"/>
  <c r="P203" i="53"/>
  <c r="P204" i="53"/>
  <c r="P205" i="53"/>
  <c r="P4" i="53"/>
  <c r="Q4" i="53" s="1"/>
  <c r="P5" i="53"/>
  <c r="P6" i="53"/>
  <c r="P7" i="53"/>
  <c r="M1100" i="53" l="1"/>
  <c r="J1099" i="53"/>
  <c r="M1099" i="53" s="1"/>
  <c r="J1098" i="53"/>
  <c r="M1098" i="53" s="1"/>
  <c r="J1097" i="53"/>
  <c r="M1097" i="53" s="1"/>
  <c r="J1096" i="53"/>
  <c r="M1096" i="53" s="1"/>
  <c r="J808" i="53"/>
  <c r="M808" i="53" s="1"/>
  <c r="J807" i="53"/>
  <c r="M807" i="53" s="1"/>
  <c r="J806" i="53"/>
  <c r="M806" i="53" s="1"/>
  <c r="J805" i="53"/>
  <c r="M805" i="53" s="1"/>
  <c r="M325" i="53" l="1"/>
  <c r="P325" i="53" s="1"/>
  <c r="M324" i="53"/>
  <c r="M323" i="53"/>
  <c r="M322" i="53"/>
  <c r="P322" i="53" s="1"/>
  <c r="M321" i="53"/>
  <c r="M320" i="53"/>
  <c r="M319" i="53"/>
  <c r="P319" i="53" s="1"/>
  <c r="M318" i="53"/>
  <c r="M317" i="53"/>
  <c r="P317" i="53" s="1"/>
  <c r="M316" i="53"/>
  <c r="M315" i="53"/>
  <c r="M314" i="53"/>
  <c r="M313" i="53"/>
  <c r="M312" i="53"/>
  <c r="P312" i="53" s="1"/>
  <c r="M311" i="53"/>
  <c r="P311" i="53" s="1"/>
  <c r="M310" i="53"/>
  <c r="M309" i="53"/>
  <c r="M308" i="53"/>
  <c r="M307" i="53"/>
  <c r="P307" i="53" s="1"/>
  <c r="M306" i="53"/>
  <c r="M305" i="53"/>
  <c r="P305" i="53" s="1"/>
  <c r="M304" i="53"/>
  <c r="M303" i="53"/>
  <c r="P303" i="53" s="1"/>
  <c r="M302" i="53"/>
  <c r="M301" i="53"/>
  <c r="M300" i="53"/>
  <c r="M299" i="53"/>
  <c r="M298" i="53"/>
  <c r="P298" i="53" s="1"/>
  <c r="M297" i="53"/>
  <c r="M296" i="53"/>
  <c r="P296" i="53" s="1"/>
  <c r="M295" i="53"/>
  <c r="P295" i="53" s="1"/>
  <c r="M294" i="53"/>
  <c r="M293" i="53"/>
  <c r="P293" i="53" s="1"/>
  <c r="M292" i="53"/>
  <c r="P292" i="53" s="1"/>
  <c r="M291" i="53"/>
  <c r="M290" i="53"/>
  <c r="P290" i="53" s="1"/>
  <c r="M289" i="53"/>
  <c r="M288" i="53"/>
  <c r="P288" i="53" s="1"/>
  <c r="M287" i="53"/>
  <c r="M286" i="53"/>
  <c r="AB289" i="53" l="1"/>
  <c r="AD289" i="53" s="1"/>
  <c r="P289" i="53"/>
  <c r="Y297" i="53"/>
  <c r="Z297" i="53" s="1"/>
  <c r="P297" i="53"/>
  <c r="U313" i="53"/>
  <c r="W313" i="53" s="1"/>
  <c r="P313" i="53"/>
  <c r="P321" i="53"/>
  <c r="Q321" i="53" s="1"/>
  <c r="AK315" i="53"/>
  <c r="AL315" i="53" s="1"/>
  <c r="P315" i="53"/>
  <c r="AR306" i="53"/>
  <c r="AS306" i="53" s="1"/>
  <c r="P306" i="53"/>
  <c r="AO314" i="53"/>
  <c r="AP314" i="53" s="1"/>
  <c r="P314" i="53"/>
  <c r="P291" i="53"/>
  <c r="Q291" i="53" s="1"/>
  <c r="U300" i="53"/>
  <c r="W300" i="53" s="1"/>
  <c r="P300" i="53"/>
  <c r="Q300" i="53" s="1"/>
  <c r="AF308" i="53"/>
  <c r="AH308" i="53" s="1"/>
  <c r="P308" i="53"/>
  <c r="R308" i="53" s="1"/>
  <c r="AF316" i="53"/>
  <c r="AI316" i="53" s="1"/>
  <c r="P316" i="53"/>
  <c r="Q316" i="53" s="1"/>
  <c r="AF324" i="53"/>
  <c r="AG324" i="53" s="1"/>
  <c r="P324" i="53"/>
  <c r="T324" i="53" s="1"/>
  <c r="AO323" i="53"/>
  <c r="AQ323" i="53" s="1"/>
  <c r="P323" i="53"/>
  <c r="Q323" i="53" s="1"/>
  <c r="AF301" i="53"/>
  <c r="AI301" i="53" s="1"/>
  <c r="P301" i="53"/>
  <c r="AB309" i="53"/>
  <c r="AE309" i="53" s="1"/>
  <c r="P309" i="53"/>
  <c r="R309" i="53" s="1"/>
  <c r="AF299" i="53"/>
  <c r="AG299" i="53" s="1"/>
  <c r="P299" i="53"/>
  <c r="Y294" i="53"/>
  <c r="AA294" i="53" s="1"/>
  <c r="P294" i="53"/>
  <c r="R294" i="53" s="1"/>
  <c r="AK302" i="53"/>
  <c r="AM302" i="53" s="1"/>
  <c r="P302" i="53"/>
  <c r="R302" i="53" s="1"/>
  <c r="AK310" i="53"/>
  <c r="AL310" i="53" s="1"/>
  <c r="P310" i="53"/>
  <c r="R310" i="53" s="1"/>
  <c r="AB318" i="53"/>
  <c r="AD318" i="53" s="1"/>
  <c r="P318" i="53"/>
  <c r="Q318" i="53" s="1"/>
  <c r="AK304" i="53"/>
  <c r="AL304" i="53" s="1"/>
  <c r="P304" i="53"/>
  <c r="T304" i="53" s="1"/>
  <c r="AK320" i="53"/>
  <c r="AL320" i="53" s="1"/>
  <c r="P320" i="53"/>
  <c r="T320" i="53" s="1"/>
  <c r="AF287" i="53"/>
  <c r="AG287" i="53" s="1"/>
  <c r="P287" i="53"/>
  <c r="S287" i="53" s="1"/>
  <c r="U286" i="53"/>
  <c r="X286" i="53" s="1"/>
  <c r="P286" i="53"/>
  <c r="R286" i="53" s="1"/>
  <c r="AR321" i="53"/>
  <c r="AT321" i="53" s="1"/>
  <c r="AK321" i="53"/>
  <c r="AM321" i="53" s="1"/>
  <c r="Y320" i="53"/>
  <c r="Z320" i="53" s="1"/>
  <c r="AK297" i="53"/>
  <c r="AL297" i="53" s="1"/>
  <c r="AR318" i="53"/>
  <c r="AT318" i="53" s="1"/>
  <c r="U316" i="53"/>
  <c r="X316" i="53" s="1"/>
  <c r="AB293" i="53"/>
  <c r="AC293" i="53" s="1"/>
  <c r="AO318" i="53"/>
  <c r="AP318" i="53" s="1"/>
  <c r="Y313" i="53"/>
  <c r="Z313" i="53" s="1"/>
  <c r="U290" i="53"/>
  <c r="V290" i="53" s="1"/>
  <c r="AK318" i="53"/>
  <c r="AL318" i="53" s="1"/>
  <c r="AF286" i="53"/>
  <c r="AH286" i="53" s="1"/>
  <c r="Y318" i="53"/>
  <c r="AF318" i="53"/>
  <c r="AJ318" i="53" s="1"/>
  <c r="AR316" i="53"/>
  <c r="AO315" i="53"/>
  <c r="AP315" i="53" s="1"/>
  <c r="AF317" i="53"/>
  <c r="AJ317" i="53" s="1"/>
  <c r="AR301" i="53"/>
  <c r="AS301" i="53" s="1"/>
  <c r="U318" i="53"/>
  <c r="V318" i="53" s="1"/>
  <c r="AR308" i="53"/>
  <c r="AO301" i="53"/>
  <c r="AP301" i="53" s="1"/>
  <c r="AO287" i="53"/>
  <c r="AQ287" i="53" s="1"/>
  <c r="U317" i="53"/>
  <c r="AF312" i="53"/>
  <c r="AG312" i="53" s="1"/>
  <c r="AR299" i="53"/>
  <c r="AT299" i="53" s="1"/>
  <c r="U291" i="53"/>
  <c r="W291" i="53" s="1"/>
  <c r="U308" i="53"/>
  <c r="W308" i="53" s="1"/>
  <c r="AB316" i="53"/>
  <c r="Y321" i="53"/>
  <c r="AO317" i="53"/>
  <c r="AK325" i="53"/>
  <c r="AL325" i="53" s="1"/>
  <c r="AK324" i="53"/>
  <c r="AL324" i="53" s="1"/>
  <c r="U288" i="53"/>
  <c r="AK288" i="53"/>
  <c r="AN288" i="53" s="1"/>
  <c r="Y288" i="53"/>
  <c r="AA288" i="53" s="1"/>
  <c r="AO288" i="53"/>
  <c r="AB288" i="53"/>
  <c r="AE288" i="53" s="1"/>
  <c r="AF288" i="53"/>
  <c r="AR288" i="53"/>
  <c r="AS288" i="53" s="1"/>
  <c r="Q312" i="53"/>
  <c r="R312" i="53"/>
  <c r="S312" i="53"/>
  <c r="T312" i="53"/>
  <c r="Q290" i="53"/>
  <c r="T290" i="53"/>
  <c r="S290" i="53"/>
  <c r="Q298" i="53"/>
  <c r="S298" i="53"/>
  <c r="T298" i="53"/>
  <c r="S325" i="53"/>
  <c r="R325" i="53"/>
  <c r="T325" i="53"/>
  <c r="R293" i="53"/>
  <c r="Q293" i="53"/>
  <c r="S293" i="53"/>
  <c r="R317" i="53"/>
  <c r="Q317" i="53"/>
  <c r="S317" i="53"/>
  <c r="T317" i="53"/>
  <c r="Q295" i="53"/>
  <c r="AF295" i="53"/>
  <c r="AJ295" i="53" s="1"/>
  <c r="U295" i="53"/>
  <c r="W295" i="53" s="1"/>
  <c r="AK295" i="53"/>
  <c r="AM295" i="53" s="1"/>
  <c r="AB295" i="53"/>
  <c r="AR295" i="53"/>
  <c r="AO295" i="53"/>
  <c r="Y295" i="53"/>
  <c r="AK303" i="53"/>
  <c r="AM303" i="53" s="1"/>
  <c r="AB303" i="53"/>
  <c r="AO303" i="53"/>
  <c r="T303" i="53"/>
  <c r="U303" i="53"/>
  <c r="W303" i="53" s="1"/>
  <c r="Y303" i="53"/>
  <c r="AF303" i="53"/>
  <c r="AH303" i="53" s="1"/>
  <c r="AR303" i="53"/>
  <c r="AK311" i="53"/>
  <c r="AN311" i="53" s="1"/>
  <c r="Y311" i="53"/>
  <c r="Z311" i="53" s="1"/>
  <c r="AB311" i="53"/>
  <c r="AO311" i="53"/>
  <c r="AF311" i="53"/>
  <c r="Q311" i="53"/>
  <c r="AR311" i="53"/>
  <c r="U311" i="53"/>
  <c r="X311" i="53" s="1"/>
  <c r="Y319" i="53"/>
  <c r="Z319" i="53" s="1"/>
  <c r="AB319" i="53"/>
  <c r="T319" i="53"/>
  <c r="AF319" i="53"/>
  <c r="AI319" i="53" s="1"/>
  <c r="AO319" i="53"/>
  <c r="AP319" i="53" s="1"/>
  <c r="AR319" i="53"/>
  <c r="U319" i="53"/>
  <c r="X319" i="53" s="1"/>
  <c r="AK319" i="53"/>
  <c r="AN319" i="53" s="1"/>
  <c r="Q305" i="53"/>
  <c r="T305" i="53"/>
  <c r="R305" i="53"/>
  <c r="AK296" i="53"/>
  <c r="Y296" i="53"/>
  <c r="AA296" i="53" s="1"/>
  <c r="AB296" i="53"/>
  <c r="AC296" i="53" s="1"/>
  <c r="AF296" i="53"/>
  <c r="AO296" i="53"/>
  <c r="U296" i="53"/>
  <c r="U289" i="53"/>
  <c r="V289" i="53" s="1"/>
  <c r="AF289" i="53"/>
  <c r="AR289" i="53"/>
  <c r="Y289" i="53"/>
  <c r="AO289" i="53"/>
  <c r="Y304" i="53"/>
  <c r="AA304" i="53" s="1"/>
  <c r="AB304" i="53"/>
  <c r="AC304" i="53" s="1"/>
  <c r="AF304" i="53"/>
  <c r="AO304" i="53"/>
  <c r="AQ304" i="53" s="1"/>
  <c r="AF305" i="53"/>
  <c r="U305" i="53"/>
  <c r="V305" i="53" s="1"/>
  <c r="AR305" i="53"/>
  <c r="Y305" i="53"/>
  <c r="AO305" i="53"/>
  <c r="AF321" i="53"/>
  <c r="AH321" i="53" s="1"/>
  <c r="Y306" i="53"/>
  <c r="AO306" i="53"/>
  <c r="AB306" i="53"/>
  <c r="AD306" i="53" s="1"/>
  <c r="U306" i="53"/>
  <c r="U320" i="53"/>
  <c r="U312" i="53"/>
  <c r="AK305" i="53"/>
  <c r="AM305" i="53" s="1"/>
  <c r="AB297" i="53"/>
  <c r="AO290" i="53"/>
  <c r="AK291" i="53"/>
  <c r="AM291" i="53" s="1"/>
  <c r="Y291" i="53"/>
  <c r="Z291" i="53" s="1"/>
  <c r="AB291" i="53"/>
  <c r="AO291" i="53"/>
  <c r="AP291" i="53" s="1"/>
  <c r="AR291" i="53"/>
  <c r="Y299" i="53"/>
  <c r="Z299" i="53" s="1"/>
  <c r="AB299" i="53"/>
  <c r="AK299" i="53"/>
  <c r="AM299" i="53" s="1"/>
  <c r="AO299" i="53"/>
  <c r="AP299" i="53" s="1"/>
  <c r="AO307" i="53"/>
  <c r="AP307" i="53" s="1"/>
  <c r="AF307" i="53"/>
  <c r="AR307" i="53"/>
  <c r="U307" i="53"/>
  <c r="W307" i="53" s="1"/>
  <c r="AB307" i="53"/>
  <c r="AK307" i="53"/>
  <c r="AM307" i="53" s="1"/>
  <c r="U315" i="53"/>
  <c r="W315" i="53" s="1"/>
  <c r="Y315" i="53"/>
  <c r="Z315" i="53" s="1"/>
  <c r="AB315" i="53"/>
  <c r="AF315" i="53"/>
  <c r="AK323" i="53"/>
  <c r="Y323" i="53"/>
  <c r="AB323" i="53"/>
  <c r="AF323" i="53"/>
  <c r="AR323" i="53"/>
  <c r="AO321" i="53"/>
  <c r="AO320" i="53"/>
  <c r="AB317" i="53"/>
  <c r="AD317" i="53" s="1"/>
  <c r="AO312" i="53"/>
  <c r="AR310" i="53"/>
  <c r="AS310" i="53" s="1"/>
  <c r="AK309" i="53"/>
  <c r="AK308" i="53"/>
  <c r="AL308" i="53" s="1"/>
  <c r="AF306" i="53"/>
  <c r="AI306" i="53" s="1"/>
  <c r="U299" i="53"/>
  <c r="W299" i="53" s="1"/>
  <c r="AK287" i="53"/>
  <c r="AM287" i="53" s="1"/>
  <c r="Y312" i="53"/>
  <c r="AK312" i="53"/>
  <c r="AB312" i="53"/>
  <c r="AD312" i="53" s="1"/>
  <c r="AK313" i="53"/>
  <c r="AM313" i="53" s="1"/>
  <c r="AB313" i="53"/>
  <c r="AO313" i="53"/>
  <c r="AR313" i="53"/>
  <c r="AB314" i="53"/>
  <c r="AD314" i="53" s="1"/>
  <c r="AR314" i="53"/>
  <c r="AF314" i="53"/>
  <c r="AI314" i="53" s="1"/>
  <c r="U314" i="53"/>
  <c r="Y314" i="53"/>
  <c r="Y292" i="53"/>
  <c r="AO292" i="53"/>
  <c r="AB292" i="53"/>
  <c r="U292" i="53"/>
  <c r="AF292" i="53"/>
  <c r="AJ292" i="53" s="1"/>
  <c r="AB324" i="53"/>
  <c r="AO324" i="53"/>
  <c r="U324" i="53"/>
  <c r="Y324" i="53"/>
  <c r="U321" i="53"/>
  <c r="AK317" i="53"/>
  <c r="AO316" i="53"/>
  <c r="AB305" i="53"/>
  <c r="AB300" i="53"/>
  <c r="AK289" i="53"/>
  <c r="AL289" i="53" s="1"/>
  <c r="U323" i="53"/>
  <c r="AO297" i="53"/>
  <c r="AF297" i="53"/>
  <c r="U297" i="53"/>
  <c r="W297" i="53" s="1"/>
  <c r="AR297" i="53"/>
  <c r="AF320" i="53"/>
  <c r="AJ320" i="53" s="1"/>
  <c r="AF290" i="53"/>
  <c r="AH290" i="53" s="1"/>
  <c r="AR290" i="53"/>
  <c r="Y290" i="53"/>
  <c r="AK290" i="53"/>
  <c r="AB290" i="53"/>
  <c r="AD290" i="53" s="1"/>
  <c r="AB308" i="53"/>
  <c r="AO308" i="53"/>
  <c r="Y308" i="53"/>
  <c r="U293" i="53"/>
  <c r="AO293" i="53"/>
  <c r="AP293" i="53" s="1"/>
  <c r="AF293" i="53"/>
  <c r="AJ293" i="53" s="1"/>
  <c r="AR293" i="53"/>
  <c r="Y293" i="53"/>
  <c r="Z293" i="53" s="1"/>
  <c r="AK293" i="53"/>
  <c r="AK316" i="53"/>
  <c r="AL316" i="53" s="1"/>
  <c r="Y316" i="53"/>
  <c r="AR315" i="53"/>
  <c r="AK314" i="53"/>
  <c r="AF313" i="53"/>
  <c r="Y307" i="53"/>
  <c r="Z307" i="53" s="1"/>
  <c r="AR292" i="53"/>
  <c r="AF291" i="53"/>
  <c r="AR304" i="53"/>
  <c r="AT304" i="53" s="1"/>
  <c r="AR320" i="53"/>
  <c r="U298" i="53"/>
  <c r="AF298" i="53"/>
  <c r="AH298" i="53" s="1"/>
  <c r="AR298" i="53"/>
  <c r="AS298" i="53" s="1"/>
  <c r="Y298" i="53"/>
  <c r="AK298" i="53"/>
  <c r="AB298" i="53"/>
  <c r="AD298" i="53" s="1"/>
  <c r="AO298" i="53"/>
  <c r="AR322" i="53"/>
  <c r="AF322" i="53"/>
  <c r="AJ322" i="53" s="1"/>
  <c r="U322" i="53"/>
  <c r="X322" i="53" s="1"/>
  <c r="Y322" i="53"/>
  <c r="Z322" i="53" s="1"/>
  <c r="AK322" i="53"/>
  <c r="AN322" i="53" s="1"/>
  <c r="AB322" i="53"/>
  <c r="AO322" i="53"/>
  <c r="AP322" i="53" s="1"/>
  <c r="AR312" i="53"/>
  <c r="AK306" i="53"/>
  <c r="AF300" i="53"/>
  <c r="AG300" i="53" s="1"/>
  <c r="Y300" i="53"/>
  <c r="AK300" i="53"/>
  <c r="AO300" i="53"/>
  <c r="AR300" i="53"/>
  <c r="Y286" i="53"/>
  <c r="AO286" i="53"/>
  <c r="AB286" i="53"/>
  <c r="AD286" i="53" s="1"/>
  <c r="AR286" i="53"/>
  <c r="AS286" i="53" s="1"/>
  <c r="AK286" i="53"/>
  <c r="Y301" i="53"/>
  <c r="Z301" i="53" s="1"/>
  <c r="AK301" i="53"/>
  <c r="AB301" i="53"/>
  <c r="AO309" i="53"/>
  <c r="AP309" i="53" s="1"/>
  <c r="U309" i="53"/>
  <c r="AF309" i="53"/>
  <c r="AJ309" i="53" s="1"/>
  <c r="AR309" i="53"/>
  <c r="Y309" i="53"/>
  <c r="Z309" i="53" s="1"/>
  <c r="AB325" i="53"/>
  <c r="AC325" i="53" s="1"/>
  <c r="AF325" i="53"/>
  <c r="AG325" i="53" s="1"/>
  <c r="AR325" i="53"/>
  <c r="AS325" i="53" s="1"/>
  <c r="U325" i="53"/>
  <c r="Y325" i="53"/>
  <c r="AB321" i="53"/>
  <c r="AB320" i="53"/>
  <c r="Y287" i="53"/>
  <c r="AR287" i="53"/>
  <c r="AB287" i="53"/>
  <c r="U287" i="53"/>
  <c r="W287" i="53" s="1"/>
  <c r="U294" i="53"/>
  <c r="AF294" i="53"/>
  <c r="AH294" i="53" s="1"/>
  <c r="AR294" i="53"/>
  <c r="AS294" i="53" s="1"/>
  <c r="AK294" i="53"/>
  <c r="AB294" i="53"/>
  <c r="AD294" i="53" s="1"/>
  <c r="AO294" i="53"/>
  <c r="AB302" i="53"/>
  <c r="AD302" i="53" s="1"/>
  <c r="AO302" i="53"/>
  <c r="U302" i="53"/>
  <c r="AF302" i="53"/>
  <c r="AH302" i="53" s="1"/>
  <c r="AR302" i="53"/>
  <c r="AS302" i="53" s="1"/>
  <c r="Y302" i="53"/>
  <c r="Y310" i="53"/>
  <c r="AO310" i="53"/>
  <c r="AB310" i="53"/>
  <c r="AE310" i="53" s="1"/>
  <c r="U310" i="53"/>
  <c r="AR317" i="53"/>
  <c r="AS317" i="53" s="1"/>
  <c r="Y317" i="53"/>
  <c r="AF310" i="53"/>
  <c r="AG310" i="53" s="1"/>
  <c r="S305" i="53"/>
  <c r="U304" i="53"/>
  <c r="U301" i="53"/>
  <c r="AR296" i="53"/>
  <c r="AT296" i="53" s="1"/>
  <c r="AK292" i="53"/>
  <c r="AO325" i="53"/>
  <c r="AR324" i="53"/>
  <c r="Q325" i="53"/>
  <c r="Q292" i="53"/>
  <c r="R292" i="53"/>
  <c r="S292" i="53"/>
  <c r="T292" i="53"/>
  <c r="R298" i="53"/>
  <c r="R290" i="53"/>
  <c r="T293" i="53"/>
  <c r="AA297" i="53" l="1"/>
  <c r="S321" i="53"/>
  <c r="AT306" i="53"/>
  <c r="AH316" i="53"/>
  <c r="R321" i="53"/>
  <c r="AC288" i="53"/>
  <c r="T321" i="53"/>
  <c r="AG308" i="53"/>
  <c r="T291" i="53"/>
  <c r="AH312" i="53"/>
  <c r="R291" i="53"/>
  <c r="AN302" i="53"/>
  <c r="AN320" i="53"/>
  <c r="AQ314" i="53"/>
  <c r="S291" i="53"/>
  <c r="AC289" i="53"/>
  <c r="T323" i="53"/>
  <c r="AE289" i="53"/>
  <c r="AJ308" i="53"/>
  <c r="AG301" i="53"/>
  <c r="AM320" i="53"/>
  <c r="AL302" i="53"/>
  <c r="AJ301" i="53"/>
  <c r="AI308" i="53"/>
  <c r="AH301" i="53"/>
  <c r="AN310" i="53"/>
  <c r="AJ316" i="53"/>
  <c r="AJ287" i="53"/>
  <c r="AG316" i="53"/>
  <c r="AH287" i="53"/>
  <c r="AD309" i="53"/>
  <c r="AI287" i="53"/>
  <c r="AC309" i="53"/>
  <c r="AJ324" i="53"/>
  <c r="AC318" i="53"/>
  <c r="AI324" i="53"/>
  <c r="AE318" i="53"/>
  <c r="AH324" i="53"/>
  <c r="W286" i="53"/>
  <c r="V286" i="53"/>
  <c r="X313" i="53"/>
  <c r="AH299" i="53"/>
  <c r="V313" i="53"/>
  <c r="AJ299" i="53"/>
  <c r="V300" i="53"/>
  <c r="Z294" i="53"/>
  <c r="X300" i="53"/>
  <c r="AP323" i="53"/>
  <c r="AM315" i="53"/>
  <c r="AN304" i="53"/>
  <c r="AN315" i="53"/>
  <c r="AM310" i="53"/>
  <c r="AM304" i="53"/>
  <c r="AI299" i="53"/>
  <c r="AJ312" i="53"/>
  <c r="W290" i="53"/>
  <c r="R318" i="53"/>
  <c r="T318" i="53"/>
  <c r="Z288" i="53"/>
  <c r="AT301" i="53"/>
  <c r="X290" i="53"/>
  <c r="AM325" i="53"/>
  <c r="AA320" i="53"/>
  <c r="AH295" i="53"/>
  <c r="AN318" i="53"/>
  <c r="AS321" i="53"/>
  <c r="AD288" i="53"/>
  <c r="V297" i="53"/>
  <c r="S318" i="53"/>
  <c r="AN321" i="53"/>
  <c r="AG302" i="53"/>
  <c r="AQ322" i="53"/>
  <c r="AL321" i="53"/>
  <c r="AA293" i="53"/>
  <c r="AJ302" i="53"/>
  <c r="AI302" i="53"/>
  <c r="AM318" i="53"/>
  <c r="X297" i="53"/>
  <c r="AN325" i="53"/>
  <c r="AS304" i="53"/>
  <c r="X315" i="53"/>
  <c r="AJ303" i="53"/>
  <c r="V315" i="53"/>
  <c r="AJ286" i="53"/>
  <c r="AN297" i="53"/>
  <c r="AG286" i="53"/>
  <c r="AM297" i="53"/>
  <c r="T308" i="53"/>
  <c r="AI286" i="53"/>
  <c r="AM322" i="53"/>
  <c r="S286" i="53"/>
  <c r="AE304" i="53"/>
  <c r="AD304" i="53"/>
  <c r="X289" i="53"/>
  <c r="AN289" i="53"/>
  <c r="AA307" i="53"/>
  <c r="T311" i="53"/>
  <c r="AA322" i="53"/>
  <c r="R303" i="53"/>
  <c r="AI310" i="53"/>
  <c r="AJ314" i="53"/>
  <c r="S310" i="53"/>
  <c r="S294" i="53"/>
  <c r="AS318" i="53"/>
  <c r="S308" i="53"/>
  <c r="S319" i="53"/>
  <c r="AQ301" i="53"/>
  <c r="Q310" i="53"/>
  <c r="Q308" i="53"/>
  <c r="X291" i="53"/>
  <c r="AH314" i="53"/>
  <c r="X307" i="53"/>
  <c r="AG314" i="53"/>
  <c r="T309" i="53"/>
  <c r="T316" i="53"/>
  <c r="AG318" i="53"/>
  <c r="Q294" i="53"/>
  <c r="V291" i="53"/>
  <c r="AI318" i="53"/>
  <c r="AE293" i="53"/>
  <c r="AP287" i="53"/>
  <c r="AQ315" i="53"/>
  <c r="AE296" i="53"/>
  <c r="AH318" i="53"/>
  <c r="AE312" i="53"/>
  <c r="AD293" i="53"/>
  <c r="T295" i="53"/>
  <c r="AJ321" i="53"/>
  <c r="AD296" i="53"/>
  <c r="AC312" i="53"/>
  <c r="T310" i="53"/>
  <c r="AQ299" i="53"/>
  <c r="AQ307" i="53"/>
  <c r="AA291" i="53"/>
  <c r="R300" i="53"/>
  <c r="Z296" i="53"/>
  <c r="S309" i="53"/>
  <c r="AQ318" i="53"/>
  <c r="T287" i="53"/>
  <c r="W289" i="53"/>
  <c r="V307" i="53"/>
  <c r="AN324" i="53"/>
  <c r="Q309" i="53"/>
  <c r="R287" i="53"/>
  <c r="V308" i="53"/>
  <c r="X308" i="53"/>
  <c r="AT298" i="53"/>
  <c r="Q287" i="53"/>
  <c r="T302" i="53"/>
  <c r="V299" i="53"/>
  <c r="V322" i="53"/>
  <c r="AA313" i="53"/>
  <c r="AA318" i="53"/>
  <c r="Z318" i="53"/>
  <c r="AA299" i="53"/>
  <c r="S302" i="53"/>
  <c r="V316" i="53"/>
  <c r="Q302" i="53"/>
  <c r="W322" i="53"/>
  <c r="W316" i="53"/>
  <c r="AH306" i="53"/>
  <c r="AJ294" i="53"/>
  <c r="AA311" i="53"/>
  <c r="AL299" i="53"/>
  <c r="AT286" i="53"/>
  <c r="AI294" i="53"/>
  <c r="AE298" i="53"/>
  <c r="S295" i="53"/>
  <c r="W311" i="53"/>
  <c r="AL305" i="53"/>
  <c r="AM311" i="53"/>
  <c r="S323" i="53"/>
  <c r="AL322" i="53"/>
  <c r="AM324" i="53"/>
  <c r="R304" i="53"/>
  <c r="AI312" i="53"/>
  <c r="AT308" i="53"/>
  <c r="AS308" i="53"/>
  <c r="Q286" i="53"/>
  <c r="AL307" i="53"/>
  <c r="W318" i="53"/>
  <c r="S304" i="53"/>
  <c r="AC316" i="53"/>
  <c r="AD316" i="53"/>
  <c r="AE316" i="53"/>
  <c r="AG294" i="53"/>
  <c r="AC298" i="53"/>
  <c r="AQ309" i="53"/>
  <c r="V311" i="53"/>
  <c r="X299" i="53"/>
  <c r="AC290" i="53"/>
  <c r="AL311" i="53"/>
  <c r="T286" i="53"/>
  <c r="Q304" i="53"/>
  <c r="AT316" i="53"/>
  <c r="AS316" i="53"/>
  <c r="AS299" i="53"/>
  <c r="AM289" i="53"/>
  <c r="AN313" i="53"/>
  <c r="AQ317" i="53"/>
  <c r="AP317" i="53"/>
  <c r="X318" i="53"/>
  <c r="R295" i="53"/>
  <c r="AN291" i="53"/>
  <c r="AS296" i="53"/>
  <c r="AJ306" i="53"/>
  <c r="AD310" i="53"/>
  <c r="AJ300" i="53"/>
  <c r="AP304" i="53"/>
  <c r="AA319" i="53"/>
  <c r="AL291" i="53"/>
  <c r="AN307" i="53"/>
  <c r="AC310" i="53"/>
  <c r="AI300" i="53"/>
  <c r="AN299" i="53"/>
  <c r="AT325" i="53"/>
  <c r="AA321" i="53"/>
  <c r="Z321" i="53"/>
  <c r="W317" i="53"/>
  <c r="V317" i="53"/>
  <c r="X317" i="53"/>
  <c r="AI317" i="53"/>
  <c r="AH317" i="53"/>
  <c r="AG317" i="53"/>
  <c r="AA310" i="53"/>
  <c r="Z310" i="53"/>
  <c r="R301" i="53"/>
  <c r="Q301" i="53"/>
  <c r="S301" i="53"/>
  <c r="AQ316" i="53"/>
  <c r="AP316" i="53"/>
  <c r="AE315" i="53"/>
  <c r="AD315" i="53"/>
  <c r="AC315" i="53"/>
  <c r="W296" i="53"/>
  <c r="X296" i="53"/>
  <c r="V296" i="53"/>
  <c r="AT319" i="53"/>
  <c r="AS319" i="53"/>
  <c r="AS322" i="53"/>
  <c r="AT322" i="53"/>
  <c r="V293" i="53"/>
  <c r="W293" i="53"/>
  <c r="X293" i="53"/>
  <c r="T306" i="53"/>
  <c r="S306" i="53"/>
  <c r="AI311" i="53"/>
  <c r="AG311" i="53"/>
  <c r="AT288" i="53"/>
  <c r="AJ310" i="53"/>
  <c r="AH310" i="53"/>
  <c r="Z287" i="53"/>
  <c r="AA287" i="53"/>
  <c r="Q322" i="53"/>
  <c r="R322" i="53"/>
  <c r="S322" i="53"/>
  <c r="T322" i="53"/>
  <c r="AS320" i="53"/>
  <c r="AT320" i="53"/>
  <c r="AT292" i="53"/>
  <c r="AS292" i="53"/>
  <c r="S320" i="53"/>
  <c r="Q320" i="53"/>
  <c r="R320" i="53"/>
  <c r="AA308" i="53"/>
  <c r="Z308" i="53"/>
  <c r="AG290" i="53"/>
  <c r="AI290" i="53"/>
  <c r="AJ290" i="53"/>
  <c r="X321" i="53"/>
  <c r="V321" i="53"/>
  <c r="W321" i="53"/>
  <c r="AE292" i="53"/>
  <c r="AD292" i="53"/>
  <c r="AC292" i="53"/>
  <c r="S314" i="53"/>
  <c r="T314" i="53"/>
  <c r="AQ312" i="53"/>
  <c r="AP312" i="53"/>
  <c r="AG323" i="53"/>
  <c r="AH323" i="53"/>
  <c r="AD291" i="53"/>
  <c r="AC291" i="53"/>
  <c r="AE291" i="53"/>
  <c r="AP306" i="53"/>
  <c r="AQ306" i="53"/>
  <c r="AI296" i="53"/>
  <c r="AG296" i="53"/>
  <c r="AH296" i="53"/>
  <c r="AJ296" i="53"/>
  <c r="AH319" i="53"/>
  <c r="AG319" i="53"/>
  <c r="AP311" i="53"/>
  <c r="AQ311" i="53"/>
  <c r="S303" i="53"/>
  <c r="Q303" i="53"/>
  <c r="AL295" i="53"/>
  <c r="AN295" i="53"/>
  <c r="AI288" i="53"/>
  <c r="AH288" i="53"/>
  <c r="AG288" i="53"/>
  <c r="AJ288" i="53"/>
  <c r="AQ293" i="53"/>
  <c r="Z304" i="53"/>
  <c r="W305" i="53"/>
  <c r="AH300" i="53"/>
  <c r="AN316" i="53"/>
  <c r="AA315" i="53"/>
  <c r="AH292" i="53"/>
  <c r="Q306" i="53"/>
  <c r="R314" i="53"/>
  <c r="AJ323" i="53"/>
  <c r="AM292" i="53"/>
  <c r="AL292" i="53"/>
  <c r="AN292" i="53"/>
  <c r="Z317" i="53"/>
  <c r="AA317" i="53"/>
  <c r="AL294" i="53"/>
  <c r="AM294" i="53"/>
  <c r="AN294" i="53"/>
  <c r="AC320" i="53"/>
  <c r="AE320" i="53"/>
  <c r="AD320" i="53"/>
  <c r="AS309" i="53"/>
  <c r="AT309" i="53"/>
  <c r="AL286" i="53"/>
  <c r="AN286" i="53"/>
  <c r="AM286" i="53"/>
  <c r="AQ300" i="53"/>
  <c r="AP300" i="53"/>
  <c r="AQ298" i="53"/>
  <c r="AP298" i="53"/>
  <c r="AI320" i="53"/>
  <c r="AG320" i="53"/>
  <c r="AH320" i="53"/>
  <c r="Z324" i="53"/>
  <c r="AA324" i="53"/>
  <c r="AQ292" i="53"/>
  <c r="AP292" i="53"/>
  <c r="AT313" i="53"/>
  <c r="AS313" i="53"/>
  <c r="S316" i="53"/>
  <c r="R316" i="53"/>
  <c r="AC323" i="53"/>
  <c r="AD323" i="53"/>
  <c r="AE323" i="53"/>
  <c r="Z306" i="53"/>
  <c r="AA306" i="53"/>
  <c r="AQ289" i="53"/>
  <c r="AP289" i="53"/>
  <c r="R319" i="53"/>
  <c r="Q319" i="53"/>
  <c r="AC311" i="53"/>
  <c r="AE311" i="53"/>
  <c r="AD311" i="53"/>
  <c r="AP303" i="53"/>
  <c r="AQ303" i="53"/>
  <c r="V295" i="53"/>
  <c r="X295" i="53"/>
  <c r="AA290" i="53"/>
  <c r="Z290" i="53"/>
  <c r="AM306" i="53"/>
  <c r="AL306" i="53"/>
  <c r="AN306" i="53"/>
  <c r="AT310" i="53"/>
  <c r="AC321" i="53"/>
  <c r="AE321" i="53"/>
  <c r="AD321" i="53"/>
  <c r="AH309" i="53"/>
  <c r="AG309" i="53"/>
  <c r="AI309" i="53"/>
  <c r="AM300" i="53"/>
  <c r="AL300" i="53"/>
  <c r="AC322" i="53"/>
  <c r="AD322" i="53"/>
  <c r="AE322" i="53"/>
  <c r="AG313" i="53"/>
  <c r="AJ313" i="53"/>
  <c r="AH313" i="53"/>
  <c r="AI313" i="53"/>
  <c r="AM293" i="53"/>
  <c r="AN293" i="53"/>
  <c r="AL293" i="53"/>
  <c r="AP308" i="53"/>
  <c r="AQ308" i="53"/>
  <c r="R297" i="53"/>
  <c r="S297" i="53"/>
  <c r="T297" i="53"/>
  <c r="Q297" i="53"/>
  <c r="X323" i="53"/>
  <c r="V323" i="53"/>
  <c r="W323" i="53"/>
  <c r="V324" i="53"/>
  <c r="W324" i="53"/>
  <c r="X324" i="53"/>
  <c r="AA292" i="53"/>
  <c r="Z292" i="53"/>
  <c r="AP313" i="53"/>
  <c r="AQ313" i="53"/>
  <c r="AL287" i="53"/>
  <c r="AN287" i="53"/>
  <c r="AC317" i="53"/>
  <c r="AE317" i="53"/>
  <c r="R323" i="53"/>
  <c r="Q299" i="53"/>
  <c r="T299" i="53"/>
  <c r="R299" i="53"/>
  <c r="S299" i="53"/>
  <c r="AG321" i="53"/>
  <c r="AI321" i="53"/>
  <c r="Z289" i="53"/>
  <c r="AA289" i="53"/>
  <c r="AE319" i="53"/>
  <c r="AD319" i="53"/>
  <c r="AC319" i="53"/>
  <c r="AC303" i="53"/>
  <c r="AD303" i="53"/>
  <c r="AE303" i="53"/>
  <c r="AI295" i="53"/>
  <c r="AG295" i="53"/>
  <c r="S288" i="53"/>
  <c r="T288" i="53"/>
  <c r="Q288" i="53"/>
  <c r="R288" i="53"/>
  <c r="AQ325" i="53"/>
  <c r="AP325" i="53"/>
  <c r="AD287" i="53"/>
  <c r="AC287" i="53"/>
  <c r="AG298" i="53"/>
  <c r="AI298" i="53"/>
  <c r="AJ298" i="53"/>
  <c r="AP297" i="53"/>
  <c r="AQ297" i="53"/>
  <c r="AT307" i="53"/>
  <c r="AS307" i="53"/>
  <c r="Z303" i="53"/>
  <c r="AA303" i="53"/>
  <c r="AT287" i="53"/>
  <c r="AS287" i="53"/>
  <c r="AH291" i="53"/>
  <c r="AG291" i="53"/>
  <c r="AJ291" i="53"/>
  <c r="AG307" i="53"/>
  <c r="AH307" i="53"/>
  <c r="AJ307" i="53"/>
  <c r="AI307" i="53"/>
  <c r="X305" i="53"/>
  <c r="AI292" i="53"/>
  <c r="R306" i="53"/>
  <c r="AS312" i="53"/>
  <c r="AT312" i="53"/>
  <c r="AE287" i="53"/>
  <c r="AI291" i="53"/>
  <c r="AJ311" i="53"/>
  <c r="T300" i="53"/>
  <c r="AG292" i="53"/>
  <c r="AE306" i="53"/>
  <c r="Q314" i="53"/>
  <c r="AA301" i="53"/>
  <c r="AD325" i="53"/>
  <c r="V302" i="53"/>
  <c r="W302" i="53"/>
  <c r="X302" i="53"/>
  <c r="T301" i="53"/>
  <c r="AQ291" i="53"/>
  <c r="AH311" i="53"/>
  <c r="S300" i="53"/>
  <c r="AT317" i="53"/>
  <c r="AJ319" i="53"/>
  <c r="AC306" i="53"/>
  <c r="AE314" i="53"/>
  <c r="AQ319" i="53"/>
  <c r="AI323" i="53"/>
  <c r="V310" i="53"/>
  <c r="X310" i="53"/>
  <c r="W310" i="53"/>
  <c r="AQ302" i="53"/>
  <c r="AP302" i="53"/>
  <c r="AA325" i="53"/>
  <c r="Z325" i="53"/>
  <c r="V309" i="53"/>
  <c r="X309" i="53"/>
  <c r="W309" i="53"/>
  <c r="Z300" i="53"/>
  <c r="AA300" i="53"/>
  <c r="AM298" i="53"/>
  <c r="AL298" i="53"/>
  <c r="AN298" i="53"/>
  <c r="AM314" i="53"/>
  <c r="AN314" i="53"/>
  <c r="AL314" i="53"/>
  <c r="AC308" i="53"/>
  <c r="AD308" i="53"/>
  <c r="AE308" i="53"/>
  <c r="AT297" i="53"/>
  <c r="AS297" i="53"/>
  <c r="AP324" i="53"/>
  <c r="AQ324" i="53"/>
  <c r="Z314" i="53"/>
  <c r="AA314" i="53"/>
  <c r="AD313" i="53"/>
  <c r="AC313" i="53"/>
  <c r="AE313" i="53"/>
  <c r="AA323" i="53"/>
  <c r="Z323" i="53"/>
  <c r="AD307" i="53"/>
  <c r="AE307" i="53"/>
  <c r="AC307" i="53"/>
  <c r="W312" i="53"/>
  <c r="V312" i="53"/>
  <c r="X312" i="53"/>
  <c r="AQ305" i="53"/>
  <c r="AP305" i="53"/>
  <c r="AS289" i="53"/>
  <c r="AT289" i="53"/>
  <c r="Q296" i="53"/>
  <c r="R296" i="53"/>
  <c r="S296" i="53"/>
  <c r="T296" i="53"/>
  <c r="AL303" i="53"/>
  <c r="AN303" i="53"/>
  <c r="AQ288" i="53"/>
  <c r="AP288" i="53"/>
  <c r="W304" i="53"/>
  <c r="V304" i="53"/>
  <c r="X304" i="53"/>
  <c r="AA286" i="53"/>
  <c r="Z286" i="53"/>
  <c r="AN309" i="53"/>
  <c r="AL309" i="53"/>
  <c r="AM309" i="53"/>
  <c r="AP290" i="53"/>
  <c r="AQ290" i="53"/>
  <c r="S311" i="53"/>
  <c r="AA302" i="53"/>
  <c r="Z302" i="53"/>
  <c r="AT300" i="53"/>
  <c r="AS300" i="53"/>
  <c r="AN317" i="53"/>
  <c r="AM317" i="53"/>
  <c r="AL317" i="53"/>
  <c r="S315" i="53"/>
  <c r="Q315" i="53"/>
  <c r="T315" i="53"/>
  <c r="R315" i="53"/>
  <c r="AQ296" i="53"/>
  <c r="AP296" i="53"/>
  <c r="AC314" i="53"/>
  <c r="V325" i="53"/>
  <c r="W325" i="53"/>
  <c r="X325" i="53"/>
  <c r="AG304" i="53"/>
  <c r="AJ304" i="53"/>
  <c r="AH304" i="53"/>
  <c r="AI304" i="53"/>
  <c r="AM319" i="53"/>
  <c r="AL319" i="53"/>
  <c r="AT303" i="53"/>
  <c r="AS303" i="53"/>
  <c r="AQ294" i="53"/>
  <c r="AP294" i="53"/>
  <c r="AI325" i="53"/>
  <c r="AH325" i="53"/>
  <c r="AJ325" i="53"/>
  <c r="AH322" i="53"/>
  <c r="AI322" i="53"/>
  <c r="AG322" i="53"/>
  <c r="AS314" i="53"/>
  <c r="AT314" i="53"/>
  <c r="AP321" i="53"/>
  <c r="AQ321" i="53"/>
  <c r="AT291" i="53"/>
  <c r="AS291" i="53"/>
  <c r="AT295" i="53"/>
  <c r="AS295" i="53"/>
  <c r="W288" i="53"/>
  <c r="V288" i="53"/>
  <c r="R311" i="53"/>
  <c r="AC294" i="53"/>
  <c r="AE294" i="53"/>
  <c r="AL301" i="53"/>
  <c r="AM301" i="53"/>
  <c r="AN301" i="53"/>
  <c r="W298" i="53"/>
  <c r="V298" i="53"/>
  <c r="X298" i="53"/>
  <c r="AS290" i="53"/>
  <c r="AT290" i="53"/>
  <c r="W292" i="53"/>
  <c r="X292" i="53"/>
  <c r="V292" i="53"/>
  <c r="AS323" i="53"/>
  <c r="AT323" i="53"/>
  <c r="AD297" i="53"/>
  <c r="AC297" i="53"/>
  <c r="AE297" i="53"/>
  <c r="AG305" i="53"/>
  <c r="AH305" i="53"/>
  <c r="AI305" i="53"/>
  <c r="AJ305" i="53"/>
  <c r="V303" i="53"/>
  <c r="X303" i="53"/>
  <c r="AD295" i="53"/>
  <c r="AE295" i="53"/>
  <c r="AC295" i="53"/>
  <c r="X288" i="53"/>
  <c r="W301" i="53"/>
  <c r="V301" i="53"/>
  <c r="X301" i="53"/>
  <c r="AC302" i="53"/>
  <c r="AE302" i="53"/>
  <c r="V294" i="53"/>
  <c r="W294" i="53"/>
  <c r="X294" i="53"/>
  <c r="AC286" i="53"/>
  <c r="AE286" i="53"/>
  <c r="Z298" i="53"/>
  <c r="AA298" i="53"/>
  <c r="AT315" i="53"/>
  <c r="AS315" i="53"/>
  <c r="AS293" i="53"/>
  <c r="AT293" i="53"/>
  <c r="AD300" i="53"/>
  <c r="AC300" i="53"/>
  <c r="AE300" i="53"/>
  <c r="AC324" i="53"/>
  <c r="AD324" i="53"/>
  <c r="AE324" i="53"/>
  <c r="W314" i="53"/>
  <c r="V314" i="53"/>
  <c r="X314" i="53"/>
  <c r="AL312" i="53"/>
  <c r="AM312" i="53"/>
  <c r="AN312" i="53"/>
  <c r="AL323" i="53"/>
  <c r="AM323" i="53"/>
  <c r="AN323" i="53"/>
  <c r="R307" i="53"/>
  <c r="S307" i="53"/>
  <c r="T307" i="53"/>
  <c r="Q307" i="53"/>
  <c r="AD299" i="53"/>
  <c r="AC299" i="53"/>
  <c r="AE299" i="53"/>
  <c r="X320" i="53"/>
  <c r="V320" i="53"/>
  <c r="W320" i="53"/>
  <c r="Z305" i="53"/>
  <c r="AA305" i="53"/>
  <c r="AJ289" i="53"/>
  <c r="AG289" i="53"/>
  <c r="AH289" i="53"/>
  <c r="AI289" i="53"/>
  <c r="AM296" i="53"/>
  <c r="AL296" i="53"/>
  <c r="AN296" i="53"/>
  <c r="Z295" i="53"/>
  <c r="AA295" i="53"/>
  <c r="AT294" i="53"/>
  <c r="AT302" i="53"/>
  <c r="AN300" i="53"/>
  <c r="AN305" i="53"/>
  <c r="AG306" i="53"/>
  <c r="AE290" i="53"/>
  <c r="T294" i="53"/>
  <c r="AA309" i="53"/>
  <c r="AM316" i="53"/>
  <c r="AL313" i="53"/>
  <c r="AE325" i="53"/>
  <c r="AT324" i="53"/>
  <c r="AS324" i="53"/>
  <c r="AQ310" i="53"/>
  <c r="AP310" i="53"/>
  <c r="V287" i="53"/>
  <c r="X287" i="53"/>
  <c r="AC301" i="53"/>
  <c r="AD301" i="53"/>
  <c r="AE301" i="53"/>
  <c r="AQ286" i="53"/>
  <c r="AP286" i="53"/>
  <c r="Z316" i="53"/>
  <c r="AA316" i="53"/>
  <c r="AH293" i="53"/>
  <c r="AI293" i="53"/>
  <c r="AG293" i="53"/>
  <c r="AN290" i="53"/>
  <c r="AL290" i="53"/>
  <c r="AM290" i="53"/>
  <c r="AG297" i="53"/>
  <c r="AJ297" i="53"/>
  <c r="AI297" i="53"/>
  <c r="AH297" i="53"/>
  <c r="AD305" i="53"/>
  <c r="AC305" i="53"/>
  <c r="AE305" i="53"/>
  <c r="R324" i="53"/>
  <c r="Q324" i="53"/>
  <c r="S324" i="53"/>
  <c r="Q313" i="53"/>
  <c r="R313" i="53"/>
  <c r="S313" i="53"/>
  <c r="T313" i="53"/>
  <c r="AA312" i="53"/>
  <c r="Z312" i="53"/>
  <c r="AM308" i="53"/>
  <c r="AN308" i="53"/>
  <c r="AQ320" i="53"/>
  <c r="AP320" i="53"/>
  <c r="AG315" i="53"/>
  <c r="AJ315" i="53"/>
  <c r="AH315" i="53"/>
  <c r="AI315" i="53"/>
  <c r="T289" i="53"/>
  <c r="S289" i="53"/>
  <c r="Q289" i="53"/>
  <c r="R289" i="53"/>
  <c r="W306" i="53"/>
  <c r="X306" i="53"/>
  <c r="V306" i="53"/>
  <c r="AT305" i="53"/>
  <c r="AS305" i="53"/>
  <c r="W319" i="53"/>
  <c r="V319" i="53"/>
  <c r="AT311" i="53"/>
  <c r="AS311" i="53"/>
  <c r="AG303" i="53"/>
  <c r="AI303" i="53"/>
  <c r="AP295" i="53"/>
  <c r="AQ295" i="53"/>
  <c r="AM288" i="53"/>
  <c r="AL288" i="53"/>
  <c r="M804" i="53"/>
  <c r="M803" i="53"/>
  <c r="M802" i="53"/>
  <c r="M801" i="53"/>
  <c r="J800" i="53"/>
  <c r="M800" i="53" s="1"/>
  <c r="J799" i="53"/>
  <c r="M799" i="53" s="1"/>
  <c r="M798" i="53"/>
  <c r="M797" i="53"/>
  <c r="M796" i="53"/>
  <c r="J795" i="53"/>
  <c r="M795" i="53" s="1"/>
  <c r="M794" i="53"/>
  <c r="J793" i="53"/>
  <c r="M792" i="53"/>
  <c r="M280" i="53"/>
  <c r="J285" i="53"/>
  <c r="M285" i="53" s="1"/>
  <c r="J284" i="53"/>
  <c r="M284" i="53" s="1"/>
  <c r="M283" i="53"/>
  <c r="M282" i="53"/>
  <c r="M281" i="53"/>
  <c r="P281" i="53" s="1"/>
  <c r="M279" i="53"/>
  <c r="M278" i="53"/>
  <c r="M277" i="53"/>
  <c r="M276" i="53"/>
  <c r="P276" i="53" s="1"/>
  <c r="M275" i="53"/>
  <c r="J274" i="53"/>
  <c r="M274" i="53" s="1"/>
  <c r="P274" i="53" s="1"/>
  <c r="J273" i="53"/>
  <c r="M273" i="53" s="1"/>
  <c r="P273" i="53" s="1"/>
  <c r="J272" i="53"/>
  <c r="M272" i="53" s="1"/>
  <c r="P272" i="53" s="1"/>
  <c r="J271" i="53"/>
  <c r="M271" i="53" s="1"/>
  <c r="P271" i="53" s="1"/>
  <c r="J270" i="53"/>
  <c r="M270" i="53" s="1"/>
  <c r="P270" i="53" s="1"/>
  <c r="J269" i="53"/>
  <c r="M269" i="53" s="1"/>
  <c r="J268" i="53"/>
  <c r="M268" i="53" s="1"/>
  <c r="P268" i="53" s="1"/>
  <c r="AK282" i="53" l="1"/>
  <c r="AM282" i="53" s="1"/>
  <c r="P282" i="53"/>
  <c r="AB284" i="53"/>
  <c r="AE284" i="53" s="1"/>
  <c r="P284" i="53"/>
  <c r="AR283" i="53"/>
  <c r="AT283" i="53" s="1"/>
  <c r="P283" i="53"/>
  <c r="AR285" i="53"/>
  <c r="AT285" i="53" s="1"/>
  <c r="P285" i="53"/>
  <c r="AB277" i="53"/>
  <c r="AE277" i="53" s="1"/>
  <c r="P277" i="53"/>
  <c r="AB275" i="53"/>
  <c r="AD275" i="53" s="1"/>
  <c r="P275" i="53"/>
  <c r="AK269" i="53"/>
  <c r="AM269" i="53" s="1"/>
  <c r="P269" i="53"/>
  <c r="AK278" i="53"/>
  <c r="AN278" i="53" s="1"/>
  <c r="P278" i="53"/>
  <c r="AB279" i="53"/>
  <c r="AE279" i="53" s="1"/>
  <c r="P279" i="53"/>
  <c r="P280" i="53"/>
  <c r="R280" i="53" s="1"/>
  <c r="M793" i="53"/>
  <c r="AB276" i="53"/>
  <c r="AD276" i="53" s="1"/>
  <c r="U285" i="53"/>
  <c r="V285" i="53" s="1"/>
  <c r="AR269" i="53"/>
  <c r="AT269" i="53" s="1"/>
  <c r="AB285" i="53"/>
  <c r="AD285" i="53" s="1"/>
  <c r="AB280" i="53"/>
  <c r="AE280" i="53" s="1"/>
  <c r="AF270" i="53"/>
  <c r="AH270" i="53" s="1"/>
  <c r="AB270" i="53"/>
  <c r="AD270" i="53" s="1"/>
  <c r="AO270" i="53"/>
  <c r="AR270" i="53"/>
  <c r="AT270" i="53" s="1"/>
  <c r="AR284" i="53"/>
  <c r="AS284" i="53" s="1"/>
  <c r="AK280" i="53"/>
  <c r="Y280" i="53"/>
  <c r="AB278" i="53"/>
  <c r="AD278" i="53" s="1"/>
  <c r="AR280" i="53"/>
  <c r="AK285" i="53"/>
  <c r="AM285" i="53" s="1"/>
  <c r="U280" i="53"/>
  <c r="X280" i="53" s="1"/>
  <c r="AR268" i="53"/>
  <c r="AS268" i="53" s="1"/>
  <c r="AF280" i="53"/>
  <c r="AJ280" i="53" s="1"/>
  <c r="AF269" i="53"/>
  <c r="AH269" i="53" s="1"/>
  <c r="AO280" i="53"/>
  <c r="AR273" i="53"/>
  <c r="AB273" i="53"/>
  <c r="AK273" i="53"/>
  <c r="AO273" i="53"/>
  <c r="AF273" i="53"/>
  <c r="Y273" i="53"/>
  <c r="U273" i="53"/>
  <c r="AR272" i="53"/>
  <c r="AB272" i="53"/>
  <c r="AF272" i="53"/>
  <c r="U272" i="53"/>
  <c r="AO272" i="53"/>
  <c r="AK272" i="53"/>
  <c r="Y272" i="53"/>
  <c r="AF268" i="53"/>
  <c r="AB268" i="53"/>
  <c r="Y268" i="53"/>
  <c r="U268" i="53"/>
  <c r="AO268" i="53"/>
  <c r="AK268" i="53"/>
  <c r="AO274" i="53"/>
  <c r="Y274" i="53"/>
  <c r="AR274" i="53"/>
  <c r="AB274" i="53"/>
  <c r="AK274" i="53"/>
  <c r="AF274" i="53"/>
  <c r="U274" i="53"/>
  <c r="AK271" i="53"/>
  <c r="U271" i="53"/>
  <c r="AR271" i="53"/>
  <c r="AB271" i="53"/>
  <c r="AO271" i="53"/>
  <c r="Y271" i="53"/>
  <c r="AF271" i="53"/>
  <c r="AF275" i="53"/>
  <c r="AO281" i="53"/>
  <c r="Y281" i="53"/>
  <c r="AF281" i="53"/>
  <c r="AO276" i="53"/>
  <c r="Y276" i="53"/>
  <c r="AO284" i="53"/>
  <c r="Y284" i="53"/>
  <c r="AF284" i="53"/>
  <c r="AK270" i="53"/>
  <c r="U270" i="53"/>
  <c r="U281" i="53"/>
  <c r="AK281" i="53"/>
  <c r="U282" i="53"/>
  <c r="U283" i="53"/>
  <c r="AK283" i="53"/>
  <c r="U275" i="53"/>
  <c r="AF279" i="53"/>
  <c r="AO282" i="53"/>
  <c r="Y282" i="53"/>
  <c r="AF282" i="53"/>
  <c r="AB269" i="53"/>
  <c r="AO269" i="53"/>
  <c r="U276" i="53"/>
  <c r="AF276" i="53"/>
  <c r="U278" i="53"/>
  <c r="AF278" i="53"/>
  <c r="U284" i="53"/>
  <c r="AK284" i="53"/>
  <c r="AO279" i="53"/>
  <c r="Y279" i="53"/>
  <c r="AR279" i="53"/>
  <c r="AO275" i="53"/>
  <c r="Y275" i="53"/>
  <c r="AO277" i="53"/>
  <c r="Y277" i="53"/>
  <c r="U269" i="53"/>
  <c r="AR275" i="53"/>
  <c r="AK276" i="53"/>
  <c r="AR277" i="53"/>
  <c r="AB281" i="53"/>
  <c r="AR281" i="53"/>
  <c r="AB282" i="53"/>
  <c r="AR282" i="53"/>
  <c r="AB283" i="53"/>
  <c r="U277" i="53"/>
  <c r="AF277" i="53"/>
  <c r="U279" i="53"/>
  <c r="AO283" i="53"/>
  <c r="Y283" i="53"/>
  <c r="AF283" i="53"/>
  <c r="Y269" i="53"/>
  <c r="AO278" i="53"/>
  <c r="Y278" i="53"/>
  <c r="Y270" i="53"/>
  <c r="AK275" i="53"/>
  <c r="AR276" i="53"/>
  <c r="AK277" i="53"/>
  <c r="AR278" i="53"/>
  <c r="AK279" i="53"/>
  <c r="AO285" i="53"/>
  <c r="Y285" i="53"/>
  <c r="AF285" i="53"/>
  <c r="AE275" i="53" l="1"/>
  <c r="S280" i="53"/>
  <c r="Q280" i="53"/>
  <c r="AD284" i="53"/>
  <c r="AC284" i="53"/>
  <c r="AC277" i="53"/>
  <c r="AD279" i="53"/>
  <c r="AL282" i="53"/>
  <c r="AC279" i="53"/>
  <c r="AN282" i="53"/>
  <c r="AC275" i="53"/>
  <c r="AD277" i="53"/>
  <c r="AS285" i="53"/>
  <c r="AS283" i="53"/>
  <c r="AN269" i="53"/>
  <c r="AL269" i="53"/>
  <c r="T280" i="53"/>
  <c r="AL278" i="53"/>
  <c r="AM278" i="53"/>
  <c r="X285" i="53"/>
  <c r="AC276" i="53"/>
  <c r="AE270" i="53"/>
  <c r="AC285" i="53"/>
  <c r="W285" i="53"/>
  <c r="AS270" i="53"/>
  <c r="AT268" i="53"/>
  <c r="AI269" i="53"/>
  <c r="AG269" i="53"/>
  <c r="AJ269" i="53"/>
  <c r="AS269" i="53"/>
  <c r="AN285" i="53"/>
  <c r="AT284" i="53"/>
  <c r="AC280" i="53"/>
  <c r="AD280" i="53"/>
  <c r="AE285" i="53"/>
  <c r="AL285" i="53"/>
  <c r="AI270" i="53"/>
  <c r="AE276" i="53"/>
  <c r="AC270" i="53"/>
  <c r="AC278" i="53"/>
  <c r="AE278" i="53"/>
  <c r="AJ270" i="53"/>
  <c r="AQ280" i="53"/>
  <c r="AP280" i="53"/>
  <c r="AM280" i="53"/>
  <c r="AN280" i="53"/>
  <c r="AL280" i="53"/>
  <c r="AG270" i="53"/>
  <c r="AP270" i="53"/>
  <c r="AQ270" i="53"/>
  <c r="AA280" i="53"/>
  <c r="Z280" i="53"/>
  <c r="AI280" i="53"/>
  <c r="AG280" i="53"/>
  <c r="AH280" i="53"/>
  <c r="AS280" i="53"/>
  <c r="AT280" i="53"/>
  <c r="W280" i="53"/>
  <c r="V280" i="53"/>
  <c r="S281" i="53"/>
  <c r="R281" i="53"/>
  <c r="Q281" i="53"/>
  <c r="T281" i="53"/>
  <c r="S283" i="53"/>
  <c r="R283" i="53"/>
  <c r="Q283" i="53"/>
  <c r="T283" i="53"/>
  <c r="AE282" i="53"/>
  <c r="AD282" i="53"/>
  <c r="AC282" i="53"/>
  <c r="S275" i="53"/>
  <c r="R275" i="53"/>
  <c r="Q275" i="53"/>
  <c r="T275" i="53"/>
  <c r="AQ279" i="53"/>
  <c r="AP279" i="53"/>
  <c r="AQ282" i="53"/>
  <c r="AP282" i="53"/>
  <c r="X281" i="53"/>
  <c r="W281" i="53"/>
  <c r="V281" i="53"/>
  <c r="AQ276" i="53"/>
  <c r="AP276" i="53"/>
  <c r="T271" i="53"/>
  <c r="R271" i="53"/>
  <c r="Q271" i="53"/>
  <c r="S271" i="53"/>
  <c r="AN274" i="53"/>
  <c r="AL274" i="53"/>
  <c r="AM274" i="53"/>
  <c r="X268" i="53"/>
  <c r="W268" i="53"/>
  <c r="V268" i="53"/>
  <c r="AA272" i="53"/>
  <c r="Z272" i="53"/>
  <c r="X273" i="53"/>
  <c r="W273" i="53"/>
  <c r="V273" i="53"/>
  <c r="AT278" i="53"/>
  <c r="AS278" i="53"/>
  <c r="AE281" i="53"/>
  <c r="AC281" i="53"/>
  <c r="AD281" i="53"/>
  <c r="AL270" i="53"/>
  <c r="AM270" i="53"/>
  <c r="AN270" i="53"/>
  <c r="S274" i="53"/>
  <c r="R274" i="53"/>
  <c r="Q274" i="53"/>
  <c r="T274" i="53"/>
  <c r="T272" i="53"/>
  <c r="S272" i="53"/>
  <c r="Q272" i="53"/>
  <c r="R272" i="53"/>
  <c r="S279" i="53"/>
  <c r="R279" i="53"/>
  <c r="Q279" i="53"/>
  <c r="T279" i="53"/>
  <c r="W275" i="53"/>
  <c r="V275" i="53"/>
  <c r="X275" i="53"/>
  <c r="R284" i="53"/>
  <c r="Q284" i="53"/>
  <c r="S284" i="53"/>
  <c r="T284" i="53"/>
  <c r="Q269" i="53"/>
  <c r="S269" i="53"/>
  <c r="R269" i="53"/>
  <c r="T269" i="53"/>
  <c r="AS271" i="53"/>
  <c r="AT271" i="53"/>
  <c r="AT274" i="53"/>
  <c r="AS274" i="53"/>
  <c r="T268" i="53"/>
  <c r="S268" i="53"/>
  <c r="R268" i="53"/>
  <c r="Q268" i="53"/>
  <c r="AQ272" i="53"/>
  <c r="AP272" i="53"/>
  <c r="T273" i="53"/>
  <c r="S273" i="53"/>
  <c r="R273" i="53"/>
  <c r="Q273" i="53"/>
  <c r="AA278" i="53"/>
  <c r="Z278" i="53"/>
  <c r="AN284" i="53"/>
  <c r="AM284" i="53"/>
  <c r="AL284" i="53"/>
  <c r="AA273" i="53"/>
  <c r="Z273" i="53"/>
  <c r="X284" i="53"/>
  <c r="W284" i="53"/>
  <c r="V284" i="53"/>
  <c r="Q285" i="53"/>
  <c r="T285" i="53"/>
  <c r="S285" i="53"/>
  <c r="R285" i="53"/>
  <c r="X278" i="53"/>
  <c r="W278" i="53"/>
  <c r="V278" i="53"/>
  <c r="AN283" i="53"/>
  <c r="AM283" i="53"/>
  <c r="AL283" i="53"/>
  <c r="AH284" i="53"/>
  <c r="AG284" i="53"/>
  <c r="AI284" i="53"/>
  <c r="AJ284" i="53"/>
  <c r="AI281" i="53"/>
  <c r="AH281" i="53"/>
  <c r="AG281" i="53"/>
  <c r="AJ281" i="53"/>
  <c r="X271" i="53"/>
  <c r="V271" i="53"/>
  <c r="W271" i="53"/>
  <c r="AA274" i="53"/>
  <c r="Z274" i="53"/>
  <c r="AI268" i="53"/>
  <c r="AG268" i="53"/>
  <c r="AJ268" i="53"/>
  <c r="AH268" i="53"/>
  <c r="W272" i="53"/>
  <c r="X272" i="53"/>
  <c r="V272" i="53"/>
  <c r="AQ273" i="53"/>
  <c r="AP273" i="53"/>
  <c r="AA283" i="53"/>
  <c r="Z283" i="53"/>
  <c r="AA277" i="53"/>
  <c r="Z277" i="53"/>
  <c r="AC271" i="53"/>
  <c r="AD271" i="53"/>
  <c r="AE271" i="53"/>
  <c r="AE268" i="53"/>
  <c r="AC268" i="53"/>
  <c r="AD268" i="53"/>
  <c r="AN277" i="53"/>
  <c r="AM277" i="53"/>
  <c r="AL277" i="53"/>
  <c r="AE269" i="53"/>
  <c r="AD269" i="53"/>
  <c r="AC269" i="53"/>
  <c r="S277" i="53"/>
  <c r="R277" i="53"/>
  <c r="Q277" i="53"/>
  <c r="T277" i="53"/>
  <c r="S282" i="53"/>
  <c r="R282" i="53"/>
  <c r="Q282" i="53"/>
  <c r="T282" i="53"/>
  <c r="X283" i="53"/>
  <c r="W283" i="53"/>
  <c r="V283" i="53"/>
  <c r="Z284" i="53"/>
  <c r="AA284" i="53"/>
  <c r="AA281" i="53"/>
  <c r="Z281" i="53"/>
  <c r="AN271" i="53"/>
  <c r="AM271" i="53"/>
  <c r="AL271" i="53"/>
  <c r="AQ274" i="53"/>
  <c r="AP274" i="53"/>
  <c r="AJ272" i="53"/>
  <c r="AI272" i="53"/>
  <c r="AG272" i="53"/>
  <c r="AH272" i="53"/>
  <c r="AL273" i="53"/>
  <c r="AN273" i="53"/>
  <c r="AM273" i="53"/>
  <c r="AI283" i="53"/>
  <c r="AH283" i="53"/>
  <c r="AG283" i="53"/>
  <c r="AJ283" i="53"/>
  <c r="W269" i="53"/>
  <c r="V269" i="53"/>
  <c r="X269" i="53"/>
  <c r="V270" i="53"/>
  <c r="X270" i="53"/>
  <c r="W270" i="53"/>
  <c r="AQ271" i="53"/>
  <c r="AP271" i="53"/>
  <c r="AN272" i="53"/>
  <c r="AM272" i="53"/>
  <c r="AL272" i="53"/>
  <c r="AQ278" i="53"/>
  <c r="AP278" i="53"/>
  <c r="AI279" i="53"/>
  <c r="AH279" i="53"/>
  <c r="AG279" i="53"/>
  <c r="AJ279" i="53"/>
  <c r="AJ273" i="53"/>
  <c r="AI273" i="53"/>
  <c r="AH273" i="53"/>
  <c r="AG273" i="53"/>
  <c r="AQ277" i="53"/>
  <c r="AP277" i="53"/>
  <c r="AA269" i="53"/>
  <c r="Z269" i="53"/>
  <c r="AT277" i="53"/>
  <c r="AS277" i="53"/>
  <c r="AG285" i="53"/>
  <c r="AJ285" i="53"/>
  <c r="AI285" i="53"/>
  <c r="AH285" i="53"/>
  <c r="W279" i="53"/>
  <c r="X279" i="53"/>
  <c r="V279" i="53"/>
  <c r="AI276" i="53"/>
  <c r="AH276" i="53"/>
  <c r="AG276" i="53"/>
  <c r="AJ276" i="53"/>
  <c r="Z285" i="53"/>
  <c r="AA285" i="53"/>
  <c r="AN275" i="53"/>
  <c r="AM275" i="53"/>
  <c r="AL275" i="53"/>
  <c r="AI277" i="53"/>
  <c r="AH277" i="53"/>
  <c r="AG277" i="53"/>
  <c r="AJ277" i="53"/>
  <c r="AE283" i="53"/>
  <c r="AD283" i="53"/>
  <c r="AC283" i="53"/>
  <c r="AN276" i="53"/>
  <c r="AL276" i="53"/>
  <c r="AM276" i="53"/>
  <c r="AT279" i="53"/>
  <c r="AS279" i="53"/>
  <c r="X276" i="53"/>
  <c r="W276" i="53"/>
  <c r="V276" i="53"/>
  <c r="AI282" i="53"/>
  <c r="AH282" i="53"/>
  <c r="AG282" i="53"/>
  <c r="AJ282" i="53"/>
  <c r="X282" i="53"/>
  <c r="W282" i="53"/>
  <c r="V282" i="53"/>
  <c r="AP284" i="53"/>
  <c r="AQ284" i="53"/>
  <c r="AQ281" i="53"/>
  <c r="AP281" i="53"/>
  <c r="AJ271" i="53"/>
  <c r="AH271" i="53"/>
  <c r="AI271" i="53"/>
  <c r="AG271" i="53"/>
  <c r="X274" i="53"/>
  <c r="W274" i="53"/>
  <c r="V274" i="53"/>
  <c r="AN268" i="53"/>
  <c r="AM268" i="53"/>
  <c r="AL268" i="53"/>
  <c r="AE272" i="53"/>
  <c r="AD272" i="53"/>
  <c r="AC272" i="53"/>
  <c r="AE273" i="53"/>
  <c r="AD273" i="53"/>
  <c r="AC273" i="53"/>
  <c r="AN279" i="53"/>
  <c r="AM279" i="53"/>
  <c r="AL279" i="53"/>
  <c r="AT281" i="53"/>
  <c r="AS281" i="53"/>
  <c r="AD274" i="53"/>
  <c r="AC274" i="53"/>
  <c r="AE274" i="53"/>
  <c r="AA268" i="53"/>
  <c r="Z268" i="53"/>
  <c r="S278" i="53"/>
  <c r="R278" i="53"/>
  <c r="Q278" i="53"/>
  <c r="T278" i="53"/>
  <c r="S270" i="53"/>
  <c r="Q270" i="53"/>
  <c r="T270" i="53"/>
  <c r="R270" i="53"/>
  <c r="AQ283" i="53"/>
  <c r="AP283" i="53"/>
  <c r="AI278" i="53"/>
  <c r="AH278" i="53"/>
  <c r="AG278" i="53"/>
  <c r="AJ278" i="53"/>
  <c r="AT276" i="53"/>
  <c r="AS276" i="53"/>
  <c r="AA275" i="53"/>
  <c r="Z275" i="53"/>
  <c r="S276" i="53"/>
  <c r="R276" i="53"/>
  <c r="Q276" i="53"/>
  <c r="T276" i="53"/>
  <c r="AQ275" i="53"/>
  <c r="AP275" i="53"/>
  <c r="AQ285" i="53"/>
  <c r="AP285" i="53"/>
  <c r="AA270" i="53"/>
  <c r="Z270" i="53"/>
  <c r="W277" i="53"/>
  <c r="V277" i="53"/>
  <c r="X277" i="53"/>
  <c r="AT282" i="53"/>
  <c r="AS282" i="53"/>
  <c r="AT275" i="53"/>
  <c r="AS275" i="53"/>
  <c r="AA279" i="53"/>
  <c r="Z279" i="53"/>
  <c r="AQ269" i="53"/>
  <c r="AP269" i="53"/>
  <c r="AA282" i="53"/>
  <c r="Z282" i="53"/>
  <c r="AN281" i="53"/>
  <c r="AM281" i="53"/>
  <c r="AL281" i="53"/>
  <c r="AA276" i="53"/>
  <c r="Z276" i="53"/>
  <c r="AI275" i="53"/>
  <c r="AH275" i="53"/>
  <c r="AG275" i="53"/>
  <c r="AJ275" i="53"/>
  <c r="AA271" i="53"/>
  <c r="Z271" i="53"/>
  <c r="AI274" i="53"/>
  <c r="AH274" i="53"/>
  <c r="AG274" i="53"/>
  <c r="AJ274" i="53"/>
  <c r="AQ268" i="53"/>
  <c r="AP268" i="53"/>
  <c r="AS272" i="53"/>
  <c r="AT272" i="53"/>
  <c r="AT273" i="53"/>
  <c r="AS273" i="53"/>
  <c r="M791" i="53" l="1"/>
  <c r="M790" i="53"/>
  <c r="M789" i="53"/>
  <c r="M788" i="53"/>
  <c r="M787" i="53"/>
  <c r="M786" i="53"/>
  <c r="J265" i="53"/>
  <c r="M265" i="53" s="1"/>
  <c r="P265" i="53" s="1"/>
  <c r="M264" i="53"/>
  <c r="P264" i="53" s="1"/>
  <c r="M263" i="53"/>
  <c r="P263" i="53" s="1"/>
  <c r="M262" i="53"/>
  <c r="P262" i="53" s="1"/>
  <c r="M261" i="53"/>
  <c r="P261" i="53" s="1"/>
  <c r="M260" i="53"/>
  <c r="P260" i="53" s="1"/>
  <c r="M259" i="53"/>
  <c r="P259" i="53" s="1"/>
  <c r="M258" i="53"/>
  <c r="P258" i="53" s="1"/>
  <c r="M257" i="53"/>
  <c r="P257" i="53" s="1"/>
  <c r="M256" i="53"/>
  <c r="P256" i="53" s="1"/>
  <c r="M255" i="53"/>
  <c r="P255" i="53" s="1"/>
  <c r="M254" i="53"/>
  <c r="P254" i="53" s="1"/>
  <c r="M253" i="53"/>
  <c r="P253" i="53" s="1"/>
  <c r="M252" i="53"/>
  <c r="P252" i="53" s="1"/>
  <c r="M251" i="53"/>
  <c r="P251" i="53" s="1"/>
  <c r="M250" i="53"/>
  <c r="M249" i="53"/>
  <c r="M248" i="53"/>
  <c r="P248" i="53" s="1"/>
  <c r="M247" i="53"/>
  <c r="P247" i="53" s="1"/>
  <c r="J246" i="53"/>
  <c r="M246" i="53" s="1"/>
  <c r="P246" i="53" s="1"/>
  <c r="J245" i="53"/>
  <c r="M245" i="53" s="1"/>
  <c r="P245" i="53" s="1"/>
  <c r="J244" i="53"/>
  <c r="M244" i="53" s="1"/>
  <c r="J243" i="53"/>
  <c r="M243" i="53" s="1"/>
  <c r="P243" i="53" s="1"/>
  <c r="J242" i="53"/>
  <c r="M242" i="53" s="1"/>
  <c r="P242" i="53" s="1"/>
  <c r="J241" i="53"/>
  <c r="M241" i="53" s="1"/>
  <c r="P241" i="53" s="1"/>
  <c r="J240" i="53"/>
  <c r="M240" i="53" s="1"/>
  <c r="P240" i="53" s="1"/>
  <c r="J239" i="53"/>
  <c r="M239" i="53" s="1"/>
  <c r="P239" i="53" s="1"/>
  <c r="J238" i="53"/>
  <c r="M238" i="53" s="1"/>
  <c r="P238" i="53" s="1"/>
  <c r="J237" i="53"/>
  <c r="M237" i="53" s="1"/>
  <c r="P237" i="53" s="1"/>
  <c r="J236" i="53"/>
  <c r="M236" i="53" s="1"/>
  <c r="P236" i="53" s="1"/>
  <c r="J235" i="53"/>
  <c r="M235" i="53" s="1"/>
  <c r="P235" i="53" s="1"/>
  <c r="J234" i="53"/>
  <c r="M234" i="53" s="1"/>
  <c r="P234" i="53" s="1"/>
  <c r="J233" i="53"/>
  <c r="M233" i="53" s="1"/>
  <c r="P233" i="53" s="1"/>
  <c r="J232" i="53"/>
  <c r="M232" i="53" s="1"/>
  <c r="P232" i="53" s="1"/>
  <c r="M231" i="53"/>
  <c r="P231" i="53" s="1"/>
  <c r="M230" i="53"/>
  <c r="P230" i="53" s="1"/>
  <c r="M229" i="53"/>
  <c r="P229" i="53" s="1"/>
  <c r="M228" i="53"/>
  <c r="P228" i="53" s="1"/>
  <c r="M227" i="53"/>
  <c r="P227" i="53" s="1"/>
  <c r="J226" i="53"/>
  <c r="M226" i="53" s="1"/>
  <c r="P226" i="53" s="1"/>
  <c r="J225" i="53"/>
  <c r="M225" i="53" s="1"/>
  <c r="P225" i="53" s="1"/>
  <c r="J224" i="53"/>
  <c r="M224" i="53" s="1"/>
  <c r="P224" i="53" s="1"/>
  <c r="J223" i="53"/>
  <c r="M223" i="53" s="1"/>
  <c r="P223" i="53" s="1"/>
  <c r="J222" i="53"/>
  <c r="M222" i="53" s="1"/>
  <c r="P222" i="53" s="1"/>
  <c r="M221" i="53"/>
  <c r="M220" i="53"/>
  <c r="P220" i="53" s="1"/>
  <c r="M219" i="53"/>
  <c r="M218" i="53"/>
  <c r="P218" i="53" s="1"/>
  <c r="M217" i="53"/>
  <c r="M216" i="53"/>
  <c r="P216" i="53" s="1"/>
  <c r="M215" i="53"/>
  <c r="P215" i="53" s="1"/>
  <c r="M214" i="53"/>
  <c r="M213" i="53"/>
  <c r="M212" i="53"/>
  <c r="P212" i="53" s="1"/>
  <c r="M211" i="53"/>
  <c r="P211" i="53" s="1"/>
  <c r="M210" i="53"/>
  <c r="P210" i="53" s="1"/>
  <c r="M209" i="53"/>
  <c r="P209" i="53" s="1"/>
  <c r="M208" i="53"/>
  <c r="P208" i="53" s="1"/>
  <c r="M207" i="53"/>
  <c r="P207" i="53" s="1"/>
  <c r="J206" i="53"/>
  <c r="M206" i="53" s="1"/>
  <c r="P206" i="53" s="1"/>
  <c r="AR177" i="53"/>
  <c r="AS177" i="53" s="1"/>
  <c r="AR178" i="53"/>
  <c r="AS178" i="53" s="1"/>
  <c r="AR179" i="53"/>
  <c r="AS179" i="53" s="1"/>
  <c r="AR180" i="53"/>
  <c r="AS180" i="53" s="1"/>
  <c r="AR181" i="53"/>
  <c r="AS181" i="53" s="1"/>
  <c r="AR182" i="53"/>
  <c r="AR183" i="53"/>
  <c r="AS183" i="53" s="1"/>
  <c r="AR184" i="53"/>
  <c r="AS184" i="53" s="1"/>
  <c r="AR185" i="53"/>
  <c r="AS185" i="53" s="1"/>
  <c r="AR186" i="53"/>
  <c r="AS186" i="53" s="1"/>
  <c r="AR187" i="53"/>
  <c r="AS187" i="53" s="1"/>
  <c r="AR188" i="53"/>
  <c r="AS188" i="53" s="1"/>
  <c r="AR189" i="53"/>
  <c r="AS189" i="53" s="1"/>
  <c r="AR190" i="53"/>
  <c r="AR191" i="53"/>
  <c r="AS191" i="53" s="1"/>
  <c r="AR192" i="53"/>
  <c r="AT192" i="53" s="1"/>
  <c r="AR193" i="53"/>
  <c r="AS193" i="53" s="1"/>
  <c r="AR194" i="53"/>
  <c r="AS194" i="53" s="1"/>
  <c r="AR195" i="53"/>
  <c r="AS195" i="53" s="1"/>
  <c r="AR196" i="53"/>
  <c r="AS196" i="53" s="1"/>
  <c r="AR197" i="53"/>
  <c r="AS197" i="53" s="1"/>
  <c r="AR198" i="53"/>
  <c r="AR199" i="53"/>
  <c r="AS199" i="53" s="1"/>
  <c r="AR200" i="53"/>
  <c r="AT200" i="53" s="1"/>
  <c r="AR201" i="53"/>
  <c r="AS201" i="53" s="1"/>
  <c r="AR202" i="53"/>
  <c r="AS202" i="53" s="1"/>
  <c r="AR203" i="53"/>
  <c r="AS203" i="53" s="1"/>
  <c r="AR204" i="53"/>
  <c r="AS204" i="53" s="1"/>
  <c r="AR205" i="53"/>
  <c r="AS205" i="53" s="1"/>
  <c r="AO177" i="53"/>
  <c r="AQ177" i="53" s="1"/>
  <c r="AO178" i="53"/>
  <c r="AP178" i="53" s="1"/>
  <c r="AO179" i="53"/>
  <c r="AP179" i="53" s="1"/>
  <c r="AO180" i="53"/>
  <c r="AQ180" i="53" s="1"/>
  <c r="AO181" i="53"/>
  <c r="AQ181" i="53" s="1"/>
  <c r="AO182" i="53"/>
  <c r="AP182" i="53" s="1"/>
  <c r="AO183" i="53"/>
  <c r="AO184" i="53"/>
  <c r="AP184" i="53" s="1"/>
  <c r="AO185" i="53"/>
  <c r="AQ185" i="53" s="1"/>
  <c r="AO186" i="53"/>
  <c r="AP186" i="53" s="1"/>
  <c r="AO187" i="53"/>
  <c r="AP187" i="53" s="1"/>
  <c r="AO188" i="53"/>
  <c r="AP188" i="53" s="1"/>
  <c r="AO189" i="53"/>
  <c r="AQ189" i="53" s="1"/>
  <c r="AO190" i="53"/>
  <c r="AP190" i="53" s="1"/>
  <c r="AO191" i="53"/>
  <c r="AO192" i="53"/>
  <c r="AP192" i="53" s="1"/>
  <c r="AO193" i="53"/>
  <c r="AQ193" i="53" s="1"/>
  <c r="AO194" i="53"/>
  <c r="AQ194" i="53" s="1"/>
  <c r="AO195" i="53"/>
  <c r="AP195" i="53" s="1"/>
  <c r="AO196" i="53"/>
  <c r="AP196" i="53" s="1"/>
  <c r="AO197" i="53"/>
  <c r="AQ197" i="53" s="1"/>
  <c r="AO198" i="53"/>
  <c r="AP198" i="53" s="1"/>
  <c r="AO199" i="53"/>
  <c r="AO200" i="53"/>
  <c r="AP200" i="53" s="1"/>
  <c r="AO201" i="53"/>
  <c r="AQ201" i="53" s="1"/>
  <c r="AO202" i="53"/>
  <c r="AQ202" i="53" s="1"/>
  <c r="AO203" i="53"/>
  <c r="AP203" i="53" s="1"/>
  <c r="AO204" i="53"/>
  <c r="AP204" i="53" s="1"/>
  <c r="AO205" i="53"/>
  <c r="AQ205" i="53" s="1"/>
  <c r="AK177" i="53"/>
  <c r="AK178" i="53"/>
  <c r="AL178" i="53" s="1"/>
  <c r="AK179" i="53"/>
  <c r="AK180" i="53"/>
  <c r="AM180" i="53" s="1"/>
  <c r="AK181" i="53"/>
  <c r="AL181" i="53" s="1"/>
  <c r="AK182" i="53"/>
  <c r="AL182" i="53" s="1"/>
  <c r="AK183" i="53"/>
  <c r="AL183" i="53" s="1"/>
  <c r="AK184" i="53"/>
  <c r="AL184" i="53" s="1"/>
  <c r="AK185" i="53"/>
  <c r="AM185" i="53" s="1"/>
  <c r="AK186" i="53"/>
  <c r="AL186" i="53" s="1"/>
  <c r="AK187" i="53"/>
  <c r="AK188" i="53"/>
  <c r="AM188" i="53" s="1"/>
  <c r="AK189" i="53"/>
  <c r="AL189" i="53" s="1"/>
  <c r="AK190" i="53"/>
  <c r="AM190" i="53" s="1"/>
  <c r="AK191" i="53"/>
  <c r="AL191" i="53" s="1"/>
  <c r="AK192" i="53"/>
  <c r="AL192" i="53" s="1"/>
  <c r="AK193" i="53"/>
  <c r="AK194" i="53"/>
  <c r="AL194" i="53" s="1"/>
  <c r="AK195" i="53"/>
  <c r="AM195" i="53" s="1"/>
  <c r="AK196" i="53"/>
  <c r="AM196" i="53" s="1"/>
  <c r="AK197" i="53"/>
  <c r="AL197" i="53" s="1"/>
  <c r="AK198" i="53"/>
  <c r="AL198" i="53" s="1"/>
  <c r="AK199" i="53"/>
  <c r="AL199" i="53" s="1"/>
  <c r="AK200" i="53"/>
  <c r="AL200" i="53" s="1"/>
  <c r="AK201" i="53"/>
  <c r="AM201" i="53" s="1"/>
  <c r="AK202" i="53"/>
  <c r="AL202" i="53" s="1"/>
  <c r="AK203" i="53"/>
  <c r="AK204" i="53"/>
  <c r="AM204" i="53" s="1"/>
  <c r="AK205" i="53"/>
  <c r="AL205" i="53" s="1"/>
  <c r="AF177" i="53"/>
  <c r="AG177" i="53" s="1"/>
  <c r="AF178" i="53"/>
  <c r="AF179" i="53"/>
  <c r="AG179" i="53" s="1"/>
  <c r="AF180" i="53"/>
  <c r="AI180" i="53" s="1"/>
  <c r="AF181" i="53"/>
  <c r="AG181" i="53" s="1"/>
  <c r="AF182" i="53"/>
  <c r="AI182" i="53" s="1"/>
  <c r="AF183" i="53"/>
  <c r="AG183" i="53" s="1"/>
  <c r="AF184" i="53"/>
  <c r="AH184" i="53" s="1"/>
  <c r="AF185" i="53"/>
  <c r="AG185" i="53" s="1"/>
  <c r="AF186" i="53"/>
  <c r="AF187" i="53"/>
  <c r="AG187" i="53" s="1"/>
  <c r="AF188" i="53"/>
  <c r="AI188" i="53" s="1"/>
  <c r="AF189" i="53"/>
  <c r="AG189" i="53" s="1"/>
  <c r="AF190" i="53"/>
  <c r="AI190" i="53" s="1"/>
  <c r="AF191" i="53"/>
  <c r="AG191" i="53" s="1"/>
  <c r="AF192" i="53"/>
  <c r="AH192" i="53" s="1"/>
  <c r="AF193" i="53"/>
  <c r="AG193" i="53" s="1"/>
  <c r="AF194" i="53"/>
  <c r="AF195" i="53"/>
  <c r="AG195" i="53" s="1"/>
  <c r="AF196" i="53"/>
  <c r="AI196" i="53" s="1"/>
  <c r="AF197" i="53"/>
  <c r="AG197" i="53" s="1"/>
  <c r="AF198" i="53"/>
  <c r="AI198" i="53" s="1"/>
  <c r="AF199" i="53"/>
  <c r="AG199" i="53" s="1"/>
  <c r="AF200" i="53"/>
  <c r="AH200" i="53" s="1"/>
  <c r="AF201" i="53"/>
  <c r="AG201" i="53" s="1"/>
  <c r="AF202" i="53"/>
  <c r="AF203" i="53"/>
  <c r="AG203" i="53" s="1"/>
  <c r="AF204" i="53"/>
  <c r="AI204" i="53" s="1"/>
  <c r="AF205" i="53"/>
  <c r="AG205" i="53" s="1"/>
  <c r="AB177" i="53"/>
  <c r="AC177" i="53" s="1"/>
  <c r="AB178" i="53"/>
  <c r="AE178" i="53" s="1"/>
  <c r="AB179" i="53"/>
  <c r="AC179" i="53" s="1"/>
  <c r="AB180" i="53"/>
  <c r="AD180" i="53" s="1"/>
  <c r="AB181" i="53"/>
  <c r="AD181" i="53" s="1"/>
  <c r="AB182" i="53"/>
  <c r="AB183" i="53"/>
  <c r="AD183" i="53" s="1"/>
  <c r="AB184" i="53"/>
  <c r="AC184" i="53" s="1"/>
  <c r="AB185" i="53"/>
  <c r="AC185" i="53" s="1"/>
  <c r="AB186" i="53"/>
  <c r="AE186" i="53" s="1"/>
  <c r="AB187" i="53"/>
  <c r="AC187" i="53" s="1"/>
  <c r="AB188" i="53"/>
  <c r="AD188" i="53" s="1"/>
  <c r="AB189" i="53"/>
  <c r="AD189" i="53" s="1"/>
  <c r="AB190" i="53"/>
  <c r="AB191" i="53"/>
  <c r="AD191" i="53" s="1"/>
  <c r="AB192" i="53"/>
  <c r="AC192" i="53" s="1"/>
  <c r="AB193" i="53"/>
  <c r="AC193" i="53" s="1"/>
  <c r="AB194" i="53"/>
  <c r="AE194" i="53" s="1"/>
  <c r="AB195" i="53"/>
  <c r="AC195" i="53" s="1"/>
  <c r="AB196" i="53"/>
  <c r="AD196" i="53" s="1"/>
  <c r="AB197" i="53"/>
  <c r="AD197" i="53" s="1"/>
  <c r="AB198" i="53"/>
  <c r="AB199" i="53"/>
  <c r="AD199" i="53" s="1"/>
  <c r="AB200" i="53"/>
  <c r="AC200" i="53" s="1"/>
  <c r="AB201" i="53"/>
  <c r="AC201" i="53" s="1"/>
  <c r="AB202" i="53"/>
  <c r="AE202" i="53" s="1"/>
  <c r="AB203" i="53"/>
  <c r="AC203" i="53" s="1"/>
  <c r="AB204" i="53"/>
  <c r="AD204" i="53" s="1"/>
  <c r="AB205" i="53"/>
  <c r="AD205" i="53" s="1"/>
  <c r="Y177" i="53"/>
  <c r="AA177" i="53" s="1"/>
  <c r="Y178" i="53"/>
  <c r="Z178" i="53" s="1"/>
  <c r="Y179" i="53"/>
  <c r="Z179" i="53" s="1"/>
  <c r="Y180" i="53"/>
  <c r="AA180" i="53" s="1"/>
  <c r="Y181" i="53"/>
  <c r="AA181" i="53" s="1"/>
  <c r="Y182" i="53"/>
  <c r="Z182" i="53" s="1"/>
  <c r="Y183" i="53"/>
  <c r="Y184" i="53"/>
  <c r="AA184" i="53" s="1"/>
  <c r="Y185" i="53"/>
  <c r="AA185" i="53" s="1"/>
  <c r="Y186" i="53"/>
  <c r="Z186" i="53" s="1"/>
  <c r="Y187" i="53"/>
  <c r="Z187" i="53" s="1"/>
  <c r="Y188" i="53"/>
  <c r="AA188" i="53" s="1"/>
  <c r="Y189" i="53"/>
  <c r="AA189" i="53" s="1"/>
  <c r="Y190" i="53"/>
  <c r="Z190" i="53" s="1"/>
  <c r="Y191" i="53"/>
  <c r="Y192" i="53"/>
  <c r="AA192" i="53" s="1"/>
  <c r="Y193" i="53"/>
  <c r="AA193" i="53" s="1"/>
  <c r="Y194" i="53"/>
  <c r="Z194" i="53" s="1"/>
  <c r="Y195" i="53"/>
  <c r="Z195" i="53" s="1"/>
  <c r="Y196" i="53"/>
  <c r="AA196" i="53" s="1"/>
  <c r="Y197" i="53"/>
  <c r="AA197" i="53" s="1"/>
  <c r="Y198" i="53"/>
  <c r="Z198" i="53" s="1"/>
  <c r="Y199" i="53"/>
  <c r="Y200" i="53"/>
  <c r="AA200" i="53" s="1"/>
  <c r="Y201" i="53"/>
  <c r="AA201" i="53" s="1"/>
  <c r="Y202" i="53"/>
  <c r="Z202" i="53" s="1"/>
  <c r="Y203" i="53"/>
  <c r="Z203" i="53" s="1"/>
  <c r="Y204" i="53"/>
  <c r="AA204" i="53" s="1"/>
  <c r="Y205" i="53"/>
  <c r="AA205" i="53" s="1"/>
  <c r="U177" i="53"/>
  <c r="U178" i="53"/>
  <c r="V178" i="53" s="1"/>
  <c r="U179" i="53"/>
  <c r="U180" i="53"/>
  <c r="W180" i="53" s="1"/>
  <c r="U181" i="53"/>
  <c r="V181" i="53" s="1"/>
  <c r="U182" i="53"/>
  <c r="W182" i="53" s="1"/>
  <c r="U183" i="53"/>
  <c r="V183" i="53" s="1"/>
  <c r="U184" i="53"/>
  <c r="V184" i="53" s="1"/>
  <c r="U185" i="53"/>
  <c r="W185" i="53" s="1"/>
  <c r="U186" i="53"/>
  <c r="V186" i="53" s="1"/>
  <c r="U187" i="53"/>
  <c r="W187" i="53" s="1"/>
  <c r="U188" i="53"/>
  <c r="W188" i="53" s="1"/>
  <c r="U189" i="53"/>
  <c r="V189" i="53" s="1"/>
  <c r="U190" i="53"/>
  <c r="W190" i="53" s="1"/>
  <c r="U191" i="53"/>
  <c r="V191" i="53" s="1"/>
  <c r="U192" i="53"/>
  <c r="V192" i="53" s="1"/>
  <c r="U193" i="53"/>
  <c r="U194" i="53"/>
  <c r="V194" i="53" s="1"/>
  <c r="U195" i="53"/>
  <c r="U196" i="53"/>
  <c r="W196" i="53" s="1"/>
  <c r="U197" i="53"/>
  <c r="V197" i="53" s="1"/>
  <c r="U198" i="53"/>
  <c r="W198" i="53" s="1"/>
  <c r="U199" i="53"/>
  <c r="V199" i="53" s="1"/>
  <c r="U200" i="53"/>
  <c r="V200" i="53" s="1"/>
  <c r="U201" i="53"/>
  <c r="U202" i="53"/>
  <c r="V202" i="53" s="1"/>
  <c r="U203" i="53"/>
  <c r="W203" i="53" s="1"/>
  <c r="U204" i="53"/>
  <c r="W204" i="53" s="1"/>
  <c r="U205" i="53"/>
  <c r="V205" i="53" s="1"/>
  <c r="Q178" i="53"/>
  <c r="T180" i="53"/>
  <c r="T181" i="53"/>
  <c r="R182" i="53"/>
  <c r="R183" i="53"/>
  <c r="S184" i="53"/>
  <c r="Q186" i="53"/>
  <c r="T188" i="53"/>
  <c r="T189" i="53"/>
  <c r="R190" i="53"/>
  <c r="R191" i="53"/>
  <c r="S192" i="53"/>
  <c r="Q194" i="53"/>
  <c r="Q197" i="53"/>
  <c r="Q199" i="53"/>
  <c r="S200" i="53"/>
  <c r="R202" i="53"/>
  <c r="T204" i="53"/>
  <c r="S205" i="53"/>
  <c r="O8" i="12"/>
  <c r="M8" i="12"/>
  <c r="AR217" i="53" l="1"/>
  <c r="AS217" i="53" s="1"/>
  <c r="P217" i="53"/>
  <c r="AB249" i="53"/>
  <c r="AC249" i="53" s="1"/>
  <c r="P249" i="53"/>
  <c r="AK250" i="53"/>
  <c r="AM250" i="53" s="1"/>
  <c r="P250" i="53"/>
  <c r="AK219" i="53"/>
  <c r="AL219" i="53" s="1"/>
  <c r="P219" i="53"/>
  <c r="U244" i="53"/>
  <c r="X244" i="53" s="1"/>
  <c r="P244" i="53"/>
  <c r="T244" i="53" s="1"/>
  <c r="AR213" i="53"/>
  <c r="AT213" i="53" s="1"/>
  <c r="P213" i="53"/>
  <c r="S213" i="53" s="1"/>
  <c r="AF221" i="53"/>
  <c r="AI221" i="53" s="1"/>
  <c r="P221" i="53"/>
  <c r="Y214" i="53"/>
  <c r="AA214" i="53" s="1"/>
  <c r="P214" i="53"/>
  <c r="T214" i="53" s="1"/>
  <c r="U214" i="53"/>
  <c r="W214" i="53" s="1"/>
  <c r="AK218" i="53"/>
  <c r="AL218" i="53" s="1"/>
  <c r="AB247" i="53"/>
  <c r="AC247" i="53" s="1"/>
  <c r="AF253" i="53"/>
  <c r="AH253" i="53" s="1"/>
  <c r="U225" i="53"/>
  <c r="V225" i="53" s="1"/>
  <c r="AO214" i="53"/>
  <c r="AQ214" i="53" s="1"/>
  <c r="U217" i="53"/>
  <c r="V217" i="53" s="1"/>
  <c r="AO218" i="53"/>
  <c r="AQ218" i="53" s="1"/>
  <c r="Q233" i="53"/>
  <c r="AO233" i="53"/>
  <c r="AP233" i="53" s="1"/>
  <c r="AK209" i="53"/>
  <c r="AM209" i="53" s="1"/>
  <c r="S209" i="53"/>
  <c r="AR221" i="53"/>
  <c r="AS221" i="53" s="1"/>
  <c r="AR231" i="53"/>
  <c r="AT231" i="53" s="1"/>
  <c r="U210" i="53"/>
  <c r="W210" i="53" s="1"/>
  <c r="S210" i="53"/>
  <c r="Y221" i="53"/>
  <c r="AA221" i="53" s="1"/>
  <c r="AK231" i="53"/>
  <c r="AL231" i="53" s="1"/>
  <c r="AO236" i="53"/>
  <c r="AQ236" i="53" s="1"/>
  <c r="Y243" i="53"/>
  <c r="Z243" i="53" s="1"/>
  <c r="AB248" i="53"/>
  <c r="AD248" i="53" s="1"/>
  <c r="Q248" i="53"/>
  <c r="AO211" i="53"/>
  <c r="AQ211" i="53" s="1"/>
  <c r="AR237" i="53"/>
  <c r="AT237" i="53" s="1"/>
  <c r="S237" i="53"/>
  <c r="AK211" i="53"/>
  <c r="AN211" i="53" s="1"/>
  <c r="AO215" i="53"/>
  <c r="AQ215" i="53" s="1"/>
  <c r="AO228" i="53"/>
  <c r="AQ228" i="53" s="1"/>
  <c r="AK238" i="53"/>
  <c r="AL238" i="53" s="1"/>
  <c r="U249" i="53"/>
  <c r="V249" i="53" s="1"/>
  <c r="AR254" i="53"/>
  <c r="AT254" i="53" s="1"/>
  <c r="AR227" i="53"/>
  <c r="AS227" i="53" s="1"/>
  <c r="AR216" i="53"/>
  <c r="AT216" i="53" s="1"/>
  <c r="S216" i="53"/>
  <c r="AO219" i="53"/>
  <c r="AQ219" i="53" s="1"/>
  <c r="AB222" i="53"/>
  <c r="AC222" i="53" s="1"/>
  <c r="AR229" i="53"/>
  <c r="AT229" i="53" s="1"/>
  <c r="AO239" i="53"/>
  <c r="AP239" i="53" s="1"/>
  <c r="AO255" i="53"/>
  <c r="AP255" i="53" s="1"/>
  <c r="S255" i="53"/>
  <c r="AF232" i="53"/>
  <c r="AJ232" i="53" s="1"/>
  <c r="T232" i="53"/>
  <c r="AR244" i="53"/>
  <c r="AS244" i="53" s="1"/>
  <c r="AO249" i="53"/>
  <c r="AP249" i="53" s="1"/>
  <c r="AR206" i="53"/>
  <c r="AT206" i="53" s="1"/>
  <c r="AK213" i="53"/>
  <c r="AM213" i="53" s="1"/>
  <c r="AF217" i="53"/>
  <c r="AI217" i="53" s="1"/>
  <c r="AF219" i="53"/>
  <c r="AJ219" i="53" s="1"/>
  <c r="AB223" i="53"/>
  <c r="AE223" i="53" s="1"/>
  <c r="AK229" i="53"/>
  <c r="AM229" i="53" s="1"/>
  <c r="Y250" i="53"/>
  <c r="Z250" i="53" s="1"/>
  <c r="AF256" i="53"/>
  <c r="AI256" i="53" s="1"/>
  <c r="AB207" i="53"/>
  <c r="AE207" i="53" s="1"/>
  <c r="AR230" i="53"/>
  <c r="AS230" i="53" s="1"/>
  <c r="AK214" i="53"/>
  <c r="AM214" i="53" s="1"/>
  <c r="Y230" i="53"/>
  <c r="AA230" i="53" s="1"/>
  <c r="AK235" i="53"/>
  <c r="AN235" i="53" s="1"/>
  <c r="Q235" i="53"/>
  <c r="AB241" i="53"/>
  <c r="AD241" i="53" s="1"/>
  <c r="U251" i="53"/>
  <c r="W251" i="53" s="1"/>
  <c r="AR265" i="53"/>
  <c r="Y210" i="53"/>
  <c r="Z210" i="53" s="1"/>
  <c r="AR211" i="53"/>
  <c r="AT211" i="53" s="1"/>
  <c r="AF215" i="53"/>
  <c r="AG215" i="53" s="1"/>
  <c r="AK221" i="53"/>
  <c r="AM221" i="53" s="1"/>
  <c r="AF225" i="53"/>
  <c r="AJ225" i="53" s="1"/>
  <c r="AO229" i="53"/>
  <c r="AQ229" i="53" s="1"/>
  <c r="AF237" i="53"/>
  <c r="AH237" i="53" s="1"/>
  <c r="U209" i="53"/>
  <c r="V209" i="53" s="1"/>
  <c r="AK210" i="53"/>
  <c r="AL210" i="53" s="1"/>
  <c r="AO217" i="53"/>
  <c r="AQ217" i="53" s="1"/>
  <c r="Y219" i="53"/>
  <c r="AA219" i="53" s="1"/>
  <c r="AK255" i="53"/>
  <c r="AM255" i="53" s="1"/>
  <c r="Y209" i="53"/>
  <c r="AA209" i="53" s="1"/>
  <c r="AK215" i="53"/>
  <c r="AM215" i="53" s="1"/>
  <c r="AF209" i="53"/>
  <c r="AI209" i="53" s="1"/>
  <c r="AO210" i="53"/>
  <c r="AQ210" i="53" s="1"/>
  <c r="Y213" i="53"/>
  <c r="AA213" i="53" s="1"/>
  <c r="AR215" i="53"/>
  <c r="AS215" i="53" s="1"/>
  <c r="U227" i="53"/>
  <c r="X227" i="53" s="1"/>
  <c r="AK239" i="53"/>
  <c r="AL239" i="53" s="1"/>
  <c r="AO209" i="53"/>
  <c r="AQ209" i="53" s="1"/>
  <c r="AB213" i="53"/>
  <c r="AE213" i="53" s="1"/>
  <c r="AB214" i="53"/>
  <c r="AC214" i="53" s="1"/>
  <c r="Y218" i="53"/>
  <c r="AA218" i="53" s="1"/>
  <c r="AR223" i="53"/>
  <c r="AS223" i="53" s="1"/>
  <c r="Y227" i="53"/>
  <c r="AA227" i="53" s="1"/>
  <c r="U231" i="53"/>
  <c r="W231" i="53" s="1"/>
  <c r="AF244" i="53"/>
  <c r="AH244" i="53" s="1"/>
  <c r="U248" i="53"/>
  <c r="W248" i="53" s="1"/>
  <c r="AR209" i="53"/>
  <c r="AS209" i="53" s="1"/>
  <c r="AF211" i="53"/>
  <c r="AG211" i="53" s="1"/>
  <c r="AF213" i="53"/>
  <c r="AI213" i="53" s="1"/>
  <c r="AF214" i="53"/>
  <c r="AJ214" i="53" s="1"/>
  <c r="AB218" i="53"/>
  <c r="AE218" i="53" s="1"/>
  <c r="Y231" i="53"/>
  <c r="Z231" i="53" s="1"/>
  <c r="AK244" i="53"/>
  <c r="AM244" i="53" s="1"/>
  <c r="AO213" i="53"/>
  <c r="AQ213" i="53" s="1"/>
  <c r="AO208" i="53"/>
  <c r="AP208" i="53" s="1"/>
  <c r="AB208" i="53"/>
  <c r="AE208" i="53" s="1"/>
  <c r="AR208" i="53"/>
  <c r="AS208" i="53" s="1"/>
  <c r="AF246" i="53"/>
  <c r="AI246" i="53" s="1"/>
  <c r="AK246" i="53"/>
  <c r="AL246" i="53" s="1"/>
  <c r="AF212" i="53"/>
  <c r="AI212" i="53" s="1"/>
  <c r="AB212" i="53"/>
  <c r="AE212" i="53" s="1"/>
  <c r="AR212" i="53"/>
  <c r="U212" i="53"/>
  <c r="W212" i="53" s="1"/>
  <c r="S212" i="53"/>
  <c r="AK220" i="53"/>
  <c r="AL220" i="53" s="1"/>
  <c r="U220" i="53"/>
  <c r="X220" i="53" s="1"/>
  <c r="AF220" i="53"/>
  <c r="AB220" i="53"/>
  <c r="AC220" i="53" s="1"/>
  <c r="AO220" i="53"/>
  <c r="Y220" i="53"/>
  <c r="AA220" i="53" s="1"/>
  <c r="AR226" i="53"/>
  <c r="AT226" i="53" s="1"/>
  <c r="AK226" i="53"/>
  <c r="AN226" i="53" s="1"/>
  <c r="U226" i="53"/>
  <c r="V226" i="53" s="1"/>
  <c r="AO226" i="53"/>
  <c r="AQ226" i="53" s="1"/>
  <c r="Y212" i="53"/>
  <c r="Y226" i="53"/>
  <c r="Z226" i="53" s="1"/>
  <c r="AR236" i="53"/>
  <c r="AT236" i="53" s="1"/>
  <c r="Y236" i="53"/>
  <c r="AA236" i="53" s="1"/>
  <c r="AB216" i="53"/>
  <c r="AD216" i="53" s="1"/>
  <c r="U216" i="53"/>
  <c r="W216" i="53" s="1"/>
  <c r="AO216" i="53"/>
  <c r="Y216" i="53"/>
  <c r="U238" i="53"/>
  <c r="X238" i="53" s="1"/>
  <c r="AK216" i="53"/>
  <c r="AM216" i="53" s="1"/>
  <c r="AR232" i="53"/>
  <c r="AT232" i="53" s="1"/>
  <c r="AB232" i="53"/>
  <c r="AD232" i="53" s="1"/>
  <c r="AO232" i="53"/>
  <c r="AP232" i="53" s="1"/>
  <c r="AO206" i="53"/>
  <c r="AQ206" i="53" s="1"/>
  <c r="AB206" i="53"/>
  <c r="AE206" i="53" s="1"/>
  <c r="AK212" i="53"/>
  <c r="AM212" i="53" s="1"/>
  <c r="AF241" i="53"/>
  <c r="AG241" i="53" s="1"/>
  <c r="AR241" i="53"/>
  <c r="AT241" i="53" s="1"/>
  <c r="AK241" i="53"/>
  <c r="AL241" i="53" s="1"/>
  <c r="S241" i="53"/>
  <c r="AF216" i="53"/>
  <c r="AI216" i="53" s="1"/>
  <c r="AF235" i="53"/>
  <c r="AJ235" i="53" s="1"/>
  <c r="U235" i="53"/>
  <c r="W235" i="53" s="1"/>
  <c r="AO212" i="53"/>
  <c r="S218" i="53"/>
  <c r="R218" i="53"/>
  <c r="T218" i="53"/>
  <c r="AR233" i="53"/>
  <c r="AT233" i="53" s="1"/>
  <c r="AB233" i="53"/>
  <c r="AD233" i="53" s="1"/>
  <c r="AK233" i="53"/>
  <c r="AL233" i="53" s="1"/>
  <c r="AF233" i="53"/>
  <c r="AI233" i="53" s="1"/>
  <c r="AR245" i="53"/>
  <c r="AK245" i="53"/>
  <c r="AN245" i="53" s="1"/>
  <c r="AF245" i="53"/>
  <c r="AH245" i="53" s="1"/>
  <c r="Y245" i="53"/>
  <c r="AA245" i="53" s="1"/>
  <c r="U245" i="53"/>
  <c r="X245" i="53" s="1"/>
  <c r="Y207" i="53"/>
  <c r="Z207" i="53" s="1"/>
  <c r="AR207" i="53"/>
  <c r="AT207" i="53" s="1"/>
  <c r="Q218" i="53"/>
  <c r="AR220" i="53"/>
  <c r="AR222" i="53"/>
  <c r="Y222" i="53"/>
  <c r="Z222" i="53" s="1"/>
  <c r="AO222" i="53"/>
  <c r="U222" i="53"/>
  <c r="V222" i="53" s="1"/>
  <c r="AK222" i="53"/>
  <c r="AN222" i="53" s="1"/>
  <c r="AF222" i="53"/>
  <c r="AI222" i="53" s="1"/>
  <c r="Y233" i="53"/>
  <c r="AA233" i="53" s="1"/>
  <c r="AR242" i="53"/>
  <c r="AS242" i="53" s="1"/>
  <c r="AB242" i="53"/>
  <c r="AC242" i="53" s="1"/>
  <c r="AB245" i="53"/>
  <c r="AC245" i="53" s="1"/>
  <c r="AB252" i="53"/>
  <c r="AE252" i="53" s="1"/>
  <c r="AF252" i="53"/>
  <c r="AJ252" i="53" s="1"/>
  <c r="Y252" i="53"/>
  <c r="Z252" i="53" s="1"/>
  <c r="AO252" i="53"/>
  <c r="AP252" i="53" s="1"/>
  <c r="S252" i="53"/>
  <c r="AR252" i="53"/>
  <c r="AT252" i="53" s="1"/>
  <c r="U252" i="53"/>
  <c r="W252" i="53" s="1"/>
  <c r="AK252" i="53"/>
  <c r="AM252" i="53" s="1"/>
  <c r="AR228" i="53"/>
  <c r="AS228" i="53" s="1"/>
  <c r="U228" i="53"/>
  <c r="V228" i="53" s="1"/>
  <c r="AK228" i="53"/>
  <c r="AM228" i="53" s="1"/>
  <c r="Y228" i="53"/>
  <c r="AA228" i="53" s="1"/>
  <c r="AR219" i="53"/>
  <c r="AR248" i="53"/>
  <c r="AS248" i="53" s="1"/>
  <c r="AF254" i="53"/>
  <c r="AG254" i="53" s="1"/>
  <c r="AB209" i="53"/>
  <c r="AC209" i="53" s="1"/>
  <c r="AB210" i="53"/>
  <c r="AR210" i="53"/>
  <c r="U211" i="53"/>
  <c r="AR214" i="53"/>
  <c r="U215" i="53"/>
  <c r="Y217" i="53"/>
  <c r="AK217" i="53"/>
  <c r="AL217" i="53" s="1"/>
  <c r="U218" i="53"/>
  <c r="X218" i="53" s="1"/>
  <c r="U221" i="53"/>
  <c r="V221" i="53" s="1"/>
  <c r="AK225" i="53"/>
  <c r="U230" i="53"/>
  <c r="V230" i="53" s="1"/>
  <c r="AO231" i="53"/>
  <c r="AP231" i="53" s="1"/>
  <c r="AB237" i="53"/>
  <c r="AE237" i="53" s="1"/>
  <c r="U239" i="53"/>
  <c r="W239" i="53" s="1"/>
  <c r="AK230" i="53"/>
  <c r="AN230" i="53" s="1"/>
  <c r="Y248" i="53"/>
  <c r="Z248" i="53" s="1"/>
  <c r="AF210" i="53"/>
  <c r="AJ210" i="53" s="1"/>
  <c r="Y211" i="53"/>
  <c r="AA211" i="53" s="1"/>
  <c r="Y215" i="53"/>
  <c r="AA215" i="53" s="1"/>
  <c r="AF218" i="53"/>
  <c r="AR218" i="53"/>
  <c r="U219" i="53"/>
  <c r="V219" i="53" s="1"/>
  <c r="AO221" i="53"/>
  <c r="AQ221" i="53" s="1"/>
  <c r="AK227" i="53"/>
  <c r="AN227" i="53" s="1"/>
  <c r="U229" i="53"/>
  <c r="W229" i="53" s="1"/>
  <c r="AO230" i="53"/>
  <c r="AP230" i="53" s="1"/>
  <c r="AO244" i="53"/>
  <c r="AQ244" i="53" s="1"/>
  <c r="AF248" i="53"/>
  <c r="AJ248" i="53" s="1"/>
  <c r="U255" i="53"/>
  <c r="V255" i="53" s="1"/>
  <c r="AB217" i="53"/>
  <c r="AD217" i="53" s="1"/>
  <c r="AB211" i="53"/>
  <c r="AE211" i="53" s="1"/>
  <c r="U213" i="53"/>
  <c r="X213" i="53" s="1"/>
  <c r="AB215" i="53"/>
  <c r="AE215" i="53" s="1"/>
  <c r="AB221" i="53"/>
  <c r="AD221" i="53" s="1"/>
  <c r="AO227" i="53"/>
  <c r="AQ227" i="53" s="1"/>
  <c r="Y229" i="53"/>
  <c r="AA229" i="53" s="1"/>
  <c r="AK248" i="53"/>
  <c r="AM248" i="53" s="1"/>
  <c r="AB255" i="53"/>
  <c r="AC255" i="53" s="1"/>
  <c r="AB219" i="53"/>
  <c r="AO248" i="53"/>
  <c r="AP248" i="53" s="1"/>
  <c r="AR255" i="53"/>
  <c r="AT255" i="53" s="1"/>
  <c r="AK224" i="53"/>
  <c r="U224" i="53"/>
  <c r="AR224" i="53"/>
  <c r="AB224" i="53"/>
  <c r="AF224" i="53"/>
  <c r="AO224" i="53"/>
  <c r="Y224" i="53"/>
  <c r="U206" i="53"/>
  <c r="AK206" i="53"/>
  <c r="U207" i="53"/>
  <c r="AK207" i="53"/>
  <c r="U208" i="53"/>
  <c r="AK208" i="53"/>
  <c r="R212" i="53"/>
  <c r="AK223" i="53"/>
  <c r="U223" i="53"/>
  <c r="AO223" i="53"/>
  <c r="Y223" i="53"/>
  <c r="T212" i="53"/>
  <c r="AF223" i="53"/>
  <c r="AR225" i="53"/>
  <c r="AB225" i="53"/>
  <c r="AO225" i="53"/>
  <c r="Y225" i="53"/>
  <c r="AB226" i="53"/>
  <c r="AB227" i="53"/>
  <c r="AB228" i="53"/>
  <c r="AB229" i="53"/>
  <c r="AB230" i="53"/>
  <c r="AB231" i="53"/>
  <c r="U246" i="53"/>
  <c r="AR246" i="53"/>
  <c r="AO246" i="53"/>
  <c r="AB246" i="53"/>
  <c r="Y246" i="53"/>
  <c r="T225" i="53"/>
  <c r="S225" i="53"/>
  <c r="Q225" i="53"/>
  <c r="AK257" i="53"/>
  <c r="U257" i="53"/>
  <c r="AO257" i="53"/>
  <c r="Y257" i="53"/>
  <c r="AR257" i="53"/>
  <c r="AB257" i="53"/>
  <c r="Q259" i="53"/>
  <c r="S259" i="53"/>
  <c r="R259" i="53"/>
  <c r="T259" i="53"/>
  <c r="AK261" i="53"/>
  <c r="U261" i="53"/>
  <c r="AO261" i="53"/>
  <c r="Y261" i="53"/>
  <c r="AR261" i="53"/>
  <c r="AB261" i="53"/>
  <c r="AF206" i="53"/>
  <c r="AF207" i="53"/>
  <c r="AF208" i="53"/>
  <c r="R225" i="53"/>
  <c r="AF226" i="53"/>
  <c r="AF227" i="53"/>
  <c r="AF228" i="53"/>
  <c r="AF229" i="53"/>
  <c r="AF230" i="53"/>
  <c r="AF231" i="53"/>
  <c r="Y232" i="53"/>
  <c r="AK232" i="53"/>
  <c r="U232" i="53"/>
  <c r="AK234" i="53"/>
  <c r="U234" i="53"/>
  <c r="AR234" i="53"/>
  <c r="AB234" i="53"/>
  <c r="AF234" i="53"/>
  <c r="AO234" i="53"/>
  <c r="Y234" i="53"/>
  <c r="AR240" i="53"/>
  <c r="AO240" i="53"/>
  <c r="AB240" i="53"/>
  <c r="Y240" i="53"/>
  <c r="U240" i="53"/>
  <c r="AK240" i="53"/>
  <c r="AF240" i="53"/>
  <c r="AK263" i="53"/>
  <c r="U263" i="53"/>
  <c r="AO263" i="53"/>
  <c r="Y263" i="53"/>
  <c r="AR263" i="53"/>
  <c r="AB263" i="53"/>
  <c r="Y206" i="53"/>
  <c r="AO207" i="53"/>
  <c r="Y208" i="53"/>
  <c r="T234" i="53"/>
  <c r="S234" i="53"/>
  <c r="Q234" i="53"/>
  <c r="AK242" i="53"/>
  <c r="U242" i="53"/>
  <c r="AO242" i="53"/>
  <c r="Y242" i="53"/>
  <c r="AF242" i="53"/>
  <c r="AO254" i="53"/>
  <c r="AK254" i="53"/>
  <c r="U254" i="53"/>
  <c r="AB254" i="53"/>
  <c r="AF257" i="53"/>
  <c r="AF261" i="53"/>
  <c r="AB265" i="53"/>
  <c r="AF265" i="53"/>
  <c r="Y265" i="53"/>
  <c r="AK265" i="53"/>
  <c r="U265" i="53"/>
  <c r="AO265" i="53"/>
  <c r="T222" i="53"/>
  <c r="R222" i="53"/>
  <c r="R234" i="53"/>
  <c r="Y249" i="53"/>
  <c r="AK249" i="53"/>
  <c r="AR249" i="53"/>
  <c r="AF249" i="53"/>
  <c r="R252" i="53"/>
  <c r="Y254" i="53"/>
  <c r="AK258" i="53"/>
  <c r="U258" i="53"/>
  <c r="AO258" i="53"/>
  <c r="Y258" i="53"/>
  <c r="AR258" i="53"/>
  <c r="AB258" i="53"/>
  <c r="AF258" i="53"/>
  <c r="AF263" i="53"/>
  <c r="AO256" i="53"/>
  <c r="AR256" i="53"/>
  <c r="Y256" i="53"/>
  <c r="AK256" i="53"/>
  <c r="U256" i="53"/>
  <c r="AB256" i="53"/>
  <c r="Q258" i="53"/>
  <c r="S258" i="53"/>
  <c r="R258" i="53"/>
  <c r="T258" i="53"/>
  <c r="Q212" i="53"/>
  <c r="AF251" i="53"/>
  <c r="AR251" i="53"/>
  <c r="AO251" i="53"/>
  <c r="AK251" i="53"/>
  <c r="AB251" i="53"/>
  <c r="Y251" i="53"/>
  <c r="Y253" i="53"/>
  <c r="AK253" i="53"/>
  <c r="AR253" i="53"/>
  <c r="AO253" i="53"/>
  <c r="AB253" i="53"/>
  <c r="U253" i="53"/>
  <c r="U233" i="53"/>
  <c r="AR235" i="53"/>
  <c r="AB235" i="53"/>
  <c r="AO235" i="53"/>
  <c r="Y235" i="53"/>
  <c r="AB236" i="53"/>
  <c r="R241" i="53"/>
  <c r="U250" i="53"/>
  <c r="AR250" i="53"/>
  <c r="AO250" i="53"/>
  <c r="Q262" i="53"/>
  <c r="S262" i="53"/>
  <c r="R262" i="53"/>
  <c r="T262" i="53"/>
  <c r="Q264" i="53"/>
  <c r="S264" i="53"/>
  <c r="R264" i="53"/>
  <c r="T264" i="53"/>
  <c r="AF236" i="53"/>
  <c r="AO237" i="53"/>
  <c r="Y237" i="53"/>
  <c r="AK237" i="53"/>
  <c r="U237" i="53"/>
  <c r="AR243" i="53"/>
  <c r="AB243" i="53"/>
  <c r="AF243" i="53"/>
  <c r="AO243" i="53"/>
  <c r="AK243" i="53"/>
  <c r="AF247" i="53"/>
  <c r="AR247" i="53"/>
  <c r="AO247" i="53"/>
  <c r="AK247" i="53"/>
  <c r="AO238" i="53"/>
  <c r="Y238" i="53"/>
  <c r="AF238" i="53"/>
  <c r="AR238" i="53"/>
  <c r="AB238" i="53"/>
  <c r="AF239" i="53"/>
  <c r="AR239" i="53"/>
  <c r="AB239" i="53"/>
  <c r="Y239" i="53"/>
  <c r="U243" i="53"/>
  <c r="U247" i="53"/>
  <c r="AB250" i="53"/>
  <c r="U236" i="53"/>
  <c r="AK236" i="53"/>
  <c r="S245" i="53"/>
  <c r="T245" i="53"/>
  <c r="R245" i="53"/>
  <c r="Q245" i="53"/>
  <c r="Y247" i="53"/>
  <c r="AF250" i="53"/>
  <c r="Y241" i="53"/>
  <c r="AF255" i="53"/>
  <c r="AK264" i="53"/>
  <c r="U264" i="53"/>
  <c r="AO264" i="53"/>
  <c r="Y264" i="53"/>
  <c r="AR264" i="53"/>
  <c r="AB264" i="53"/>
  <c r="AF264" i="53"/>
  <c r="Y244" i="53"/>
  <c r="AK262" i="53"/>
  <c r="U262" i="53"/>
  <c r="AO262" i="53"/>
  <c r="Y262" i="53"/>
  <c r="AR262" i="53"/>
  <c r="AB262" i="53"/>
  <c r="AF262" i="53"/>
  <c r="AO241" i="53"/>
  <c r="AB244" i="53"/>
  <c r="AO245" i="53"/>
  <c r="AK260" i="53"/>
  <c r="U260" i="53"/>
  <c r="AO260" i="53"/>
  <c r="Y260" i="53"/>
  <c r="AR260" i="53"/>
  <c r="AB260" i="53"/>
  <c r="AF260" i="53"/>
  <c r="U241" i="53"/>
  <c r="Y255" i="53"/>
  <c r="AK259" i="53"/>
  <c r="U259" i="53"/>
  <c r="AO259" i="53"/>
  <c r="Y259" i="53"/>
  <c r="AR259" i="53"/>
  <c r="AB259" i="53"/>
  <c r="AF259" i="53"/>
  <c r="R200" i="53"/>
  <c r="AQ196" i="53"/>
  <c r="Z196" i="53"/>
  <c r="AS192" i="53"/>
  <c r="AP180" i="53"/>
  <c r="AL190" i="53"/>
  <c r="V180" i="53"/>
  <c r="AJ193" i="53"/>
  <c r="AC199" i="53"/>
  <c r="AH190" i="53"/>
  <c r="AN184" i="53"/>
  <c r="R192" i="53"/>
  <c r="X184" i="53"/>
  <c r="Z188" i="53"/>
  <c r="AJ177" i="53"/>
  <c r="AE201" i="53"/>
  <c r="S191" i="53"/>
  <c r="AJ191" i="53"/>
  <c r="AS200" i="53"/>
  <c r="Z200" i="53"/>
  <c r="AJ195" i="53"/>
  <c r="AL196" i="53"/>
  <c r="AQ184" i="53"/>
  <c r="S197" i="53"/>
  <c r="AE199" i="53"/>
  <c r="AC197" i="53"/>
  <c r="AT188" i="53"/>
  <c r="Q205" i="53"/>
  <c r="R184" i="53"/>
  <c r="AJ189" i="53"/>
  <c r="AN182" i="53"/>
  <c r="AT184" i="53"/>
  <c r="S183" i="53"/>
  <c r="X200" i="53"/>
  <c r="AE191" i="53"/>
  <c r="AJ205" i="53"/>
  <c r="AJ185" i="53"/>
  <c r="AL180" i="53"/>
  <c r="AQ192" i="53"/>
  <c r="Q189" i="53"/>
  <c r="T178" i="53"/>
  <c r="X192" i="53"/>
  <c r="AC191" i="53"/>
  <c r="AJ201" i="53"/>
  <c r="AH182" i="53"/>
  <c r="AN200" i="53"/>
  <c r="AT183" i="53"/>
  <c r="Q183" i="53"/>
  <c r="R178" i="53"/>
  <c r="X190" i="53"/>
  <c r="AE183" i="53"/>
  <c r="AJ181" i="53"/>
  <c r="AN198" i="53"/>
  <c r="AP185" i="53"/>
  <c r="AD178" i="53"/>
  <c r="AH204" i="53"/>
  <c r="AP201" i="53"/>
  <c r="AP177" i="53"/>
  <c r="AT187" i="53"/>
  <c r="Z193" i="53"/>
  <c r="AC189" i="53"/>
  <c r="AE177" i="53"/>
  <c r="AJ203" i="53"/>
  <c r="AM198" i="53"/>
  <c r="AL188" i="53"/>
  <c r="AQ200" i="53"/>
  <c r="AQ188" i="53"/>
  <c r="T194" i="53"/>
  <c r="V190" i="53"/>
  <c r="Q191" i="53"/>
  <c r="R194" i="53"/>
  <c r="S181" i="53"/>
  <c r="V204" i="53"/>
  <c r="V188" i="53"/>
  <c r="Z192" i="53"/>
  <c r="AJ183" i="53"/>
  <c r="AT199" i="53"/>
  <c r="AD186" i="53"/>
  <c r="S189" i="53"/>
  <c r="X182" i="53"/>
  <c r="Z204" i="53"/>
  <c r="Z184" i="53"/>
  <c r="AC205" i="53"/>
  <c r="AD194" i="53"/>
  <c r="AH198" i="53"/>
  <c r="AH180" i="53"/>
  <c r="AL204" i="53"/>
  <c r="AN192" i="53"/>
  <c r="AM182" i="53"/>
  <c r="AQ204" i="53"/>
  <c r="AP194" i="53"/>
  <c r="AJ199" i="53"/>
  <c r="AT179" i="53"/>
  <c r="Q181" i="53"/>
  <c r="V198" i="53"/>
  <c r="T186" i="53"/>
  <c r="V196" i="53"/>
  <c r="V182" i="53"/>
  <c r="Z201" i="53"/>
  <c r="Z180" i="53"/>
  <c r="AE193" i="53"/>
  <c r="AC183" i="53"/>
  <c r="AJ197" i="53"/>
  <c r="AH188" i="53"/>
  <c r="AJ179" i="53"/>
  <c r="AN190" i="53"/>
  <c r="AP193" i="53"/>
  <c r="AT204" i="53"/>
  <c r="AT191" i="53"/>
  <c r="AT195" i="53"/>
  <c r="X198" i="53"/>
  <c r="Z185" i="53"/>
  <c r="AE185" i="53"/>
  <c r="R186" i="53"/>
  <c r="Z177" i="53"/>
  <c r="AD202" i="53"/>
  <c r="AC181" i="53"/>
  <c r="AH196" i="53"/>
  <c r="AJ187" i="53"/>
  <c r="AP202" i="53"/>
  <c r="AT203" i="53"/>
  <c r="V195" i="53"/>
  <c r="X195" i="53"/>
  <c r="V179" i="53"/>
  <c r="X179" i="53"/>
  <c r="Q193" i="53"/>
  <c r="R193" i="53"/>
  <c r="S193" i="53"/>
  <c r="T193" i="53"/>
  <c r="Z181" i="53"/>
  <c r="T202" i="53"/>
  <c r="X193" i="53"/>
  <c r="V193" i="53"/>
  <c r="X177" i="53"/>
  <c r="V177" i="53"/>
  <c r="AI186" i="53"/>
  <c r="AJ186" i="53"/>
  <c r="AG186" i="53"/>
  <c r="AP197" i="53"/>
  <c r="AS198" i="53"/>
  <c r="AT198" i="53"/>
  <c r="AS190" i="53"/>
  <c r="AT190" i="53"/>
  <c r="AS182" i="53"/>
  <c r="AT182" i="53"/>
  <c r="R199" i="53"/>
  <c r="T199" i="53"/>
  <c r="AC198" i="53"/>
  <c r="AD198" i="53"/>
  <c r="AE198" i="53"/>
  <c r="AC190" i="53"/>
  <c r="AD190" i="53"/>
  <c r="AE190" i="53"/>
  <c r="AC182" i="53"/>
  <c r="AD182" i="53"/>
  <c r="AE182" i="53"/>
  <c r="AL203" i="53"/>
  <c r="AN203" i="53"/>
  <c r="AL195" i="53"/>
  <c r="AN195" i="53"/>
  <c r="AL187" i="53"/>
  <c r="AN187" i="53"/>
  <c r="AL179" i="53"/>
  <c r="AN179" i="53"/>
  <c r="AP205" i="53"/>
  <c r="V187" i="53"/>
  <c r="X187" i="53"/>
  <c r="Q201" i="53"/>
  <c r="R201" i="53"/>
  <c r="S201" i="53"/>
  <c r="T201" i="53"/>
  <c r="W193" i="53"/>
  <c r="Q177" i="53"/>
  <c r="R177" i="53"/>
  <c r="S177" i="53"/>
  <c r="T177" i="53"/>
  <c r="R198" i="53"/>
  <c r="S198" i="53"/>
  <c r="T198" i="53"/>
  <c r="Q198" i="53"/>
  <c r="AI200" i="53"/>
  <c r="AJ200" i="53"/>
  <c r="AG200" i="53"/>
  <c r="AI192" i="53"/>
  <c r="AJ192" i="53"/>
  <c r="AG192" i="53"/>
  <c r="AI184" i="53"/>
  <c r="AJ184" i="53"/>
  <c r="AG184" i="53"/>
  <c r="AM179" i="53"/>
  <c r="AP199" i="53"/>
  <c r="AQ199" i="53"/>
  <c r="AP191" i="53"/>
  <c r="AQ191" i="53"/>
  <c r="AP183" i="53"/>
  <c r="AQ183" i="53"/>
  <c r="Q202" i="53"/>
  <c r="S202" i="53"/>
  <c r="V203" i="53"/>
  <c r="X203" i="53"/>
  <c r="Q185" i="53"/>
  <c r="R185" i="53"/>
  <c r="S185" i="53"/>
  <c r="T185" i="53"/>
  <c r="Z197" i="53"/>
  <c r="AP189" i="53"/>
  <c r="X201" i="53"/>
  <c r="V201" i="53"/>
  <c r="X185" i="53"/>
  <c r="V185" i="53"/>
  <c r="W195" i="53"/>
  <c r="AI202" i="53"/>
  <c r="AJ202" i="53"/>
  <c r="AG202" i="53"/>
  <c r="AI194" i="53"/>
  <c r="AJ194" i="53"/>
  <c r="AG194" i="53"/>
  <c r="AI178" i="53"/>
  <c r="AJ178" i="53"/>
  <c r="AG178" i="53"/>
  <c r="T205" i="53"/>
  <c r="R205" i="53"/>
  <c r="T197" i="53"/>
  <c r="R197" i="53"/>
  <c r="S199" i="53"/>
  <c r="W201" i="53"/>
  <c r="Z205" i="53"/>
  <c r="Z189" i="53"/>
  <c r="AC204" i="53"/>
  <c r="AE204" i="53"/>
  <c r="AC196" i="53"/>
  <c r="AE196" i="53"/>
  <c r="AC188" i="53"/>
  <c r="AE188" i="53"/>
  <c r="AC180" i="53"/>
  <c r="AE180" i="53"/>
  <c r="AN201" i="53"/>
  <c r="AL201" i="53"/>
  <c r="AN193" i="53"/>
  <c r="AL193" i="53"/>
  <c r="AN185" i="53"/>
  <c r="AL185" i="53"/>
  <c r="AN177" i="53"/>
  <c r="AL177" i="53"/>
  <c r="AM187" i="53"/>
  <c r="AM177" i="53"/>
  <c r="AT196" i="53"/>
  <c r="R204" i="53"/>
  <c r="S204" i="53"/>
  <c r="Q204" i="53"/>
  <c r="R196" i="53"/>
  <c r="S196" i="53"/>
  <c r="Q196" i="53"/>
  <c r="R188" i="53"/>
  <c r="S188" i="53"/>
  <c r="Q188" i="53"/>
  <c r="R180" i="53"/>
  <c r="S180" i="53"/>
  <c r="Q180" i="53"/>
  <c r="W179" i="53"/>
  <c r="Z199" i="53"/>
  <c r="AA199" i="53"/>
  <c r="Z191" i="53"/>
  <c r="AA191" i="53"/>
  <c r="Z183" i="53"/>
  <c r="AA183" i="53"/>
  <c r="R203" i="53"/>
  <c r="S203" i="53"/>
  <c r="T203" i="53"/>
  <c r="Q203" i="53"/>
  <c r="R195" i="53"/>
  <c r="S195" i="53"/>
  <c r="T195" i="53"/>
  <c r="Q195" i="53"/>
  <c r="R187" i="53"/>
  <c r="S187" i="53"/>
  <c r="T187" i="53"/>
  <c r="Q187" i="53"/>
  <c r="R179" i="53"/>
  <c r="S179" i="53"/>
  <c r="T179" i="53"/>
  <c r="Q179" i="53"/>
  <c r="T196" i="53"/>
  <c r="W177" i="53"/>
  <c r="AH202" i="53"/>
  <c r="AH194" i="53"/>
  <c r="AH186" i="53"/>
  <c r="AH178" i="53"/>
  <c r="AM203" i="53"/>
  <c r="AM193" i="53"/>
  <c r="AP181" i="53"/>
  <c r="AT180" i="53"/>
  <c r="Q190" i="53"/>
  <c r="Q182" i="53"/>
  <c r="S194" i="53"/>
  <c r="T191" i="53"/>
  <c r="R189" i="53"/>
  <c r="S186" i="53"/>
  <c r="T183" i="53"/>
  <c r="R181" i="53"/>
  <c r="S178" i="53"/>
  <c r="AC202" i="53"/>
  <c r="AC194" i="53"/>
  <c r="AC186" i="53"/>
  <c r="AC178" i="53"/>
  <c r="AG204" i="53"/>
  <c r="AG198" i="53"/>
  <c r="AG196" i="53"/>
  <c r="AG190" i="53"/>
  <c r="AG188" i="53"/>
  <c r="AG182" i="53"/>
  <c r="AG180" i="53"/>
  <c r="X205" i="53"/>
  <c r="W200" i="53"/>
  <c r="X197" i="53"/>
  <c r="W192" i="53"/>
  <c r="X189" i="53"/>
  <c r="W184" i="53"/>
  <c r="X181" i="53"/>
  <c r="AA203" i="53"/>
  <c r="AA195" i="53"/>
  <c r="AA187" i="53"/>
  <c r="AA179" i="53"/>
  <c r="AD201" i="53"/>
  <c r="AD193" i="53"/>
  <c r="AD185" i="53"/>
  <c r="AD177" i="53"/>
  <c r="AI205" i="53"/>
  <c r="AI203" i="53"/>
  <c r="AI201" i="53"/>
  <c r="AI199" i="53"/>
  <c r="AI197" i="53"/>
  <c r="AI195" i="53"/>
  <c r="AI193" i="53"/>
  <c r="AI191" i="53"/>
  <c r="AI189" i="53"/>
  <c r="AI187" i="53"/>
  <c r="AI185" i="53"/>
  <c r="AI183" i="53"/>
  <c r="AI181" i="53"/>
  <c r="AI179" i="53"/>
  <c r="AI177" i="53"/>
  <c r="AN205" i="53"/>
  <c r="AM200" i="53"/>
  <c r="AN197" i="53"/>
  <c r="AM192" i="53"/>
  <c r="AN189" i="53"/>
  <c r="AM184" i="53"/>
  <c r="AN181" i="53"/>
  <c r="AQ203" i="53"/>
  <c r="AQ195" i="53"/>
  <c r="AQ187" i="53"/>
  <c r="AQ179" i="53"/>
  <c r="T190" i="53"/>
  <c r="T182" i="53"/>
  <c r="W205" i="53"/>
  <c r="X202" i="53"/>
  <c r="W197" i="53"/>
  <c r="X194" i="53"/>
  <c r="W189" i="53"/>
  <c r="X186" i="53"/>
  <c r="W181" i="53"/>
  <c r="X178" i="53"/>
  <c r="AE203" i="53"/>
  <c r="AE195" i="53"/>
  <c r="AE187" i="53"/>
  <c r="AE179" i="53"/>
  <c r="AH205" i="53"/>
  <c r="AH203" i="53"/>
  <c r="AH201" i="53"/>
  <c r="AH199" i="53"/>
  <c r="AH197" i="53"/>
  <c r="AH195" i="53"/>
  <c r="AH193" i="53"/>
  <c r="AH191" i="53"/>
  <c r="AH189" i="53"/>
  <c r="AH187" i="53"/>
  <c r="AH185" i="53"/>
  <c r="AH183" i="53"/>
  <c r="AH181" i="53"/>
  <c r="AH179" i="53"/>
  <c r="AH177" i="53"/>
  <c r="AM205" i="53"/>
  <c r="AN202" i="53"/>
  <c r="AM197" i="53"/>
  <c r="AN194" i="53"/>
  <c r="AM189" i="53"/>
  <c r="AN186" i="53"/>
  <c r="AM181" i="53"/>
  <c r="AN178" i="53"/>
  <c r="AT202" i="53"/>
  <c r="AT194" i="53"/>
  <c r="AT186" i="53"/>
  <c r="AT178" i="53"/>
  <c r="S190" i="53"/>
  <c r="S182" i="53"/>
  <c r="W202" i="53"/>
  <c r="X199" i="53"/>
  <c r="W194" i="53"/>
  <c r="X191" i="53"/>
  <c r="W186" i="53"/>
  <c r="X183" i="53"/>
  <c r="W178" i="53"/>
  <c r="AA202" i="53"/>
  <c r="AA198" i="53"/>
  <c r="AA194" i="53"/>
  <c r="AA190" i="53"/>
  <c r="AA186" i="53"/>
  <c r="AA182" i="53"/>
  <c r="AA178" i="53"/>
  <c r="AD203" i="53"/>
  <c r="AE200" i="53"/>
  <c r="AD195" i="53"/>
  <c r="AE192" i="53"/>
  <c r="AD187" i="53"/>
  <c r="AE184" i="53"/>
  <c r="AD179" i="53"/>
  <c r="AM202" i="53"/>
  <c r="AN199" i="53"/>
  <c r="AM194" i="53"/>
  <c r="AN191" i="53"/>
  <c r="AM186" i="53"/>
  <c r="AN183" i="53"/>
  <c r="AM178" i="53"/>
  <c r="AQ198" i="53"/>
  <c r="AQ190" i="53"/>
  <c r="AQ186" i="53"/>
  <c r="AQ182" i="53"/>
  <c r="AQ178" i="53"/>
  <c r="T200" i="53"/>
  <c r="T192" i="53"/>
  <c r="T184" i="53"/>
  <c r="X204" i="53"/>
  <c r="W199" i="53"/>
  <c r="X196" i="53"/>
  <c r="W191" i="53"/>
  <c r="X188" i="53"/>
  <c r="W183" i="53"/>
  <c r="X180" i="53"/>
  <c r="AE205" i="53"/>
  <c r="AD200" i="53"/>
  <c r="AE197" i="53"/>
  <c r="AD192" i="53"/>
  <c r="AE189" i="53"/>
  <c r="AD184" i="53"/>
  <c r="AE181" i="53"/>
  <c r="AJ204" i="53"/>
  <c r="AJ198" i="53"/>
  <c r="AJ196" i="53"/>
  <c r="AJ190" i="53"/>
  <c r="AJ188" i="53"/>
  <c r="AJ182" i="53"/>
  <c r="AJ180" i="53"/>
  <c r="AN204" i="53"/>
  <c r="AM199" i="53"/>
  <c r="AN196" i="53"/>
  <c r="AM191" i="53"/>
  <c r="AN188" i="53"/>
  <c r="AM183" i="53"/>
  <c r="AN180" i="53"/>
  <c r="AT205" i="53"/>
  <c r="AT201" i="53"/>
  <c r="AT197" i="53"/>
  <c r="AT193" i="53"/>
  <c r="AT189" i="53"/>
  <c r="AT185" i="53"/>
  <c r="AT181" i="53"/>
  <c r="AT177" i="53"/>
  <c r="Q200" i="53"/>
  <c r="Q192" i="53"/>
  <c r="Q184" i="53"/>
  <c r="K211" i="13"/>
  <c r="K210" i="13"/>
  <c r="J210" i="13"/>
  <c r="J211" i="13" s="1"/>
  <c r="I210" i="13"/>
  <c r="I211" i="13" s="1"/>
  <c r="H210" i="13"/>
  <c r="H211" i="13" s="1"/>
  <c r="G209" i="13"/>
  <c r="M207" i="13"/>
  <c r="L205" i="13"/>
  <c r="M205" i="13" s="1"/>
  <c r="L204" i="13"/>
  <c r="M204" i="13" s="1"/>
  <c r="L203" i="13"/>
  <c r="M203" i="13" s="1"/>
  <c r="L122" i="13"/>
  <c r="L130" i="13"/>
  <c r="L119" i="13"/>
  <c r="L85" i="13"/>
  <c r="G85" i="13"/>
  <c r="L77" i="13"/>
  <c r="R179" i="12"/>
  <c r="R178" i="12"/>
  <c r="R88" i="12"/>
  <c r="Q16" i="12"/>
  <c r="AR107" i="53"/>
  <c r="AT107" i="53" s="1"/>
  <c r="AO107" i="53"/>
  <c r="AQ107" i="53" s="1"/>
  <c r="AK107" i="53"/>
  <c r="AN107" i="53" s="1"/>
  <c r="AF107" i="53"/>
  <c r="AI107" i="53" s="1"/>
  <c r="AB107" i="53"/>
  <c r="AC107" i="53" s="1"/>
  <c r="Y107" i="53"/>
  <c r="AA107" i="53" s="1"/>
  <c r="U107" i="53"/>
  <c r="V107" i="53" s="1"/>
  <c r="R107" i="53"/>
  <c r="W244" i="53" l="1"/>
  <c r="AN250" i="53"/>
  <c r="AD249" i="53"/>
  <c r="AE249" i="53"/>
  <c r="AS213" i="53"/>
  <c r="V244" i="53"/>
  <c r="AL250" i="53"/>
  <c r="AT217" i="53"/>
  <c r="AH221" i="53"/>
  <c r="AJ221" i="53"/>
  <c r="AG221" i="53"/>
  <c r="AM219" i="53"/>
  <c r="AN219" i="53"/>
  <c r="AM238" i="53"/>
  <c r="Z214" i="53"/>
  <c r="AE247" i="53"/>
  <c r="AT230" i="53"/>
  <c r="X248" i="53"/>
  <c r="AN239" i="53"/>
  <c r="Z221" i="53"/>
  <c r="AD247" i="53"/>
  <c r="X251" i="53"/>
  <c r="AD213" i="53"/>
  <c r="AN229" i="53"/>
  <c r="V248" i="53"/>
  <c r="X210" i="53"/>
  <c r="AL255" i="53"/>
  <c r="AP209" i="53"/>
  <c r="AI225" i="53"/>
  <c r="T235" i="53"/>
  <c r="AN238" i="53"/>
  <c r="V251" i="53"/>
  <c r="AN255" i="53"/>
  <c r="AM239" i="53"/>
  <c r="AL209" i="53"/>
  <c r="AQ255" i="53"/>
  <c r="AN209" i="53"/>
  <c r="AE241" i="53"/>
  <c r="Q210" i="53"/>
  <c r="AP213" i="53"/>
  <c r="AC223" i="53"/>
  <c r="AP211" i="53"/>
  <c r="AG225" i="53"/>
  <c r="AH225" i="53"/>
  <c r="AM231" i="53"/>
  <c r="AJ211" i="53"/>
  <c r="V210" i="53"/>
  <c r="AH219" i="53"/>
  <c r="Q255" i="53"/>
  <c r="AP219" i="53"/>
  <c r="AN231" i="53"/>
  <c r="T209" i="53"/>
  <c r="AL229" i="53"/>
  <c r="T210" i="53"/>
  <c r="R209" i="53"/>
  <c r="AJ253" i="53"/>
  <c r="AS237" i="53"/>
  <c r="AG253" i="53"/>
  <c r="AG209" i="53"/>
  <c r="AJ216" i="53"/>
  <c r="AH211" i="53"/>
  <c r="AD252" i="53"/>
  <c r="AL230" i="53"/>
  <c r="AH235" i="53"/>
  <c r="AM230" i="53"/>
  <c r="AG235" i="53"/>
  <c r="AM226" i="53"/>
  <c r="AT223" i="53"/>
  <c r="W238" i="53"/>
  <c r="AN212" i="53"/>
  <c r="W255" i="53"/>
  <c r="AD214" i="53"/>
  <c r="X249" i="53"/>
  <c r="V214" i="53"/>
  <c r="V238" i="53"/>
  <c r="AH213" i="53"/>
  <c r="AQ239" i="53"/>
  <c r="AT208" i="53"/>
  <c r="AS226" i="53"/>
  <c r="X225" i="53"/>
  <c r="R248" i="53"/>
  <c r="AI244" i="53"/>
  <c r="AL212" i="53"/>
  <c r="AL214" i="53"/>
  <c r="V218" i="53"/>
  <c r="AP236" i="53"/>
  <c r="AA248" i="53"/>
  <c r="R233" i="53"/>
  <c r="X212" i="53"/>
  <c r="AL213" i="53"/>
  <c r="AC207" i="53"/>
  <c r="AL244" i="53"/>
  <c r="AG244" i="53"/>
  <c r="AC221" i="53"/>
  <c r="W249" i="53"/>
  <c r="S235" i="53"/>
  <c r="AA250" i="53"/>
  <c r="X214" i="53"/>
  <c r="W225" i="53"/>
  <c r="AM245" i="53"/>
  <c r="AG216" i="53"/>
  <c r="AD207" i="53"/>
  <c r="AQ231" i="53"/>
  <c r="AN221" i="53"/>
  <c r="T248" i="53"/>
  <c r="Z236" i="53"/>
  <c r="AD206" i="53"/>
  <c r="AP228" i="53"/>
  <c r="AH216" i="53"/>
  <c r="AS231" i="53"/>
  <c r="AN214" i="53"/>
  <c r="S248" i="53"/>
  <c r="AG252" i="53"/>
  <c r="AG232" i="53"/>
  <c r="AT221" i="53"/>
  <c r="AP215" i="53"/>
  <c r="Z229" i="53"/>
  <c r="AG213" i="53"/>
  <c r="AH222" i="53"/>
  <c r="AQ252" i="53"/>
  <c r="R232" i="53"/>
  <c r="AG256" i="53"/>
  <c r="AN241" i="53"/>
  <c r="AM246" i="53"/>
  <c r="W220" i="53"/>
  <c r="Z230" i="53"/>
  <c r="AH256" i="53"/>
  <c r="AT244" i="53"/>
  <c r="AJ256" i="53"/>
  <c r="V229" i="53"/>
  <c r="AN246" i="53"/>
  <c r="W217" i="53"/>
  <c r="X228" i="53"/>
  <c r="AS229" i="53"/>
  <c r="X217" i="53"/>
  <c r="AL226" i="53"/>
  <c r="V220" i="53"/>
  <c r="AA226" i="53"/>
  <c r="AQ230" i="53"/>
  <c r="AD255" i="53"/>
  <c r="W222" i="53"/>
  <c r="Z228" i="53"/>
  <c r="AC215" i="53"/>
  <c r="AI252" i="53"/>
  <c r="X231" i="53"/>
  <c r="V227" i="53"/>
  <c r="AH252" i="53"/>
  <c r="AM217" i="53"/>
  <c r="AM211" i="53"/>
  <c r="W228" i="53"/>
  <c r="AG214" i="53"/>
  <c r="AN217" i="53"/>
  <c r="AE222" i="53"/>
  <c r="W227" i="53"/>
  <c r="AS254" i="53"/>
  <c r="Z213" i="53"/>
  <c r="AE255" i="53"/>
  <c r="AS232" i="53"/>
  <c r="W218" i="53"/>
  <c r="AC233" i="53"/>
  <c r="Z219" i="53"/>
  <c r="AJ246" i="53"/>
  <c r="X226" i="53"/>
  <c r="AA231" i="53"/>
  <c r="AE233" i="53"/>
  <c r="R214" i="53"/>
  <c r="AM220" i="53"/>
  <c r="AC252" i="53"/>
  <c r="AN220" i="53"/>
  <c r="AC211" i="53"/>
  <c r="AN244" i="53"/>
  <c r="AS236" i="53"/>
  <c r="W226" i="53"/>
  <c r="X229" i="53"/>
  <c r="AH246" i="53"/>
  <c r="AL235" i="53"/>
  <c r="V212" i="53"/>
  <c r="AI253" i="53"/>
  <c r="AI235" i="53"/>
  <c r="AM241" i="53"/>
  <c r="AM218" i="53"/>
  <c r="AH209" i="53"/>
  <c r="AP229" i="53"/>
  <c r="AS216" i="53"/>
  <c r="AI219" i="53"/>
  <c r="AI215" i="53"/>
  <c r="AA252" i="53"/>
  <c r="V231" i="53"/>
  <c r="AL228" i="53"/>
  <c r="AM235" i="53"/>
  <c r="Q209" i="53"/>
  <c r="AQ249" i="53"/>
  <c r="AQ233" i="53"/>
  <c r="AN218" i="53"/>
  <c r="AD208" i="53"/>
  <c r="AL221" i="53"/>
  <c r="S244" i="53"/>
  <c r="AN228" i="53"/>
  <c r="AT227" i="53"/>
  <c r="AQ232" i="53"/>
  <c r="AG222" i="53"/>
  <c r="R235" i="53"/>
  <c r="V239" i="53"/>
  <c r="AT248" i="53"/>
  <c r="AN213" i="53"/>
  <c r="AE214" i="53"/>
  <c r="R210" i="53"/>
  <c r="AN248" i="53"/>
  <c r="AL222" i="53"/>
  <c r="AL248" i="53"/>
  <c r="AH233" i="53"/>
  <c r="AD218" i="53"/>
  <c r="AM222" i="53"/>
  <c r="X239" i="53"/>
  <c r="X255" i="53"/>
  <c r="AE232" i="53"/>
  <c r="Z218" i="53"/>
  <c r="W209" i="53"/>
  <c r="V216" i="53"/>
  <c r="W219" i="53"/>
  <c r="AD215" i="53"/>
  <c r="AS211" i="53"/>
  <c r="S214" i="53"/>
  <c r="AP218" i="53"/>
  <c r="AN252" i="53"/>
  <c r="AJ254" i="53"/>
  <c r="X219" i="53"/>
  <c r="AS233" i="53"/>
  <c r="AE248" i="53"/>
  <c r="Q214" i="53"/>
  <c r="Z227" i="53"/>
  <c r="AC208" i="53"/>
  <c r="AP206" i="53"/>
  <c r="AA243" i="53"/>
  <c r="AJ245" i="53"/>
  <c r="AI254" i="53"/>
  <c r="AP217" i="53"/>
  <c r="AC248" i="53"/>
  <c r="AD245" i="53"/>
  <c r="AG248" i="53"/>
  <c r="AP214" i="53"/>
  <c r="AD222" i="53"/>
  <c r="AG245" i="53"/>
  <c r="Q244" i="53"/>
  <c r="AH254" i="53"/>
  <c r="S232" i="53"/>
  <c r="AI248" i="53"/>
  <c r="AA210" i="53"/>
  <c r="AH214" i="53"/>
  <c r="AT215" i="53"/>
  <c r="AI245" i="53"/>
  <c r="R244" i="53"/>
  <c r="Q232" i="53"/>
  <c r="AC218" i="53"/>
  <c r="AH248" i="53"/>
  <c r="AP210" i="53"/>
  <c r="AI214" i="53"/>
  <c r="AL211" i="53"/>
  <c r="AJ244" i="53"/>
  <c r="AD223" i="53"/>
  <c r="AJ222" i="53"/>
  <c r="AI232" i="53"/>
  <c r="AG233" i="53"/>
  <c r="AP244" i="53"/>
  <c r="AD211" i="53"/>
  <c r="AS207" i="53"/>
  <c r="AG219" i="53"/>
  <c r="AH217" i="53"/>
  <c r="AG217" i="53"/>
  <c r="AJ213" i="53"/>
  <c r="AL252" i="53"/>
  <c r="AL245" i="53"/>
  <c r="AH232" i="53"/>
  <c r="Z209" i="53"/>
  <c r="AC232" i="53"/>
  <c r="AJ209" i="53"/>
  <c r="AE245" i="53"/>
  <c r="Z215" i="53"/>
  <c r="X209" i="53"/>
  <c r="AS206" i="53"/>
  <c r="AT228" i="53"/>
  <c r="AI211" i="53"/>
  <c r="AC241" i="53"/>
  <c r="AJ217" i="53"/>
  <c r="AQ208" i="53"/>
  <c r="AJ215" i="53"/>
  <c r="AM227" i="53"/>
  <c r="AI237" i="53"/>
  <c r="T237" i="53"/>
  <c r="X230" i="53"/>
  <c r="AJ237" i="53"/>
  <c r="Q237" i="53"/>
  <c r="AN215" i="53"/>
  <c r="AL227" i="53"/>
  <c r="AG237" i="53"/>
  <c r="T216" i="53"/>
  <c r="AA222" i="53"/>
  <c r="T213" i="53"/>
  <c r="R237" i="53"/>
  <c r="AL215" i="53"/>
  <c r="W230" i="53"/>
  <c r="AC213" i="53"/>
  <c r="AP227" i="53"/>
  <c r="AT209" i="53"/>
  <c r="X252" i="53"/>
  <c r="AD242" i="53"/>
  <c r="R213" i="53"/>
  <c r="V252" i="53"/>
  <c r="AE242" i="53"/>
  <c r="AS241" i="53"/>
  <c r="AD212" i="53"/>
  <c r="AM210" i="53"/>
  <c r="AN210" i="53"/>
  <c r="R216" i="53"/>
  <c r="Q213" i="53"/>
  <c r="AA207" i="53"/>
  <c r="AH215" i="53"/>
  <c r="W211" i="53"/>
  <c r="X211" i="53"/>
  <c r="V211" i="53"/>
  <c r="AT222" i="53"/>
  <c r="AS222" i="53"/>
  <c r="AQ212" i="53"/>
  <c r="AP212" i="53"/>
  <c r="S220" i="53"/>
  <c r="R220" i="53"/>
  <c r="Q220" i="53"/>
  <c r="T220" i="53"/>
  <c r="AT210" i="53"/>
  <c r="AS210" i="53"/>
  <c r="AT220" i="53"/>
  <c r="AS220" i="53"/>
  <c r="AS255" i="53"/>
  <c r="AD237" i="53"/>
  <c r="AJ233" i="53"/>
  <c r="AL216" i="53"/>
  <c r="AI241" i="53"/>
  <c r="AE219" i="53"/>
  <c r="AD219" i="53"/>
  <c r="AC219" i="53"/>
  <c r="AE210" i="53"/>
  <c r="AD210" i="53"/>
  <c r="AC210" i="53"/>
  <c r="T233" i="53"/>
  <c r="S233" i="53"/>
  <c r="AA216" i="53"/>
  <c r="Z216" i="53"/>
  <c r="AE216" i="53"/>
  <c r="AC216" i="53"/>
  <c r="AS219" i="53"/>
  <c r="AT219" i="53"/>
  <c r="AE221" i="53"/>
  <c r="S221" i="53"/>
  <c r="R221" i="53"/>
  <c r="T221" i="53"/>
  <c r="Q221" i="53"/>
  <c r="AI210" i="53"/>
  <c r="AH210" i="53"/>
  <c r="AI220" i="53"/>
  <c r="AH220" i="53"/>
  <c r="AG220" i="53"/>
  <c r="AJ220" i="53"/>
  <c r="T255" i="53"/>
  <c r="R255" i="53"/>
  <c r="Z245" i="53"/>
  <c r="Q241" i="53"/>
  <c r="V245" i="53"/>
  <c r="V235" i="53"/>
  <c r="AC237" i="53"/>
  <c r="Q216" i="53"/>
  <c r="AJ241" i="53"/>
  <c r="Z233" i="53"/>
  <c r="X222" i="53"/>
  <c r="AG210" i="53"/>
  <c r="AC212" i="53"/>
  <c r="AC206" i="53"/>
  <c r="S215" i="53"/>
  <c r="T215" i="53"/>
  <c r="R215" i="53"/>
  <c r="Q215" i="53"/>
  <c r="AS218" i="53"/>
  <c r="AT218" i="53"/>
  <c r="AE209" i="53"/>
  <c r="AD209" i="53"/>
  <c r="S222" i="53"/>
  <c r="Q222" i="53"/>
  <c r="AM225" i="53"/>
  <c r="AN225" i="53"/>
  <c r="AQ216" i="53"/>
  <c r="AP216" i="53"/>
  <c r="T241" i="53"/>
  <c r="X235" i="53"/>
  <c r="Z220" i="53"/>
  <c r="AN216" i="53"/>
  <c r="AG246" i="53"/>
  <c r="AH241" i="53"/>
  <c r="AP226" i="53"/>
  <c r="AI218" i="53"/>
  <c r="AJ218" i="53"/>
  <c r="AG218" i="53"/>
  <c r="AH218" i="53"/>
  <c r="AA217" i="53"/>
  <c r="Z217" i="53"/>
  <c r="AS252" i="53"/>
  <c r="Q252" i="53"/>
  <c r="AL225" i="53"/>
  <c r="AJ212" i="53"/>
  <c r="X216" i="53"/>
  <c r="W213" i="53"/>
  <c r="V213" i="53"/>
  <c r="S217" i="53"/>
  <c r="Q217" i="53"/>
  <c r="T217" i="53"/>
  <c r="R217" i="53"/>
  <c r="W215" i="53"/>
  <c r="X215" i="53"/>
  <c r="V215" i="53"/>
  <c r="AS245" i="53"/>
  <c r="AT245" i="53"/>
  <c r="AE217" i="53"/>
  <c r="AC217" i="53"/>
  <c r="S219" i="53"/>
  <c r="T219" i="53"/>
  <c r="Q219" i="53"/>
  <c r="R219" i="53"/>
  <c r="AM233" i="53"/>
  <c r="W245" i="53"/>
  <c r="AN233" i="53"/>
  <c r="T252" i="53"/>
  <c r="Z211" i="53"/>
  <c r="W221" i="53"/>
  <c r="AT242" i="53"/>
  <c r="AP221" i="53"/>
  <c r="AT214" i="53"/>
  <c r="AS214" i="53"/>
  <c r="AP222" i="53"/>
  <c r="AQ222" i="53"/>
  <c r="AQ220" i="53"/>
  <c r="AP220" i="53"/>
  <c r="AT212" i="53"/>
  <c r="AS212" i="53"/>
  <c r="AQ248" i="53"/>
  <c r="AH212" i="53"/>
  <c r="X221" i="53"/>
  <c r="AG212" i="53"/>
  <c r="S211" i="53"/>
  <c r="T211" i="53"/>
  <c r="R211" i="53"/>
  <c r="Q211" i="53"/>
  <c r="AA212" i="53"/>
  <c r="Z212" i="53"/>
  <c r="AE220" i="53"/>
  <c r="AD220" i="53"/>
  <c r="AS259" i="53"/>
  <c r="AT259" i="53"/>
  <c r="AA244" i="53"/>
  <c r="Z244" i="53"/>
  <c r="Z259" i="53"/>
  <c r="AA259" i="53"/>
  <c r="AP262" i="53"/>
  <c r="AQ262" i="53"/>
  <c r="AD238" i="53"/>
  <c r="AE238" i="53"/>
  <c r="AC238" i="53"/>
  <c r="AD243" i="53"/>
  <c r="AC243" i="53"/>
  <c r="AE243" i="53"/>
  <c r="R250" i="53"/>
  <c r="S250" i="53"/>
  <c r="T250" i="53"/>
  <c r="Q250" i="53"/>
  <c r="AP253" i="53"/>
  <c r="AQ253" i="53"/>
  <c r="AL256" i="53"/>
  <c r="AN256" i="53"/>
  <c r="AM256" i="53"/>
  <c r="AS234" i="53"/>
  <c r="AT234" i="53"/>
  <c r="AQ261" i="53"/>
  <c r="AP261" i="53"/>
  <c r="AG260" i="53"/>
  <c r="AH260" i="53"/>
  <c r="AI260" i="53"/>
  <c r="AJ260" i="53"/>
  <c r="AC264" i="53"/>
  <c r="AD264" i="53"/>
  <c r="AE264" i="53"/>
  <c r="AH250" i="53"/>
  <c r="AI250" i="53"/>
  <c r="AJ250" i="53"/>
  <c r="AG250" i="53"/>
  <c r="AS243" i="53"/>
  <c r="AT243" i="53"/>
  <c r="AT250" i="53"/>
  <c r="AS250" i="53"/>
  <c r="AE235" i="53"/>
  <c r="AD235" i="53"/>
  <c r="AC235" i="53"/>
  <c r="AL251" i="53"/>
  <c r="AN251" i="53"/>
  <c r="AM251" i="53"/>
  <c r="Z256" i="53"/>
  <c r="AA256" i="53"/>
  <c r="AJ265" i="53"/>
  <c r="AG265" i="53"/>
  <c r="AH265" i="53"/>
  <c r="AI265" i="53"/>
  <c r="AC263" i="53"/>
  <c r="AD263" i="53"/>
  <c r="AE263" i="53"/>
  <c r="AI240" i="53"/>
  <c r="AH240" i="53"/>
  <c r="AG240" i="53"/>
  <c r="AJ240" i="53"/>
  <c r="X234" i="53"/>
  <c r="W234" i="53"/>
  <c r="V234" i="53"/>
  <c r="AI227" i="53"/>
  <c r="AH227" i="53"/>
  <c r="AJ227" i="53"/>
  <c r="AG227" i="53"/>
  <c r="W261" i="53"/>
  <c r="V261" i="53"/>
  <c r="X261" i="53"/>
  <c r="AD228" i="53"/>
  <c r="AE228" i="53"/>
  <c r="AC228" i="53"/>
  <c r="W259" i="53"/>
  <c r="V259" i="53"/>
  <c r="X259" i="53"/>
  <c r="AP241" i="53"/>
  <c r="AQ241" i="53"/>
  <c r="AS264" i="53"/>
  <c r="AT264" i="53"/>
  <c r="Z247" i="53"/>
  <c r="AA247" i="53"/>
  <c r="X243" i="53"/>
  <c r="W243" i="53"/>
  <c r="V243" i="53"/>
  <c r="AL247" i="53"/>
  <c r="AN247" i="53"/>
  <c r="AM247" i="53"/>
  <c r="W237" i="53"/>
  <c r="X237" i="53"/>
  <c r="V237" i="53"/>
  <c r="AT253" i="53"/>
  <c r="AS253" i="53"/>
  <c r="AP254" i="53"/>
  <c r="AQ254" i="53"/>
  <c r="AS263" i="53"/>
  <c r="AT263" i="53"/>
  <c r="S230" i="53"/>
  <c r="R230" i="53"/>
  <c r="T230" i="53"/>
  <c r="Q230" i="53"/>
  <c r="AJ206" i="53"/>
  <c r="AH206" i="53"/>
  <c r="AG206" i="53"/>
  <c r="AI206" i="53"/>
  <c r="AA257" i="53"/>
  <c r="Z257" i="53"/>
  <c r="AD227" i="53"/>
  <c r="AE227" i="53"/>
  <c r="AC227" i="53"/>
  <c r="AN259" i="53"/>
  <c r="AM259" i="53"/>
  <c r="AL259" i="53"/>
  <c r="Z264" i="53"/>
  <c r="AA264" i="53"/>
  <c r="T239" i="53"/>
  <c r="S239" i="53"/>
  <c r="Q239" i="53"/>
  <c r="R239" i="53"/>
  <c r="V233" i="53"/>
  <c r="X233" i="53"/>
  <c r="W233" i="53"/>
  <c r="AG258" i="53"/>
  <c r="AH258" i="53"/>
  <c r="AJ258" i="53"/>
  <c r="AI258" i="53"/>
  <c r="AA263" i="53"/>
  <c r="Z263" i="53"/>
  <c r="AM240" i="53"/>
  <c r="AL240" i="53"/>
  <c r="AN240" i="53"/>
  <c r="AI226" i="53"/>
  <c r="AH226" i="53"/>
  <c r="AJ226" i="53"/>
  <c r="AG226" i="53"/>
  <c r="Z246" i="53"/>
  <c r="AA246" i="53"/>
  <c r="V223" i="53"/>
  <c r="X223" i="53"/>
  <c r="W223" i="53"/>
  <c r="AN208" i="53"/>
  <c r="AM208" i="53"/>
  <c r="AL208" i="53"/>
  <c r="AN206" i="53"/>
  <c r="AM206" i="53"/>
  <c r="AL206" i="53"/>
  <c r="AN260" i="53"/>
  <c r="AM260" i="53"/>
  <c r="AL260" i="53"/>
  <c r="V247" i="53"/>
  <c r="X247" i="53"/>
  <c r="W247" i="53"/>
  <c r="AQ245" i="53"/>
  <c r="AP245" i="53"/>
  <c r="Z241" i="53"/>
  <c r="AA241" i="53"/>
  <c r="AQ235" i="53"/>
  <c r="AP235" i="53"/>
  <c r="AD251" i="53"/>
  <c r="AC251" i="53"/>
  <c r="AE251" i="53"/>
  <c r="W258" i="53"/>
  <c r="X258" i="53"/>
  <c r="V258" i="53"/>
  <c r="Q263" i="53"/>
  <c r="S263" i="53"/>
  <c r="R263" i="53"/>
  <c r="T263" i="53"/>
  <c r="AS240" i="53"/>
  <c r="AT240" i="53"/>
  <c r="S227" i="53"/>
  <c r="R227" i="53"/>
  <c r="T227" i="53"/>
  <c r="Q227" i="53"/>
  <c r="AI207" i="53"/>
  <c r="AH207" i="53"/>
  <c r="AG207" i="53"/>
  <c r="AJ207" i="53"/>
  <c r="AC224" i="53"/>
  <c r="AE224" i="53"/>
  <c r="AD224" i="53"/>
  <c r="AQ259" i="53"/>
  <c r="AP259" i="53"/>
  <c r="W262" i="53"/>
  <c r="V262" i="53"/>
  <c r="X262" i="53"/>
  <c r="AN236" i="53"/>
  <c r="AL236" i="53"/>
  <c r="AM236" i="53"/>
  <c r="AT238" i="53"/>
  <c r="AS238" i="53"/>
  <c r="R253" i="53"/>
  <c r="S253" i="53"/>
  <c r="T253" i="53"/>
  <c r="Q253" i="53"/>
  <c r="AN258" i="53"/>
  <c r="AM258" i="53"/>
  <c r="AL258" i="53"/>
  <c r="AL254" i="53"/>
  <c r="AN254" i="53"/>
  <c r="AM254" i="53"/>
  <c r="AI231" i="53"/>
  <c r="AH231" i="53"/>
  <c r="AJ231" i="53"/>
  <c r="AG231" i="53"/>
  <c r="R207" i="53"/>
  <c r="Q207" i="53"/>
  <c r="T207" i="53"/>
  <c r="S207" i="53"/>
  <c r="AS257" i="53"/>
  <c r="AT257" i="53"/>
  <c r="S223" i="53"/>
  <c r="Q223" i="53"/>
  <c r="T223" i="53"/>
  <c r="R223" i="53"/>
  <c r="AA223" i="53"/>
  <c r="Z223" i="53"/>
  <c r="X207" i="53"/>
  <c r="W207" i="53"/>
  <c r="V207" i="53"/>
  <c r="AS224" i="53"/>
  <c r="AT224" i="53"/>
  <c r="AC260" i="53"/>
  <c r="AD260" i="53"/>
  <c r="AE260" i="53"/>
  <c r="AN262" i="53"/>
  <c r="AM262" i="53"/>
  <c r="AL262" i="53"/>
  <c r="X236" i="53"/>
  <c r="V236" i="53"/>
  <c r="W236" i="53"/>
  <c r="Q238" i="53"/>
  <c r="T238" i="53"/>
  <c r="R238" i="53"/>
  <c r="S238" i="53"/>
  <c r="V250" i="53"/>
  <c r="X250" i="53"/>
  <c r="W250" i="53"/>
  <c r="AT235" i="53"/>
  <c r="AS235" i="53"/>
  <c r="AP251" i="53"/>
  <c r="AQ251" i="53"/>
  <c r="AT256" i="53"/>
  <c r="AS256" i="53"/>
  <c r="AG263" i="53"/>
  <c r="AH263" i="53"/>
  <c r="AI263" i="53"/>
  <c r="AJ263" i="53"/>
  <c r="AC265" i="53"/>
  <c r="AD265" i="53"/>
  <c r="AE265" i="53"/>
  <c r="AG242" i="53"/>
  <c r="AI242" i="53"/>
  <c r="AH242" i="53"/>
  <c r="AJ242" i="53"/>
  <c r="S240" i="53"/>
  <c r="T240" i="53"/>
  <c r="Q240" i="53"/>
  <c r="R240" i="53"/>
  <c r="AN234" i="53"/>
  <c r="AM234" i="53"/>
  <c r="AL234" i="53"/>
  <c r="S226" i="53"/>
  <c r="R226" i="53"/>
  <c r="T226" i="53"/>
  <c r="Q226" i="53"/>
  <c r="AN261" i="53"/>
  <c r="AM261" i="53"/>
  <c r="AL261" i="53"/>
  <c r="AQ223" i="53"/>
  <c r="AP223" i="53"/>
  <c r="AS260" i="53"/>
  <c r="AT260" i="53"/>
  <c r="AD250" i="53"/>
  <c r="AC250" i="53"/>
  <c r="AE250" i="53"/>
  <c r="AP247" i="53"/>
  <c r="AQ247" i="53"/>
  <c r="AM237" i="53"/>
  <c r="AN237" i="53"/>
  <c r="AL237" i="53"/>
  <c r="R251" i="53"/>
  <c r="S251" i="53"/>
  <c r="Q251" i="53"/>
  <c r="T251" i="53"/>
  <c r="AP256" i="53"/>
  <c r="AQ256" i="53"/>
  <c r="AH249" i="53"/>
  <c r="AI249" i="53"/>
  <c r="AG249" i="53"/>
  <c r="AJ249" i="53"/>
  <c r="AS265" i="53"/>
  <c r="AT265" i="53"/>
  <c r="Q242" i="53"/>
  <c r="T242" i="53"/>
  <c r="S242" i="53"/>
  <c r="R242" i="53"/>
  <c r="AI230" i="53"/>
  <c r="AH230" i="53"/>
  <c r="AJ230" i="53"/>
  <c r="AG230" i="53"/>
  <c r="R206" i="53"/>
  <c r="Q206" i="53"/>
  <c r="S206" i="53"/>
  <c r="T206" i="53"/>
  <c r="AQ257" i="53"/>
  <c r="AP257" i="53"/>
  <c r="AD226" i="53"/>
  <c r="AE226" i="53"/>
  <c r="AC226" i="53"/>
  <c r="Q260" i="53"/>
  <c r="S260" i="53"/>
  <c r="R260" i="53"/>
  <c r="T260" i="53"/>
  <c r="AA260" i="53"/>
  <c r="Z260" i="53"/>
  <c r="AG262" i="53"/>
  <c r="AH262" i="53"/>
  <c r="AJ262" i="53"/>
  <c r="AI262" i="53"/>
  <c r="AQ264" i="53"/>
  <c r="AP264" i="53"/>
  <c r="AA239" i="53"/>
  <c r="Z239" i="53"/>
  <c r="AA238" i="53"/>
  <c r="Z238" i="53"/>
  <c r="R247" i="53"/>
  <c r="S247" i="53"/>
  <c r="Q247" i="53"/>
  <c r="T247" i="53"/>
  <c r="AN243" i="53"/>
  <c r="AM243" i="53"/>
  <c r="AL243" i="53"/>
  <c r="Z237" i="53"/>
  <c r="AA237" i="53"/>
  <c r="Z253" i="53"/>
  <c r="AA253" i="53"/>
  <c r="AT251" i="53"/>
  <c r="AS251" i="53"/>
  <c r="AC258" i="53"/>
  <c r="AD258" i="53"/>
  <c r="AE258" i="53"/>
  <c r="Z254" i="53"/>
  <c r="AA254" i="53"/>
  <c r="R249" i="53"/>
  <c r="S249" i="53"/>
  <c r="T249" i="53"/>
  <c r="Q249" i="53"/>
  <c r="AQ265" i="53"/>
  <c r="AP265" i="53"/>
  <c r="AG261" i="53"/>
  <c r="AH261" i="53"/>
  <c r="AJ261" i="53"/>
  <c r="AI261" i="53"/>
  <c r="AA242" i="53"/>
  <c r="Z242" i="53"/>
  <c r="AP263" i="53"/>
  <c r="AQ263" i="53"/>
  <c r="W240" i="53"/>
  <c r="X240" i="53"/>
  <c r="V240" i="53"/>
  <c r="Z234" i="53"/>
  <c r="AA234" i="53"/>
  <c r="S229" i="53"/>
  <c r="R229" i="53"/>
  <c r="T229" i="53"/>
  <c r="Q229" i="53"/>
  <c r="Q261" i="53"/>
  <c r="S261" i="53"/>
  <c r="R261" i="53"/>
  <c r="T261" i="53"/>
  <c r="W257" i="53"/>
  <c r="V257" i="53"/>
  <c r="X257" i="53"/>
  <c r="AD246" i="53"/>
  <c r="AC246" i="53"/>
  <c r="AE246" i="53"/>
  <c r="AA225" i="53"/>
  <c r="Z225" i="53"/>
  <c r="AL223" i="53"/>
  <c r="AN223" i="53"/>
  <c r="AM223" i="53"/>
  <c r="Z224" i="53"/>
  <c r="AA224" i="53"/>
  <c r="AH255" i="53"/>
  <c r="AI255" i="53"/>
  <c r="AJ255" i="53"/>
  <c r="AG255" i="53"/>
  <c r="AD253" i="53"/>
  <c r="AC253" i="53"/>
  <c r="AE253" i="53"/>
  <c r="V241" i="53"/>
  <c r="W241" i="53"/>
  <c r="X241" i="53"/>
  <c r="T265" i="53"/>
  <c r="R265" i="53"/>
  <c r="Q265" i="53"/>
  <c r="S265" i="53"/>
  <c r="S231" i="53"/>
  <c r="R231" i="53"/>
  <c r="T231" i="53"/>
  <c r="Q231" i="53"/>
  <c r="AC257" i="53"/>
  <c r="AD257" i="53"/>
  <c r="AE257" i="53"/>
  <c r="AE244" i="53"/>
  <c r="AC244" i="53"/>
  <c r="AD244" i="53"/>
  <c r="X224" i="53"/>
  <c r="W224" i="53"/>
  <c r="V224" i="53"/>
  <c r="AG238" i="53"/>
  <c r="AJ238" i="53"/>
  <c r="AH238" i="53"/>
  <c r="AI238" i="53"/>
  <c r="AL253" i="53"/>
  <c r="AN253" i="53"/>
  <c r="AM253" i="53"/>
  <c r="AN224" i="53"/>
  <c r="AM224" i="53"/>
  <c r="AL224" i="53"/>
  <c r="AG259" i="53"/>
  <c r="AH259" i="53"/>
  <c r="AJ259" i="53"/>
  <c r="AI259" i="53"/>
  <c r="Z255" i="53"/>
  <c r="AA255" i="53"/>
  <c r="AP260" i="53"/>
  <c r="AQ260" i="53"/>
  <c r="AC262" i="53"/>
  <c r="AD262" i="53"/>
  <c r="AE262" i="53"/>
  <c r="W264" i="53"/>
  <c r="X264" i="53"/>
  <c r="V264" i="53"/>
  <c r="AE239" i="53"/>
  <c r="AC239" i="53"/>
  <c r="AD239" i="53"/>
  <c r="AQ238" i="53"/>
  <c r="AP238" i="53"/>
  <c r="AT247" i="53"/>
  <c r="AS247" i="53"/>
  <c r="AQ243" i="53"/>
  <c r="AP243" i="53"/>
  <c r="AP237" i="53"/>
  <c r="AQ237" i="53"/>
  <c r="AH251" i="53"/>
  <c r="AI251" i="53"/>
  <c r="AJ251" i="53"/>
  <c r="AG251" i="53"/>
  <c r="AD256" i="53"/>
  <c r="AE256" i="53"/>
  <c r="AC256" i="53"/>
  <c r="AS258" i="53"/>
  <c r="AT258" i="53"/>
  <c r="AT249" i="53"/>
  <c r="AS249" i="53"/>
  <c r="X265" i="53"/>
  <c r="V265" i="53"/>
  <c r="W265" i="53"/>
  <c r="AG257" i="53"/>
  <c r="AH257" i="53"/>
  <c r="AI257" i="53"/>
  <c r="AJ257" i="53"/>
  <c r="AP242" i="53"/>
  <c r="AQ242" i="53"/>
  <c r="Z208" i="53"/>
  <c r="AA208" i="53"/>
  <c r="W263" i="53"/>
  <c r="X263" i="53"/>
  <c r="V263" i="53"/>
  <c r="AA240" i="53"/>
  <c r="Z240" i="53"/>
  <c r="AP234" i="53"/>
  <c r="AQ234" i="53"/>
  <c r="W232" i="53"/>
  <c r="V232" i="53"/>
  <c r="X232" i="53"/>
  <c r="AI229" i="53"/>
  <c r="AH229" i="53"/>
  <c r="AJ229" i="53"/>
  <c r="AG229" i="53"/>
  <c r="AC261" i="53"/>
  <c r="AD261" i="53"/>
  <c r="AE261" i="53"/>
  <c r="AN257" i="53"/>
  <c r="AM257" i="53"/>
  <c r="AL257" i="53"/>
  <c r="AP246" i="53"/>
  <c r="AQ246" i="53"/>
  <c r="AQ225" i="53"/>
  <c r="AP225" i="53"/>
  <c r="X208" i="53"/>
  <c r="W208" i="53"/>
  <c r="V208" i="53"/>
  <c r="X206" i="53"/>
  <c r="W206" i="53"/>
  <c r="V206" i="53"/>
  <c r="AP224" i="53"/>
  <c r="AQ224" i="53"/>
  <c r="AC259" i="53"/>
  <c r="AD259" i="53"/>
  <c r="AE259" i="53"/>
  <c r="W260" i="53"/>
  <c r="X260" i="53"/>
  <c r="V260" i="53"/>
  <c r="AS262" i="53"/>
  <c r="AT262" i="53"/>
  <c r="AN264" i="53"/>
  <c r="AM264" i="53"/>
  <c r="AL264" i="53"/>
  <c r="AT239" i="53"/>
  <c r="AS239" i="53"/>
  <c r="AH247" i="53"/>
  <c r="AI247" i="53"/>
  <c r="AJ247" i="53"/>
  <c r="AG247" i="53"/>
  <c r="T243" i="53"/>
  <c r="S243" i="53"/>
  <c r="R243" i="53"/>
  <c r="Q243" i="53"/>
  <c r="S236" i="53"/>
  <c r="R236" i="53"/>
  <c r="T236" i="53"/>
  <c r="Q236" i="53"/>
  <c r="AD236" i="53"/>
  <c r="AE236" i="53"/>
  <c r="AC236" i="53"/>
  <c r="V253" i="53"/>
  <c r="X253" i="53"/>
  <c r="W253" i="53"/>
  <c r="R256" i="53"/>
  <c r="T256" i="53"/>
  <c r="S256" i="53"/>
  <c r="Q256" i="53"/>
  <c r="AA258" i="53"/>
  <c r="Z258" i="53"/>
  <c r="AL249" i="53"/>
  <c r="AN249" i="53"/>
  <c r="AM249" i="53"/>
  <c r="AN265" i="53"/>
  <c r="AM265" i="53"/>
  <c r="AL265" i="53"/>
  <c r="AD254" i="53"/>
  <c r="AE254" i="53"/>
  <c r="AC254" i="53"/>
  <c r="X242" i="53"/>
  <c r="V242" i="53"/>
  <c r="W242" i="53"/>
  <c r="AP207" i="53"/>
  <c r="AQ207" i="53"/>
  <c r="AN263" i="53"/>
  <c r="AM263" i="53"/>
  <c r="AL263" i="53"/>
  <c r="AE240" i="53"/>
  <c r="AD240" i="53"/>
  <c r="AC240" i="53"/>
  <c r="AJ234" i="53"/>
  <c r="AH234" i="53"/>
  <c r="AI234" i="53"/>
  <c r="AG234" i="53"/>
  <c r="AM232" i="53"/>
  <c r="AN232" i="53"/>
  <c r="AL232" i="53"/>
  <c r="S228" i="53"/>
  <c r="R228" i="53"/>
  <c r="T228" i="53"/>
  <c r="Q228" i="53"/>
  <c r="AJ208" i="53"/>
  <c r="AH208" i="53"/>
  <c r="AG208" i="53"/>
  <c r="AI208" i="53"/>
  <c r="AS261" i="53"/>
  <c r="AT261" i="53"/>
  <c r="R246" i="53"/>
  <c r="S246" i="53"/>
  <c r="T246" i="53"/>
  <c r="Q246" i="53"/>
  <c r="AD231" i="53"/>
  <c r="AE231" i="53"/>
  <c r="AC231" i="53"/>
  <c r="AE225" i="53"/>
  <c r="AD225" i="53"/>
  <c r="AC225" i="53"/>
  <c r="T224" i="53"/>
  <c r="R224" i="53"/>
  <c r="S224" i="53"/>
  <c r="Q224" i="53"/>
  <c r="AJ239" i="53"/>
  <c r="AI239" i="53"/>
  <c r="AH239" i="53"/>
  <c r="AG239" i="53"/>
  <c r="AJ243" i="53"/>
  <c r="AH243" i="53"/>
  <c r="AI243" i="53"/>
  <c r="AG243" i="53"/>
  <c r="AI236" i="53"/>
  <c r="AH236" i="53"/>
  <c r="AJ236" i="53"/>
  <c r="AG236" i="53"/>
  <c r="AP250" i="53"/>
  <c r="AQ250" i="53"/>
  <c r="AA235" i="53"/>
  <c r="Z235" i="53"/>
  <c r="Z251" i="53"/>
  <c r="AA251" i="53"/>
  <c r="V256" i="53"/>
  <c r="X256" i="53"/>
  <c r="W256" i="53"/>
  <c r="AP258" i="53"/>
  <c r="AQ258" i="53"/>
  <c r="Z249" i="53"/>
  <c r="AA249" i="53"/>
  <c r="AA265" i="53"/>
  <c r="Z265" i="53"/>
  <c r="R254" i="53"/>
  <c r="T254" i="53"/>
  <c r="S254" i="53"/>
  <c r="Q254" i="53"/>
  <c r="AN242" i="53"/>
  <c r="AL242" i="53"/>
  <c r="AM242" i="53"/>
  <c r="Z206" i="53"/>
  <c r="AA206" i="53"/>
  <c r="AQ240" i="53"/>
  <c r="AP240" i="53"/>
  <c r="AC234" i="53"/>
  <c r="AE234" i="53"/>
  <c r="AD234" i="53"/>
  <c r="Z232" i="53"/>
  <c r="AA232" i="53"/>
  <c r="AI228" i="53"/>
  <c r="AH228" i="53"/>
  <c r="AJ228" i="53"/>
  <c r="AG228" i="53"/>
  <c r="T208" i="53"/>
  <c r="R208" i="53"/>
  <c r="Q208" i="53"/>
  <c r="S208" i="53"/>
  <c r="Z261" i="53"/>
  <c r="AA261" i="53"/>
  <c r="Q257" i="53"/>
  <c r="S257" i="53"/>
  <c r="R257" i="53"/>
  <c r="T257" i="53"/>
  <c r="AT246" i="53"/>
  <c r="AS246" i="53"/>
  <c r="AD230" i="53"/>
  <c r="AE230" i="53"/>
  <c r="AC230" i="53"/>
  <c r="AT225" i="53"/>
  <c r="AS225" i="53"/>
  <c r="AM207" i="53"/>
  <c r="AN207" i="53"/>
  <c r="AL207" i="53"/>
  <c r="AJ224" i="53"/>
  <c r="AH224" i="53"/>
  <c r="AG224" i="53"/>
  <c r="AI224" i="53"/>
  <c r="AA262" i="53"/>
  <c r="Z262" i="53"/>
  <c r="AG264" i="53"/>
  <c r="AH264" i="53"/>
  <c r="AJ264" i="53"/>
  <c r="AI264" i="53"/>
  <c r="V254" i="53"/>
  <c r="X254" i="53"/>
  <c r="W254" i="53"/>
  <c r="V246" i="53"/>
  <c r="X246" i="53"/>
  <c r="W246" i="53"/>
  <c r="AD229" i="53"/>
  <c r="AE229" i="53"/>
  <c r="AC229" i="53"/>
  <c r="AI223" i="53"/>
  <c r="AG223" i="53"/>
  <c r="AJ223" i="53"/>
  <c r="AH223" i="53"/>
  <c r="Q107" i="53"/>
  <c r="AH107" i="53"/>
  <c r="W107" i="53"/>
  <c r="X107" i="53"/>
  <c r="AL107" i="53"/>
  <c r="AJ107" i="53"/>
  <c r="Z107" i="53"/>
  <c r="AS107" i="53"/>
  <c r="AD107" i="53"/>
  <c r="AP107" i="53"/>
  <c r="S107" i="53"/>
  <c r="AM107" i="53"/>
  <c r="AE107" i="53"/>
  <c r="T107" i="53"/>
  <c r="AG107" i="53"/>
  <c r="H209" i="13"/>
  <c r="I209" i="13"/>
  <c r="H197" i="13"/>
  <c r="I197" i="13"/>
  <c r="H119" i="13"/>
  <c r="I119" i="13"/>
  <c r="H108" i="13"/>
  <c r="I108" i="13"/>
  <c r="H74" i="13"/>
  <c r="I74" i="13"/>
  <c r="H63" i="13"/>
  <c r="I63" i="13"/>
  <c r="H28" i="13"/>
  <c r="I28" i="13"/>
  <c r="H188"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1" i="12"/>
  <c r="P111" i="12"/>
  <c r="R109" i="53"/>
  <c r="Q118" i="53"/>
  <c r="T4" i="53"/>
  <c r="Q5" i="53"/>
  <c r="T6" i="53"/>
  <c r="T7" i="53"/>
  <c r="R8" i="53"/>
  <c r="T9" i="53"/>
  <c r="Q10" i="53"/>
  <c r="R11" i="53"/>
  <c r="S12" i="53"/>
  <c r="Q13" i="53"/>
  <c r="T14" i="53"/>
  <c r="Q15" i="53"/>
  <c r="S16" i="53"/>
  <c r="T18" i="53"/>
  <c r="T19" i="53"/>
  <c r="R20" i="53"/>
  <c r="Q21" i="53"/>
  <c r="R22" i="53"/>
  <c r="T23" i="53"/>
  <c r="T24" i="53"/>
  <c r="T25" i="53"/>
  <c r="T26" i="53"/>
  <c r="Q27" i="53"/>
  <c r="R28" i="53"/>
  <c r="Q29" i="53"/>
  <c r="T30" i="53"/>
  <c r="Q31" i="53"/>
  <c r="Q34" i="53"/>
  <c r="Q35" i="53"/>
  <c r="S36" i="53"/>
  <c r="Q37" i="53"/>
  <c r="Q38" i="53"/>
  <c r="R39" i="53"/>
  <c r="Q40" i="53"/>
  <c r="Q41" i="53"/>
  <c r="T42" i="53"/>
  <c r="R43" i="53"/>
  <c r="Q44" i="53"/>
  <c r="T45" i="53"/>
  <c r="Q46" i="53"/>
  <c r="T47" i="53"/>
  <c r="Q48" i="53"/>
  <c r="R49" i="53"/>
  <c r="Q50" i="53"/>
  <c r="S51" i="53"/>
  <c r="Q52" i="53"/>
  <c r="Q53" i="53"/>
  <c r="R54" i="53"/>
  <c r="Q55" i="53"/>
  <c r="Q56" i="53"/>
  <c r="R57" i="53"/>
  <c r="T58" i="53"/>
  <c r="Q59" i="53"/>
  <c r="Q60" i="53"/>
  <c r="R61" i="53"/>
  <c r="Q62" i="53"/>
  <c r="Q63" i="53"/>
  <c r="Q64" i="53"/>
  <c r="Q65" i="53"/>
  <c r="T66" i="53"/>
  <c r="Q67" i="53"/>
  <c r="T68" i="53"/>
  <c r="Q69" i="53"/>
  <c r="S70" i="53"/>
  <c r="Q71" i="53"/>
  <c r="Q72" i="53"/>
  <c r="R73" i="53"/>
  <c r="T74" i="53"/>
  <c r="Q75" i="53"/>
  <c r="T76" i="53"/>
  <c r="Q77" i="53"/>
  <c r="T78" i="53"/>
  <c r="Q79" i="53"/>
  <c r="Q80" i="53"/>
  <c r="R81" i="53"/>
  <c r="Q82" i="53"/>
  <c r="R83" i="53"/>
  <c r="S84" i="53"/>
  <c r="Q85" i="53"/>
  <c r="R86" i="53"/>
  <c r="R87" i="53"/>
  <c r="S88" i="53"/>
  <c r="Q89" i="53"/>
  <c r="Q90" i="53"/>
  <c r="R91" i="53"/>
  <c r="S92" i="53"/>
  <c r="Q93" i="53"/>
  <c r="S94" i="53"/>
  <c r="Q95" i="53"/>
  <c r="Q96" i="53"/>
  <c r="S97" i="53"/>
  <c r="Q98" i="53"/>
  <c r="Q99" i="53"/>
  <c r="Q100" i="53"/>
  <c r="Q101" i="53"/>
  <c r="T102" i="53"/>
  <c r="Q103" i="53"/>
  <c r="S104" i="53"/>
  <c r="R105" i="53"/>
  <c r="Q106" i="53"/>
  <c r="T108" i="53"/>
  <c r="Q110" i="53"/>
  <c r="Q111" i="53"/>
  <c r="R112" i="53"/>
  <c r="R113" i="53"/>
  <c r="Q114" i="53"/>
  <c r="Q115" i="53"/>
  <c r="Q116" i="53"/>
  <c r="Q117" i="53"/>
  <c r="R119" i="53"/>
  <c r="R120" i="53"/>
  <c r="R121" i="53"/>
  <c r="R122" i="53"/>
  <c r="Q123" i="53"/>
  <c r="Q124" i="53"/>
  <c r="T125" i="53"/>
  <c r="S126" i="53"/>
  <c r="U7" i="53"/>
  <c r="X7" i="53" s="1"/>
  <c r="Y7" i="53"/>
  <c r="AB7" i="53"/>
  <c r="AF7" i="53"/>
  <c r="AH7" i="53" s="1"/>
  <c r="AK7" i="53"/>
  <c r="AO7" i="53"/>
  <c r="AQ7" i="53" s="1"/>
  <c r="AR7" i="53"/>
  <c r="AS7" i="53" s="1"/>
  <c r="U8" i="53"/>
  <c r="Y8" i="53"/>
  <c r="AA8" i="53" s="1"/>
  <c r="AB8" i="53"/>
  <c r="AE8" i="53" s="1"/>
  <c r="AF8" i="53"/>
  <c r="AG8" i="53" s="1"/>
  <c r="AK8" i="53"/>
  <c r="AM8" i="53" s="1"/>
  <c r="AO8" i="53"/>
  <c r="AP8" i="53" s="1"/>
  <c r="AR8" i="53"/>
  <c r="U9" i="53"/>
  <c r="V9" i="53" s="1"/>
  <c r="Y9" i="53"/>
  <c r="AA9" i="53" s="1"/>
  <c r="AB9" i="53"/>
  <c r="AE9" i="53" s="1"/>
  <c r="AF9" i="53"/>
  <c r="AK9" i="53"/>
  <c r="AL9" i="53" s="1"/>
  <c r="AO9" i="53"/>
  <c r="AR9" i="53"/>
  <c r="AS9" i="53" s="1"/>
  <c r="U10" i="53"/>
  <c r="W10" i="53" s="1"/>
  <c r="Y10" i="53"/>
  <c r="Z10" i="53" s="1"/>
  <c r="AB10" i="53"/>
  <c r="AC10" i="53" s="1"/>
  <c r="AF10" i="53"/>
  <c r="AI10" i="53" s="1"/>
  <c r="AK10" i="53"/>
  <c r="AM10" i="53" s="1"/>
  <c r="AO10" i="53"/>
  <c r="AP10" i="53" s="1"/>
  <c r="AR10" i="53"/>
  <c r="AS10" i="53" s="1"/>
  <c r="U11" i="53"/>
  <c r="W11" i="53" s="1"/>
  <c r="Y11" i="53"/>
  <c r="AA11" i="53" s="1"/>
  <c r="AB11" i="53"/>
  <c r="AF11" i="53"/>
  <c r="AG11" i="53" s="1"/>
  <c r="AK11" i="53"/>
  <c r="AO11" i="53"/>
  <c r="AQ11" i="53" s="1"/>
  <c r="AR11" i="53"/>
  <c r="U12" i="53"/>
  <c r="V12" i="53" s="1"/>
  <c r="Y12" i="53"/>
  <c r="AB12" i="53"/>
  <c r="AE12" i="53" s="1"/>
  <c r="AF12" i="53"/>
  <c r="AK12" i="53"/>
  <c r="AL12" i="53" s="1"/>
  <c r="AO12" i="53"/>
  <c r="AR12" i="53"/>
  <c r="AT12" i="53" s="1"/>
  <c r="U13" i="53"/>
  <c r="Y13" i="53"/>
  <c r="AB13" i="53"/>
  <c r="AD13" i="53" s="1"/>
  <c r="AF13" i="53"/>
  <c r="AI13" i="53" s="1"/>
  <c r="AK13" i="53"/>
  <c r="AN13" i="53" s="1"/>
  <c r="AO13" i="53"/>
  <c r="AR13" i="53"/>
  <c r="AS13" i="53" s="1"/>
  <c r="U14" i="53"/>
  <c r="V14" i="53" s="1"/>
  <c r="Y14" i="53"/>
  <c r="Z14" i="53" s="1"/>
  <c r="AB14" i="53"/>
  <c r="AF14" i="53"/>
  <c r="AH14" i="53" s="1"/>
  <c r="AK14" i="53"/>
  <c r="AO14" i="53"/>
  <c r="AP14" i="53" s="1"/>
  <c r="AR14" i="53"/>
  <c r="AS14" i="53" s="1"/>
  <c r="U15" i="53"/>
  <c r="W15" i="53" s="1"/>
  <c r="Y15" i="53"/>
  <c r="AA15" i="53" s="1"/>
  <c r="AB15" i="53"/>
  <c r="AE15" i="53" s="1"/>
  <c r="AF15" i="53"/>
  <c r="AJ15" i="53" s="1"/>
  <c r="AK15" i="53"/>
  <c r="AO15" i="53"/>
  <c r="AP15" i="53" s="1"/>
  <c r="AR15" i="53"/>
  <c r="AS15" i="53" s="1"/>
  <c r="U16" i="53"/>
  <c r="V16" i="53" s="1"/>
  <c r="Y16" i="53"/>
  <c r="AA16" i="53" s="1"/>
  <c r="AB16" i="53"/>
  <c r="AD16" i="53" s="1"/>
  <c r="AF16" i="53"/>
  <c r="AH16" i="53" s="1"/>
  <c r="AK16" i="53"/>
  <c r="AL16" i="53" s="1"/>
  <c r="AO16" i="53"/>
  <c r="AR16" i="53"/>
  <c r="AT16" i="53" s="1"/>
  <c r="U17" i="53"/>
  <c r="W17" i="53" s="1"/>
  <c r="Y17" i="53"/>
  <c r="AB17" i="53"/>
  <c r="AC17" i="53" s="1"/>
  <c r="AF17" i="53"/>
  <c r="AI17" i="53" s="1"/>
  <c r="AK17" i="53"/>
  <c r="AN17" i="53" s="1"/>
  <c r="AO17" i="53"/>
  <c r="AQ17" i="53" s="1"/>
  <c r="AR17" i="53"/>
  <c r="U18" i="53"/>
  <c r="V18" i="53" s="1"/>
  <c r="Y18" i="53"/>
  <c r="Z18" i="53" s="1"/>
  <c r="AB18" i="53"/>
  <c r="AF18" i="53"/>
  <c r="AG18" i="53" s="1"/>
  <c r="AK18" i="53"/>
  <c r="AN18" i="53" s="1"/>
  <c r="AO18" i="53"/>
  <c r="AP18" i="53" s="1"/>
  <c r="AR18" i="53"/>
  <c r="AS18" i="53" s="1"/>
  <c r="U19" i="53"/>
  <c r="W19" i="53" s="1"/>
  <c r="Y19" i="53"/>
  <c r="Z19" i="53" s="1"/>
  <c r="AB19" i="53"/>
  <c r="AE19" i="53" s="1"/>
  <c r="AF19" i="53"/>
  <c r="AK19" i="53"/>
  <c r="AM19" i="53" s="1"/>
  <c r="AO19" i="53"/>
  <c r="AQ19" i="53" s="1"/>
  <c r="AR19" i="53"/>
  <c r="AS19" i="53" s="1"/>
  <c r="U20" i="53"/>
  <c r="V20" i="53" s="1"/>
  <c r="Y20" i="53"/>
  <c r="AB20" i="53"/>
  <c r="AC20" i="53" s="1"/>
  <c r="AF20" i="53"/>
  <c r="AG20" i="53" s="1"/>
  <c r="AK20" i="53"/>
  <c r="AL20" i="53" s="1"/>
  <c r="AO20" i="53"/>
  <c r="AQ20" i="53" s="1"/>
  <c r="AR20" i="53"/>
  <c r="AT20" i="53" s="1"/>
  <c r="U21" i="53"/>
  <c r="X21" i="53" s="1"/>
  <c r="Y21" i="53"/>
  <c r="AB21" i="53"/>
  <c r="AC21" i="53" s="1"/>
  <c r="AF21" i="53"/>
  <c r="AI21" i="53" s="1"/>
  <c r="AK21" i="53"/>
  <c r="AN21" i="53" s="1"/>
  <c r="AO21" i="53"/>
  <c r="AQ21" i="53" s="1"/>
  <c r="AR21" i="53"/>
  <c r="AS21" i="53" s="1"/>
  <c r="U22" i="53"/>
  <c r="Y22" i="53"/>
  <c r="AB22" i="53"/>
  <c r="AC22" i="53" s="1"/>
  <c r="AF22" i="53"/>
  <c r="AH22" i="53" s="1"/>
  <c r="AK22" i="53"/>
  <c r="AL22" i="53" s="1"/>
  <c r="AO22" i="53"/>
  <c r="AP22" i="53" s="1"/>
  <c r="AR22" i="53"/>
  <c r="AS22" i="53" s="1"/>
  <c r="U23" i="53"/>
  <c r="W23" i="53" s="1"/>
  <c r="Y23" i="53"/>
  <c r="Z23" i="53" s="1"/>
  <c r="AB23" i="53"/>
  <c r="AF23" i="53"/>
  <c r="AJ23" i="53" s="1"/>
  <c r="AK23" i="53"/>
  <c r="AM23" i="53" s="1"/>
  <c r="AO23" i="53"/>
  <c r="AR23" i="53"/>
  <c r="AS23" i="53" s="1"/>
  <c r="U24" i="53"/>
  <c r="W24" i="53" s="1"/>
  <c r="Y24" i="53"/>
  <c r="Z24" i="53" s="1"/>
  <c r="AB24" i="53"/>
  <c r="AC24" i="53" s="1"/>
  <c r="AF24" i="53"/>
  <c r="AG24" i="53" s="1"/>
  <c r="AK24" i="53"/>
  <c r="AN24" i="53" s="1"/>
  <c r="AO24" i="53"/>
  <c r="AQ24" i="53" s="1"/>
  <c r="AR24" i="53"/>
  <c r="AS24" i="53" s="1"/>
  <c r="U25" i="53"/>
  <c r="V25" i="53" s="1"/>
  <c r="Y25" i="53"/>
  <c r="AA25" i="53" s="1"/>
  <c r="AB25" i="53"/>
  <c r="AC25" i="53" s="1"/>
  <c r="AF25" i="53"/>
  <c r="AJ25" i="53" s="1"/>
  <c r="AK25" i="53"/>
  <c r="AL25" i="53" s="1"/>
  <c r="AO25" i="53"/>
  <c r="AQ25" i="53" s="1"/>
  <c r="AR25" i="53"/>
  <c r="AT25" i="53" s="1"/>
  <c r="U26" i="53"/>
  <c r="X26" i="53" s="1"/>
  <c r="Y26" i="53"/>
  <c r="Z26" i="53" s="1"/>
  <c r="AB26" i="53"/>
  <c r="AD26" i="53" s="1"/>
  <c r="AF26" i="53"/>
  <c r="AK26" i="53"/>
  <c r="AM26" i="53" s="1"/>
  <c r="AO26" i="53"/>
  <c r="AP26" i="53" s="1"/>
  <c r="AR26" i="53"/>
  <c r="AS26" i="53" s="1"/>
  <c r="U27" i="53"/>
  <c r="W27" i="53" s="1"/>
  <c r="Y27" i="53"/>
  <c r="AA27" i="53" s="1"/>
  <c r="AB27" i="53"/>
  <c r="AF27" i="53"/>
  <c r="AG27" i="53" s="1"/>
  <c r="AK27" i="53"/>
  <c r="AO27" i="53"/>
  <c r="AP27" i="53" s="1"/>
  <c r="AR27" i="53"/>
  <c r="U28" i="53"/>
  <c r="V28" i="53" s="1"/>
  <c r="Y28" i="53"/>
  <c r="AB28" i="53"/>
  <c r="AC28" i="53" s="1"/>
  <c r="AF28" i="53"/>
  <c r="AK28" i="53"/>
  <c r="AL28" i="53" s="1"/>
  <c r="AO28" i="53"/>
  <c r="AR28" i="53"/>
  <c r="AT28" i="53" s="1"/>
  <c r="U29" i="53"/>
  <c r="V29" i="53" s="1"/>
  <c r="Y29" i="53"/>
  <c r="AA29" i="53" s="1"/>
  <c r="AB29" i="53"/>
  <c r="AF29" i="53"/>
  <c r="AI29" i="53" s="1"/>
  <c r="AK29" i="53"/>
  <c r="AO29" i="53"/>
  <c r="AQ29" i="53" s="1"/>
  <c r="AR29" i="53"/>
  <c r="AS29" i="53" s="1"/>
  <c r="U30" i="53"/>
  <c r="V30" i="53" s="1"/>
  <c r="Y30" i="53"/>
  <c r="Z30" i="53" s="1"/>
  <c r="AB30" i="53"/>
  <c r="AC30" i="53" s="1"/>
  <c r="AF30" i="53"/>
  <c r="AH30" i="53" s="1"/>
  <c r="AK30" i="53"/>
  <c r="AO30" i="53"/>
  <c r="AR30" i="53"/>
  <c r="AS30" i="53" s="1"/>
  <c r="U31" i="53"/>
  <c r="W31" i="53" s="1"/>
  <c r="Y31" i="53"/>
  <c r="AB31" i="53"/>
  <c r="AE31" i="53" s="1"/>
  <c r="AF31" i="53"/>
  <c r="AG31" i="53" s="1"/>
  <c r="AK31" i="53"/>
  <c r="AM31" i="53" s="1"/>
  <c r="AO31" i="53"/>
  <c r="AP31" i="53" s="1"/>
  <c r="AR31" i="53"/>
  <c r="AT31" i="53" s="1"/>
  <c r="U32" i="53"/>
  <c r="Y32" i="53"/>
  <c r="Z32" i="53" s="1"/>
  <c r="AB32" i="53"/>
  <c r="AC32" i="53" s="1"/>
  <c r="AF32" i="53"/>
  <c r="AG32" i="53" s="1"/>
  <c r="AK32" i="53"/>
  <c r="AL32" i="53" s="1"/>
  <c r="AO32" i="53"/>
  <c r="AP32" i="53" s="1"/>
  <c r="AR32" i="53"/>
  <c r="AS32" i="53" s="1"/>
  <c r="U33" i="53"/>
  <c r="Y33" i="53"/>
  <c r="AB33" i="53"/>
  <c r="AE33" i="53" s="1"/>
  <c r="AF33" i="53"/>
  <c r="AI33" i="53" s="1"/>
  <c r="AK33" i="53"/>
  <c r="AO33" i="53"/>
  <c r="AQ33" i="53" s="1"/>
  <c r="AR33" i="53"/>
  <c r="AS33" i="53" s="1"/>
  <c r="U34" i="53"/>
  <c r="W34" i="53" s="1"/>
  <c r="Y34" i="53"/>
  <c r="AA34" i="53" s="1"/>
  <c r="AB34" i="53"/>
  <c r="AC34" i="53" s="1"/>
  <c r="AF34" i="53"/>
  <c r="AK34" i="53"/>
  <c r="AO34" i="53"/>
  <c r="AP34" i="53" s="1"/>
  <c r="AR34" i="53"/>
  <c r="AS34" i="53" s="1"/>
  <c r="U35" i="53"/>
  <c r="Y35" i="53"/>
  <c r="AB35" i="53"/>
  <c r="AD35" i="53" s="1"/>
  <c r="AF35" i="53"/>
  <c r="AK35" i="53"/>
  <c r="AN35" i="53" s="1"/>
  <c r="AO35" i="53"/>
  <c r="AR35" i="53"/>
  <c r="U36" i="53"/>
  <c r="W36" i="53" s="1"/>
  <c r="Y36" i="53"/>
  <c r="AA36" i="53" s="1"/>
  <c r="AB36" i="53"/>
  <c r="AC36" i="53" s="1"/>
  <c r="AF36" i="53"/>
  <c r="AK36" i="53"/>
  <c r="AL36" i="53" s="1"/>
  <c r="AO36" i="53"/>
  <c r="AP36" i="53" s="1"/>
  <c r="AR36" i="53"/>
  <c r="U37" i="53"/>
  <c r="V37" i="53" s="1"/>
  <c r="Y37" i="53"/>
  <c r="AA37" i="53" s="1"/>
  <c r="AB37" i="53"/>
  <c r="AC37" i="53" s="1"/>
  <c r="AF37" i="53"/>
  <c r="AI37" i="53" s="1"/>
  <c r="AK37" i="53"/>
  <c r="AL37" i="53" s="1"/>
  <c r="AO37" i="53"/>
  <c r="AQ37" i="53" s="1"/>
  <c r="AR37" i="53"/>
  <c r="AS37" i="53" s="1"/>
  <c r="U38" i="53"/>
  <c r="V38" i="53" s="1"/>
  <c r="Y38" i="53"/>
  <c r="AB38" i="53"/>
  <c r="AC38" i="53" s="1"/>
  <c r="AF38" i="53"/>
  <c r="AG38" i="53" s="1"/>
  <c r="AK38" i="53"/>
  <c r="AL38" i="53" s="1"/>
  <c r="AO38" i="53"/>
  <c r="AP38" i="53" s="1"/>
  <c r="AR38" i="53"/>
  <c r="U39" i="53"/>
  <c r="W39" i="53" s="1"/>
  <c r="Y39" i="53"/>
  <c r="Z39" i="53" s="1"/>
  <c r="AB39" i="53"/>
  <c r="AC39" i="53" s="1"/>
  <c r="AF39" i="53"/>
  <c r="AG39" i="53" s="1"/>
  <c r="AK39" i="53"/>
  <c r="AN39" i="53" s="1"/>
  <c r="AO39" i="53"/>
  <c r="AQ39" i="53" s="1"/>
  <c r="AR39" i="53"/>
  <c r="AS39" i="53" s="1"/>
  <c r="U40" i="53"/>
  <c r="V40" i="53" s="1"/>
  <c r="Y40" i="53"/>
  <c r="AB40" i="53"/>
  <c r="AF40" i="53"/>
  <c r="AI40" i="53" s="1"/>
  <c r="AK40" i="53"/>
  <c r="AO40" i="53"/>
  <c r="AP40" i="53" s="1"/>
  <c r="AR40" i="53"/>
  <c r="U41" i="53"/>
  <c r="Y41" i="53"/>
  <c r="AB41" i="53"/>
  <c r="AE41" i="53" s="1"/>
  <c r="AF41" i="53"/>
  <c r="AK41" i="53"/>
  <c r="AM41" i="53" s="1"/>
  <c r="AO41" i="53"/>
  <c r="AR41" i="53"/>
  <c r="U42" i="53"/>
  <c r="V42" i="53" s="1"/>
  <c r="Y42" i="53"/>
  <c r="AB42" i="53"/>
  <c r="AF42" i="53"/>
  <c r="AG42" i="53" s="1"/>
  <c r="AK42" i="53"/>
  <c r="AO42" i="53"/>
  <c r="AP42" i="53" s="1"/>
  <c r="AR42" i="53"/>
  <c r="AS42" i="53" s="1"/>
  <c r="U43" i="53"/>
  <c r="X43" i="53" s="1"/>
  <c r="Y43" i="53"/>
  <c r="AB43" i="53"/>
  <c r="AE43" i="53" s="1"/>
  <c r="AF43" i="53"/>
  <c r="AK43" i="53"/>
  <c r="AO43" i="53"/>
  <c r="AP43" i="53" s="1"/>
  <c r="AR43" i="53"/>
  <c r="U44" i="53"/>
  <c r="V44" i="53" s="1"/>
  <c r="Y44" i="53"/>
  <c r="Z44" i="53" s="1"/>
  <c r="AB44" i="53"/>
  <c r="AE44" i="53" s="1"/>
  <c r="AF44" i="53"/>
  <c r="AK44" i="53"/>
  <c r="AN44" i="53" s="1"/>
  <c r="AO44" i="53"/>
  <c r="AP44" i="53" s="1"/>
  <c r="AR44" i="53"/>
  <c r="AS44" i="53" s="1"/>
  <c r="U45" i="53"/>
  <c r="W45" i="53" s="1"/>
  <c r="Y45" i="53"/>
  <c r="AB45" i="53"/>
  <c r="AD45" i="53" s="1"/>
  <c r="AF45" i="53"/>
  <c r="AK45" i="53"/>
  <c r="AL45" i="53" s="1"/>
  <c r="AO45" i="53"/>
  <c r="AP45" i="53" s="1"/>
  <c r="AR45" i="53"/>
  <c r="AS45" i="53" s="1"/>
  <c r="U46" i="53"/>
  <c r="W46" i="53" s="1"/>
  <c r="Y46" i="53"/>
  <c r="AA46" i="53" s="1"/>
  <c r="AB46" i="53"/>
  <c r="AF46" i="53"/>
  <c r="AJ46" i="53" s="1"/>
  <c r="AK46" i="53"/>
  <c r="AM46" i="53" s="1"/>
  <c r="AO46" i="53"/>
  <c r="AR46" i="53"/>
  <c r="AT46" i="53" s="1"/>
  <c r="U47" i="53"/>
  <c r="W47" i="53" s="1"/>
  <c r="Y47" i="53"/>
  <c r="Z47" i="53" s="1"/>
  <c r="AB47" i="53"/>
  <c r="AF47" i="53"/>
  <c r="AH47" i="53" s="1"/>
  <c r="AK47" i="53"/>
  <c r="AO47" i="53"/>
  <c r="AP47" i="53" s="1"/>
  <c r="AR47" i="53"/>
  <c r="U48" i="53"/>
  <c r="Y48" i="53"/>
  <c r="Z48" i="53" s="1"/>
  <c r="AB48" i="53"/>
  <c r="AF48" i="53"/>
  <c r="AG48" i="53" s="1"/>
  <c r="AK48" i="53"/>
  <c r="AN48" i="53" s="1"/>
  <c r="AO48" i="53"/>
  <c r="AP48" i="53" s="1"/>
  <c r="AR48" i="53"/>
  <c r="AT48" i="53" s="1"/>
  <c r="U49" i="53"/>
  <c r="W49" i="53" s="1"/>
  <c r="Y49" i="53"/>
  <c r="Z49" i="53" s="1"/>
  <c r="AB49" i="53"/>
  <c r="AF49" i="53"/>
  <c r="AG49" i="53" s="1"/>
  <c r="AK49" i="53"/>
  <c r="AL49" i="53" s="1"/>
  <c r="AO49" i="53"/>
  <c r="AR49" i="53"/>
  <c r="AS49" i="53" s="1"/>
  <c r="T50" i="53"/>
  <c r="U50" i="53"/>
  <c r="V50" i="53" s="1"/>
  <c r="Y50" i="53"/>
  <c r="Z50" i="53" s="1"/>
  <c r="AB50" i="53"/>
  <c r="AD50" i="53" s="1"/>
  <c r="AF50" i="53"/>
  <c r="AK50" i="53"/>
  <c r="AL50" i="53" s="1"/>
  <c r="AO50" i="53"/>
  <c r="AP50" i="53" s="1"/>
  <c r="AR50" i="53"/>
  <c r="AT50" i="53" s="1"/>
  <c r="U51" i="53"/>
  <c r="Y51" i="53"/>
  <c r="Z51" i="53" s="1"/>
  <c r="AB51" i="53"/>
  <c r="AD51" i="53" s="1"/>
  <c r="AF51" i="53"/>
  <c r="AJ51" i="53" s="1"/>
  <c r="AK51" i="53"/>
  <c r="AM51" i="53" s="1"/>
  <c r="AO51" i="53"/>
  <c r="AP51" i="53" s="1"/>
  <c r="AR51" i="53"/>
  <c r="AT51" i="53" s="1"/>
  <c r="U52" i="53"/>
  <c r="Y52" i="53"/>
  <c r="Z52" i="53" s="1"/>
  <c r="AB52" i="53"/>
  <c r="AC52" i="53" s="1"/>
  <c r="AF52" i="53"/>
  <c r="AH52" i="53" s="1"/>
  <c r="AK52" i="53"/>
  <c r="AN52" i="53" s="1"/>
  <c r="AO52" i="53"/>
  <c r="AP52" i="53" s="1"/>
  <c r="AR52" i="53"/>
  <c r="U53" i="53"/>
  <c r="V53" i="53" s="1"/>
  <c r="Y53" i="53"/>
  <c r="Z53" i="53" s="1"/>
  <c r="AB53" i="53"/>
  <c r="AC53" i="53" s="1"/>
  <c r="AF53" i="53"/>
  <c r="AI53" i="53" s="1"/>
  <c r="AK53" i="53"/>
  <c r="AL53" i="53" s="1"/>
  <c r="AO53" i="53"/>
  <c r="AR53" i="53"/>
  <c r="AS53" i="53" s="1"/>
  <c r="U54" i="53"/>
  <c r="Y54" i="53"/>
  <c r="Z54" i="53" s="1"/>
  <c r="AB54" i="53"/>
  <c r="AC54" i="53" s="1"/>
  <c r="AF54" i="53"/>
  <c r="AG54" i="53" s="1"/>
  <c r="AK54" i="53"/>
  <c r="AO54" i="53"/>
  <c r="AP54" i="53" s="1"/>
  <c r="AR54" i="53"/>
  <c r="AT54" i="53" s="1"/>
  <c r="U55" i="53"/>
  <c r="V55" i="53" s="1"/>
  <c r="Y55" i="53"/>
  <c r="Z55" i="53" s="1"/>
  <c r="AB55" i="53"/>
  <c r="AC55" i="53" s="1"/>
  <c r="AF55" i="53"/>
  <c r="AG55" i="53" s="1"/>
  <c r="AK55" i="53"/>
  <c r="AL55" i="53" s="1"/>
  <c r="AO55" i="53"/>
  <c r="AP55" i="53" s="1"/>
  <c r="AR55" i="53"/>
  <c r="AS55" i="53" s="1"/>
  <c r="U56" i="53"/>
  <c r="V56" i="53" s="1"/>
  <c r="Y56" i="53"/>
  <c r="AB56" i="53"/>
  <c r="AF56" i="53"/>
  <c r="AK56" i="53"/>
  <c r="AL56" i="53" s="1"/>
  <c r="AO56" i="53"/>
  <c r="AR56" i="53"/>
  <c r="AS56" i="53" s="1"/>
  <c r="U57" i="53"/>
  <c r="V57" i="53" s="1"/>
  <c r="Y57" i="53"/>
  <c r="Z57" i="53" s="1"/>
  <c r="AB57" i="53"/>
  <c r="AC57" i="53" s="1"/>
  <c r="AF57" i="53"/>
  <c r="AG57" i="53" s="1"/>
  <c r="AK57" i="53"/>
  <c r="AL57" i="53" s="1"/>
  <c r="AO57" i="53"/>
  <c r="AP57" i="53" s="1"/>
  <c r="AR57" i="53"/>
  <c r="AS57" i="53" s="1"/>
  <c r="U58" i="53"/>
  <c r="Y58" i="53"/>
  <c r="Z58" i="53" s="1"/>
  <c r="AB58" i="53"/>
  <c r="AC58" i="53" s="1"/>
  <c r="AF58" i="53"/>
  <c r="AJ58" i="53" s="1"/>
  <c r="AK58" i="53"/>
  <c r="AO58" i="53"/>
  <c r="AP58" i="53" s="1"/>
  <c r="AR58" i="53"/>
  <c r="U59" i="53"/>
  <c r="X59" i="53" s="1"/>
  <c r="Y59" i="53"/>
  <c r="Z59" i="53" s="1"/>
  <c r="AB59" i="53"/>
  <c r="AF59" i="53"/>
  <c r="AG59" i="53" s="1"/>
  <c r="AK59" i="53"/>
  <c r="AL59" i="53" s="1"/>
  <c r="AO59" i="53"/>
  <c r="AP59" i="53" s="1"/>
  <c r="AR59" i="53"/>
  <c r="U60" i="53"/>
  <c r="V60" i="53" s="1"/>
  <c r="Y60" i="53"/>
  <c r="AB60" i="53"/>
  <c r="AC60" i="53" s="1"/>
  <c r="AF60" i="53"/>
  <c r="AJ60" i="53" s="1"/>
  <c r="AK60" i="53"/>
  <c r="AL60" i="53" s="1"/>
  <c r="AO60" i="53"/>
  <c r="AR60" i="53"/>
  <c r="AS60" i="53" s="1"/>
  <c r="U61" i="53"/>
  <c r="V61" i="53" s="1"/>
  <c r="Y61" i="53"/>
  <c r="AA61" i="53" s="1"/>
  <c r="AB61" i="53"/>
  <c r="AC61" i="53" s="1"/>
  <c r="AF61" i="53"/>
  <c r="AI61" i="53" s="1"/>
  <c r="AK61" i="53"/>
  <c r="AL61" i="53" s="1"/>
  <c r="AO61" i="53"/>
  <c r="AQ61" i="53" s="1"/>
  <c r="AR61" i="53"/>
  <c r="AS61" i="53" s="1"/>
  <c r="U62" i="53"/>
  <c r="V62" i="53" s="1"/>
  <c r="Y62" i="53"/>
  <c r="Z62" i="53" s="1"/>
  <c r="AB62" i="53"/>
  <c r="AC62" i="53" s="1"/>
  <c r="AF62" i="53"/>
  <c r="AJ62" i="53" s="1"/>
  <c r="AK62" i="53"/>
  <c r="AL62" i="53" s="1"/>
  <c r="AO62" i="53"/>
  <c r="AP62" i="53" s="1"/>
  <c r="AR62" i="53"/>
  <c r="AT62" i="53" s="1"/>
  <c r="U63" i="53"/>
  <c r="X63" i="53" s="1"/>
  <c r="Y63" i="53"/>
  <c r="AB63" i="53"/>
  <c r="AD63" i="53" s="1"/>
  <c r="AF63" i="53"/>
  <c r="AG63" i="53" s="1"/>
  <c r="AK63" i="53"/>
  <c r="AO63" i="53"/>
  <c r="AR63" i="53"/>
  <c r="AS63" i="53" s="1"/>
  <c r="U64" i="53"/>
  <c r="V64" i="53" s="1"/>
  <c r="Y64" i="53"/>
  <c r="AB64" i="53"/>
  <c r="AD64" i="53" s="1"/>
  <c r="AF64" i="53"/>
  <c r="AK64" i="53"/>
  <c r="AL64" i="53" s="1"/>
  <c r="AO64" i="53"/>
  <c r="AP64" i="53" s="1"/>
  <c r="AR64" i="53"/>
  <c r="U65" i="53"/>
  <c r="Y65" i="53"/>
  <c r="AB65" i="53"/>
  <c r="AF65" i="53"/>
  <c r="AG65" i="53" s="1"/>
  <c r="AK65" i="53"/>
  <c r="AO65" i="53"/>
  <c r="AP65" i="53" s="1"/>
  <c r="AR65" i="53"/>
  <c r="AT65" i="53" s="1"/>
  <c r="U66" i="53"/>
  <c r="X66" i="53" s="1"/>
  <c r="Y66" i="53"/>
  <c r="Z66" i="53" s="1"/>
  <c r="AB66" i="53"/>
  <c r="AE66" i="53" s="1"/>
  <c r="AF66" i="53"/>
  <c r="AG66" i="53" s="1"/>
  <c r="AK66" i="53"/>
  <c r="AN66" i="53" s="1"/>
  <c r="AO66" i="53"/>
  <c r="AP66" i="53" s="1"/>
  <c r="AR66" i="53"/>
  <c r="AS66" i="53" s="1"/>
  <c r="U67" i="53"/>
  <c r="V67" i="53" s="1"/>
  <c r="Y67" i="53"/>
  <c r="AB67" i="53"/>
  <c r="AC67" i="53" s="1"/>
  <c r="AF67" i="53"/>
  <c r="AG67" i="53" s="1"/>
  <c r="AK67" i="53"/>
  <c r="AM67" i="53" s="1"/>
  <c r="AO67" i="53"/>
  <c r="AR67" i="53"/>
  <c r="AS67" i="53" s="1"/>
  <c r="U68" i="53"/>
  <c r="V68" i="53" s="1"/>
  <c r="Y68" i="53"/>
  <c r="AB68" i="53"/>
  <c r="AD68" i="53" s="1"/>
  <c r="AF68" i="53"/>
  <c r="AG68" i="53" s="1"/>
  <c r="AK68" i="53"/>
  <c r="AL68" i="53" s="1"/>
  <c r="AO68" i="53"/>
  <c r="AP68" i="53" s="1"/>
  <c r="AR68" i="53"/>
  <c r="AT68" i="53" s="1"/>
  <c r="U69" i="53"/>
  <c r="Y69" i="53"/>
  <c r="AA69" i="53" s="1"/>
  <c r="AB69" i="53"/>
  <c r="AC69" i="53" s="1"/>
  <c r="AF69" i="53"/>
  <c r="AG69" i="53" s="1"/>
  <c r="AK69" i="53"/>
  <c r="AO69" i="53"/>
  <c r="AQ69" i="53" s="1"/>
  <c r="AR69" i="53"/>
  <c r="AT69" i="53" s="1"/>
  <c r="U70" i="53"/>
  <c r="X70" i="53" s="1"/>
  <c r="Y70" i="53"/>
  <c r="Z70" i="53" s="1"/>
  <c r="AB70" i="53"/>
  <c r="AC70" i="53" s="1"/>
  <c r="AF70" i="53"/>
  <c r="AH70" i="53" s="1"/>
  <c r="AK70" i="53"/>
  <c r="AN70" i="53" s="1"/>
  <c r="AO70" i="53"/>
  <c r="AP70" i="53" s="1"/>
  <c r="AR70" i="53"/>
  <c r="AT70" i="53" s="1"/>
  <c r="U71" i="53"/>
  <c r="V71" i="53" s="1"/>
  <c r="Y71" i="53"/>
  <c r="AB71" i="53"/>
  <c r="AC71" i="53" s="1"/>
  <c r="AF71" i="53"/>
  <c r="AG71" i="53" s="1"/>
  <c r="AK71" i="53"/>
  <c r="AM71" i="53" s="1"/>
  <c r="AO71" i="53"/>
  <c r="AR71" i="53"/>
  <c r="AS71" i="53" s="1"/>
  <c r="U72" i="53"/>
  <c r="V72" i="53" s="1"/>
  <c r="Y72" i="53"/>
  <c r="AB72" i="53"/>
  <c r="AD72" i="53" s="1"/>
  <c r="AF72" i="53"/>
  <c r="AK72" i="53"/>
  <c r="AL72" i="53" s="1"/>
  <c r="AO72" i="53"/>
  <c r="AP72" i="53" s="1"/>
  <c r="AR72" i="53"/>
  <c r="AT72" i="53" s="1"/>
  <c r="U73" i="53"/>
  <c r="Y73" i="53"/>
  <c r="Z73" i="53" s="1"/>
  <c r="AB73" i="53"/>
  <c r="AC73" i="53" s="1"/>
  <c r="AF73" i="53"/>
  <c r="AG73" i="53" s="1"/>
  <c r="AK73" i="53"/>
  <c r="AO73" i="53"/>
  <c r="AP73" i="53" s="1"/>
  <c r="AR73" i="53"/>
  <c r="AT73" i="53" s="1"/>
  <c r="U74" i="53"/>
  <c r="X74" i="53" s="1"/>
  <c r="Y74" i="53"/>
  <c r="Z74" i="53" s="1"/>
  <c r="AB74" i="53"/>
  <c r="AC74" i="53" s="1"/>
  <c r="AF74" i="53"/>
  <c r="AG74" i="53" s="1"/>
  <c r="AK74" i="53"/>
  <c r="AN74" i="53" s="1"/>
  <c r="AO74" i="53"/>
  <c r="AP74" i="53" s="1"/>
  <c r="AR74" i="53"/>
  <c r="AS74" i="53" s="1"/>
  <c r="U75" i="53"/>
  <c r="Y75" i="53"/>
  <c r="AB75" i="53"/>
  <c r="AC75" i="53" s="1"/>
  <c r="AF75" i="53"/>
  <c r="AG75" i="53" s="1"/>
  <c r="AK75" i="53"/>
  <c r="AM75" i="53" s="1"/>
  <c r="AO75" i="53"/>
  <c r="AR75" i="53"/>
  <c r="U76" i="53"/>
  <c r="V76" i="53" s="1"/>
  <c r="Y76" i="53"/>
  <c r="AB76" i="53"/>
  <c r="AF76" i="53"/>
  <c r="AJ76" i="53" s="1"/>
  <c r="AK76" i="53"/>
  <c r="AL76" i="53" s="1"/>
  <c r="AO76" i="53"/>
  <c r="AR76" i="53"/>
  <c r="AS76" i="53" s="1"/>
  <c r="U77" i="53"/>
  <c r="Y77" i="53"/>
  <c r="AB77" i="53"/>
  <c r="AC77" i="53" s="1"/>
  <c r="AF77" i="53"/>
  <c r="AJ77" i="53" s="1"/>
  <c r="AK77" i="53"/>
  <c r="AO77" i="53"/>
  <c r="AQ77" i="53" s="1"/>
  <c r="AR77" i="53"/>
  <c r="AT77" i="53" s="1"/>
  <c r="U78" i="53"/>
  <c r="X78" i="53" s="1"/>
  <c r="Y78" i="53"/>
  <c r="Z78" i="53" s="1"/>
  <c r="AB78" i="53"/>
  <c r="AC78" i="53" s="1"/>
  <c r="AF78" i="53"/>
  <c r="AH78" i="53" s="1"/>
  <c r="AK78" i="53"/>
  <c r="AO78" i="53"/>
  <c r="AP78" i="53" s="1"/>
  <c r="AR78" i="53"/>
  <c r="AS78" i="53" s="1"/>
  <c r="U79" i="53"/>
  <c r="V79" i="53" s="1"/>
  <c r="Y79" i="53"/>
  <c r="AB79" i="53"/>
  <c r="AC79" i="53" s="1"/>
  <c r="AF79" i="53"/>
  <c r="AG79" i="53" s="1"/>
  <c r="AK79" i="53"/>
  <c r="AM79" i="53" s="1"/>
  <c r="AO79" i="53"/>
  <c r="AR79" i="53"/>
  <c r="U80" i="53"/>
  <c r="V80" i="53" s="1"/>
  <c r="Y80" i="53"/>
  <c r="Z80" i="53" s="1"/>
  <c r="AB80" i="53"/>
  <c r="AC80" i="53" s="1"/>
  <c r="AF80" i="53"/>
  <c r="AJ80" i="53" s="1"/>
  <c r="AK80" i="53"/>
  <c r="AL80" i="53" s="1"/>
  <c r="AO80" i="53"/>
  <c r="AP80" i="53" s="1"/>
  <c r="AR80" i="53"/>
  <c r="U81" i="53"/>
  <c r="Y81" i="53"/>
  <c r="AB81" i="53"/>
  <c r="AC81" i="53" s="1"/>
  <c r="AF81" i="53"/>
  <c r="AG81" i="53" s="1"/>
  <c r="AK81" i="53"/>
  <c r="AO81" i="53"/>
  <c r="AP81" i="53" s="1"/>
  <c r="AR81" i="53"/>
  <c r="AT81" i="53" s="1"/>
  <c r="U82" i="53"/>
  <c r="X82" i="53" s="1"/>
  <c r="Y82" i="53"/>
  <c r="Z82" i="53" s="1"/>
  <c r="AB82" i="53"/>
  <c r="AD82" i="53" s="1"/>
  <c r="AF82" i="53"/>
  <c r="AG82" i="53" s="1"/>
  <c r="AK82" i="53"/>
  <c r="AN82" i="53" s="1"/>
  <c r="AO82" i="53"/>
  <c r="AP82" i="53" s="1"/>
  <c r="AR82" i="53"/>
  <c r="AT82" i="53" s="1"/>
  <c r="U83" i="53"/>
  <c r="V83" i="53" s="1"/>
  <c r="Y83" i="53"/>
  <c r="AB83" i="53"/>
  <c r="AC83" i="53" s="1"/>
  <c r="AF83" i="53"/>
  <c r="AG83" i="53" s="1"/>
  <c r="AK83" i="53"/>
  <c r="AO83" i="53"/>
  <c r="AR83" i="53"/>
  <c r="AS83" i="53" s="1"/>
  <c r="U84" i="53"/>
  <c r="V84" i="53" s="1"/>
  <c r="Y84" i="53"/>
  <c r="Z84" i="53" s="1"/>
  <c r="AB84" i="53"/>
  <c r="AC84" i="53" s="1"/>
  <c r="AF84" i="53"/>
  <c r="AJ84" i="53" s="1"/>
  <c r="AK84" i="53"/>
  <c r="AL84" i="53" s="1"/>
  <c r="AO84" i="53"/>
  <c r="AP84" i="53" s="1"/>
  <c r="AR84" i="53"/>
  <c r="U85" i="53"/>
  <c r="Y85" i="53"/>
  <c r="Z85" i="53" s="1"/>
  <c r="AB85" i="53"/>
  <c r="AC85" i="53" s="1"/>
  <c r="AF85" i="53"/>
  <c r="AG85" i="53" s="1"/>
  <c r="AK85" i="53"/>
  <c r="AO85" i="53"/>
  <c r="AR85" i="53"/>
  <c r="AT85" i="53" s="1"/>
  <c r="U86" i="53"/>
  <c r="Y86" i="53"/>
  <c r="Z86" i="53" s="1"/>
  <c r="AB86" i="53"/>
  <c r="AC86" i="53" s="1"/>
  <c r="AF86" i="53"/>
  <c r="AK86" i="53"/>
  <c r="AO86" i="53"/>
  <c r="AP86" i="53" s="1"/>
  <c r="AR86" i="53"/>
  <c r="U87" i="53"/>
  <c r="V87" i="53" s="1"/>
  <c r="Y87" i="53"/>
  <c r="AB87" i="53"/>
  <c r="AC87" i="53" s="1"/>
  <c r="AF87" i="53"/>
  <c r="AG87" i="53" s="1"/>
  <c r="AK87" i="53"/>
  <c r="AO87" i="53"/>
  <c r="AR87" i="53"/>
  <c r="AS87" i="53" s="1"/>
  <c r="U88" i="53"/>
  <c r="V88" i="53" s="1"/>
  <c r="Y88" i="53"/>
  <c r="Z88" i="53" s="1"/>
  <c r="AB88" i="53"/>
  <c r="AD88" i="53" s="1"/>
  <c r="AF88" i="53"/>
  <c r="AJ88" i="53" s="1"/>
  <c r="AK88" i="53"/>
  <c r="AL88" i="53" s="1"/>
  <c r="AO88" i="53"/>
  <c r="AP88" i="53" s="1"/>
  <c r="AR88" i="53"/>
  <c r="AT88" i="53" s="1"/>
  <c r="U89" i="53"/>
  <c r="Y89" i="53"/>
  <c r="AA89" i="53" s="1"/>
  <c r="AB89" i="53"/>
  <c r="AC89" i="53" s="1"/>
  <c r="AF89" i="53"/>
  <c r="AG89" i="53" s="1"/>
  <c r="AK89" i="53"/>
  <c r="AO89" i="53"/>
  <c r="AR89" i="53"/>
  <c r="AT89" i="53" s="1"/>
  <c r="U90" i="53"/>
  <c r="V90" i="53" s="1"/>
  <c r="Y90" i="53"/>
  <c r="Z90" i="53" s="1"/>
  <c r="AB90" i="53"/>
  <c r="AC90" i="53" s="1"/>
  <c r="AF90" i="53"/>
  <c r="AK90" i="53"/>
  <c r="AO90" i="53"/>
  <c r="AP90" i="53" s="1"/>
  <c r="AR90" i="53"/>
  <c r="AT90" i="53" s="1"/>
  <c r="U91" i="53"/>
  <c r="V91" i="53" s="1"/>
  <c r="Y91" i="53"/>
  <c r="AB91" i="53"/>
  <c r="AF91" i="53"/>
  <c r="AG91" i="53" s="1"/>
  <c r="AK91" i="53"/>
  <c r="AM91" i="53" s="1"/>
  <c r="AO91" i="53"/>
  <c r="AR91" i="53"/>
  <c r="AS91" i="53" s="1"/>
  <c r="U92" i="53"/>
  <c r="V92" i="53" s="1"/>
  <c r="Y92" i="53"/>
  <c r="AA92" i="53" s="1"/>
  <c r="AB92" i="53"/>
  <c r="AC92" i="53" s="1"/>
  <c r="AF92" i="53"/>
  <c r="AH92" i="53" s="1"/>
  <c r="AK92" i="53"/>
  <c r="AL92" i="53" s="1"/>
  <c r="AO92" i="53"/>
  <c r="AP92" i="53" s="1"/>
  <c r="AR92" i="53"/>
  <c r="AS92" i="53" s="1"/>
  <c r="U93" i="53"/>
  <c r="Y93" i="53"/>
  <c r="Z93" i="53" s="1"/>
  <c r="AB93" i="53"/>
  <c r="AC93" i="53" s="1"/>
  <c r="AF93" i="53"/>
  <c r="AK93" i="53"/>
  <c r="AO93" i="53"/>
  <c r="AP93" i="53" s="1"/>
  <c r="AR93" i="53"/>
  <c r="AT93" i="53" s="1"/>
  <c r="U94" i="53"/>
  <c r="Y94" i="53"/>
  <c r="AB94" i="53"/>
  <c r="AD94" i="53" s="1"/>
  <c r="AF94" i="53"/>
  <c r="AI94" i="53" s="1"/>
  <c r="AK94" i="53"/>
  <c r="AN94" i="53" s="1"/>
  <c r="AO94" i="53"/>
  <c r="AR94" i="53"/>
  <c r="AS94" i="53" s="1"/>
  <c r="U95" i="53"/>
  <c r="W95" i="53" s="1"/>
  <c r="Y95" i="53"/>
  <c r="AB95" i="53"/>
  <c r="AC95" i="53" s="1"/>
  <c r="AF95" i="53"/>
  <c r="AK95" i="53"/>
  <c r="AO95" i="53"/>
  <c r="AR95" i="53"/>
  <c r="AS95" i="53" s="1"/>
  <c r="U96" i="53"/>
  <c r="Y96" i="53"/>
  <c r="AA96" i="53" s="1"/>
  <c r="AB96" i="53"/>
  <c r="AD96" i="53" s="1"/>
  <c r="AF96" i="53"/>
  <c r="AK96" i="53"/>
  <c r="AM96" i="53" s="1"/>
  <c r="AO96" i="53"/>
  <c r="AR96" i="53"/>
  <c r="U97" i="53"/>
  <c r="V97" i="53" s="1"/>
  <c r="Y97" i="53"/>
  <c r="AA97" i="53" s="1"/>
  <c r="AB97" i="53"/>
  <c r="AF97" i="53"/>
  <c r="AG97" i="53" s="1"/>
  <c r="AK97" i="53"/>
  <c r="AO97" i="53"/>
  <c r="AR97" i="53"/>
  <c r="AT97" i="53" s="1"/>
  <c r="U98" i="53"/>
  <c r="Y98" i="53"/>
  <c r="Z98" i="53" s="1"/>
  <c r="AB98" i="53"/>
  <c r="AF98" i="53"/>
  <c r="AG98" i="53" s="1"/>
  <c r="AK98" i="53"/>
  <c r="AL98" i="53" s="1"/>
  <c r="AO98" i="53"/>
  <c r="AP98" i="53" s="1"/>
  <c r="AR98" i="53"/>
  <c r="AS98" i="53" s="1"/>
  <c r="U99" i="53"/>
  <c r="Y99" i="53"/>
  <c r="AA99" i="53" s="1"/>
  <c r="AB99" i="53"/>
  <c r="AE99" i="53" s="1"/>
  <c r="AF99" i="53"/>
  <c r="AK99" i="53"/>
  <c r="AO99" i="53"/>
  <c r="AQ99" i="53" s="1"/>
  <c r="AR99" i="53"/>
  <c r="U100" i="53"/>
  <c r="X100" i="53" s="1"/>
  <c r="Y100" i="53"/>
  <c r="AB100" i="53"/>
  <c r="AC100" i="53" s="1"/>
  <c r="AF100" i="53"/>
  <c r="AI100" i="53" s="1"/>
  <c r="AK100" i="53"/>
  <c r="AM100" i="53" s="1"/>
  <c r="AO100" i="53"/>
  <c r="AQ100" i="53" s="1"/>
  <c r="AR100" i="53"/>
  <c r="AS100" i="53" s="1"/>
  <c r="U101" i="53"/>
  <c r="X101" i="53" s="1"/>
  <c r="Y101" i="53"/>
  <c r="Z101" i="53" s="1"/>
  <c r="AB101" i="53"/>
  <c r="AF101" i="53"/>
  <c r="AI101" i="53" s="1"/>
  <c r="AK101" i="53"/>
  <c r="AO101" i="53"/>
  <c r="AP101" i="53" s="1"/>
  <c r="AR101" i="53"/>
  <c r="U102" i="53"/>
  <c r="Y102" i="53"/>
  <c r="Z102" i="53" s="1"/>
  <c r="AB102" i="53"/>
  <c r="AD102" i="53" s="1"/>
  <c r="AF102" i="53"/>
  <c r="AK102" i="53"/>
  <c r="AO102" i="53"/>
  <c r="AQ102" i="53" s="1"/>
  <c r="AR102" i="53"/>
  <c r="AT102" i="53" s="1"/>
  <c r="U103" i="53"/>
  <c r="Y103" i="53"/>
  <c r="Z103" i="53" s="1"/>
  <c r="AB103" i="53"/>
  <c r="AF103" i="53"/>
  <c r="AJ103" i="53" s="1"/>
  <c r="AK103" i="53"/>
  <c r="AL103" i="53" s="1"/>
  <c r="AO103" i="53"/>
  <c r="AP103" i="53" s="1"/>
  <c r="AR103" i="53"/>
  <c r="U104" i="53"/>
  <c r="X104" i="53" s="1"/>
  <c r="Y104" i="53"/>
  <c r="AA104" i="53" s="1"/>
  <c r="AB104" i="53"/>
  <c r="AC104" i="53" s="1"/>
  <c r="AF104" i="53"/>
  <c r="AI104" i="53" s="1"/>
  <c r="AK104" i="53"/>
  <c r="AL104" i="53" s="1"/>
  <c r="AO104" i="53"/>
  <c r="AQ104" i="53" s="1"/>
  <c r="AR104" i="53"/>
  <c r="AS104" i="53" s="1"/>
  <c r="U105" i="53"/>
  <c r="W105" i="53" s="1"/>
  <c r="Y105" i="53"/>
  <c r="AB105" i="53"/>
  <c r="AF105" i="53"/>
  <c r="AK105" i="53"/>
  <c r="AL105" i="53" s="1"/>
  <c r="AO105" i="53"/>
  <c r="AR105" i="53"/>
  <c r="U106" i="53"/>
  <c r="V106" i="53" s="1"/>
  <c r="Y106" i="53"/>
  <c r="AB106" i="53"/>
  <c r="AE106" i="53" s="1"/>
  <c r="AF106" i="53"/>
  <c r="AH106" i="53" s="1"/>
  <c r="AK106" i="53"/>
  <c r="AO106" i="53"/>
  <c r="AP106" i="53" s="1"/>
  <c r="AR106" i="53"/>
  <c r="AS106" i="53" s="1"/>
  <c r="U108" i="53"/>
  <c r="V108" i="53" s="1"/>
  <c r="Y108" i="53"/>
  <c r="AB108" i="53"/>
  <c r="AE108" i="53" s="1"/>
  <c r="AF108" i="53"/>
  <c r="AJ108" i="53" s="1"/>
  <c r="AK108" i="53"/>
  <c r="AL108" i="53" s="1"/>
  <c r="AO108" i="53"/>
  <c r="AP108" i="53" s="1"/>
  <c r="AR108" i="53"/>
  <c r="U109" i="53"/>
  <c r="X109" i="53" s="1"/>
  <c r="Y109" i="53"/>
  <c r="AA109" i="53" s="1"/>
  <c r="AB109" i="53"/>
  <c r="AD109" i="53" s="1"/>
  <c r="AF109" i="53"/>
  <c r="AH109" i="53" s="1"/>
  <c r="AK109" i="53"/>
  <c r="AN109" i="53" s="1"/>
  <c r="AO109" i="53"/>
  <c r="AQ109" i="53" s="1"/>
  <c r="AR109" i="53"/>
  <c r="AS109" i="53" s="1"/>
  <c r="U110" i="53"/>
  <c r="W110" i="53" s="1"/>
  <c r="Y110" i="53"/>
  <c r="Z110" i="53" s="1"/>
  <c r="AB110" i="53"/>
  <c r="AF110" i="53"/>
  <c r="AJ110" i="53" s="1"/>
  <c r="AK110" i="53"/>
  <c r="AM110" i="53" s="1"/>
  <c r="AO110" i="53"/>
  <c r="AR110" i="53"/>
  <c r="U111" i="53"/>
  <c r="V111" i="53" s="1"/>
  <c r="Y111" i="53"/>
  <c r="AA111" i="53" s="1"/>
  <c r="AB111" i="53"/>
  <c r="AE111" i="53" s="1"/>
  <c r="AF111" i="53"/>
  <c r="AG111" i="53" s="1"/>
  <c r="AK111" i="53"/>
  <c r="AL111" i="53" s="1"/>
  <c r="AO111" i="53"/>
  <c r="AP111" i="53" s="1"/>
  <c r="AR111" i="53"/>
  <c r="AT111" i="53" s="1"/>
  <c r="U112" i="53"/>
  <c r="W112" i="53" s="1"/>
  <c r="Y112" i="53"/>
  <c r="AA112" i="53" s="1"/>
  <c r="AB112" i="53"/>
  <c r="AF112" i="53"/>
  <c r="AJ112" i="53" s="1"/>
  <c r="AK112" i="53"/>
  <c r="AM112" i="53" s="1"/>
  <c r="AO112" i="53"/>
  <c r="AP112" i="53" s="1"/>
  <c r="AR112" i="53"/>
  <c r="U113" i="53"/>
  <c r="Y113" i="53"/>
  <c r="AA113" i="53" s="1"/>
  <c r="AB113" i="53"/>
  <c r="AD113" i="53" s="1"/>
  <c r="AF113" i="53"/>
  <c r="AI113" i="53" s="1"/>
  <c r="AK113" i="53"/>
  <c r="AM113" i="53" s="1"/>
  <c r="AO113" i="53"/>
  <c r="AR113" i="53"/>
  <c r="AS113" i="53" s="1"/>
  <c r="U114" i="53"/>
  <c r="V114" i="53" s="1"/>
  <c r="Y114" i="53"/>
  <c r="Z114" i="53" s="1"/>
  <c r="AB114" i="53"/>
  <c r="AE114" i="53" s="1"/>
  <c r="AF114" i="53"/>
  <c r="AK114" i="53"/>
  <c r="AO114" i="53"/>
  <c r="AR114" i="53"/>
  <c r="U115" i="53"/>
  <c r="V115" i="53" s="1"/>
  <c r="Y115" i="53"/>
  <c r="Z115" i="53" s="1"/>
  <c r="AB115" i="53"/>
  <c r="AE115" i="53" s="1"/>
  <c r="AF115" i="53"/>
  <c r="AJ115" i="53" s="1"/>
  <c r="AK115" i="53"/>
  <c r="AL115" i="53" s="1"/>
  <c r="AO115" i="53"/>
  <c r="AR115" i="53"/>
  <c r="U116" i="53"/>
  <c r="V116" i="53" s="1"/>
  <c r="Y116" i="53"/>
  <c r="AA116" i="53" s="1"/>
  <c r="AB116" i="53"/>
  <c r="AD116" i="53" s="1"/>
  <c r="AF116" i="53"/>
  <c r="AI116" i="53" s="1"/>
  <c r="AK116" i="53"/>
  <c r="AL116" i="53" s="1"/>
  <c r="AO116" i="53"/>
  <c r="AP116" i="53" s="1"/>
  <c r="AR116" i="53"/>
  <c r="U117" i="53"/>
  <c r="Y117" i="53"/>
  <c r="AB117" i="53"/>
  <c r="AC117" i="53" s="1"/>
  <c r="AF117" i="53"/>
  <c r="AH117" i="53" s="1"/>
  <c r="AK117" i="53"/>
  <c r="AL117" i="53" s="1"/>
  <c r="AO117" i="53"/>
  <c r="AQ117" i="53" s="1"/>
  <c r="AR117" i="53"/>
  <c r="AS117" i="53" s="1"/>
  <c r="U118" i="53"/>
  <c r="X118" i="53" s="1"/>
  <c r="Y118" i="53"/>
  <c r="AB118" i="53"/>
  <c r="AD118" i="53" s="1"/>
  <c r="AF118" i="53"/>
  <c r="AG118" i="53" s="1"/>
  <c r="AK118" i="53"/>
  <c r="AN118" i="53" s="1"/>
  <c r="AO118" i="53"/>
  <c r="AR118" i="53"/>
  <c r="AS118" i="53" s="1"/>
  <c r="U119" i="53"/>
  <c r="W119" i="53" s="1"/>
  <c r="Y119" i="53"/>
  <c r="Z119" i="53" s="1"/>
  <c r="AB119" i="53"/>
  <c r="AF119" i="53"/>
  <c r="AJ119" i="53" s="1"/>
  <c r="AK119" i="53"/>
  <c r="AO119" i="53"/>
  <c r="AQ119" i="53" s="1"/>
  <c r="AR119" i="53"/>
  <c r="AT119" i="53" s="1"/>
  <c r="U120" i="53"/>
  <c r="X120" i="53" s="1"/>
  <c r="Y120" i="53"/>
  <c r="AA120" i="53" s="1"/>
  <c r="AB120" i="53"/>
  <c r="AC120" i="53" s="1"/>
  <c r="AF120" i="53"/>
  <c r="AG120" i="53" s="1"/>
  <c r="AK120" i="53"/>
  <c r="AO120" i="53"/>
  <c r="AQ120" i="53" s="1"/>
  <c r="AR120" i="53"/>
  <c r="AT120" i="53" s="1"/>
  <c r="U121" i="53"/>
  <c r="W121" i="53" s="1"/>
  <c r="Y121" i="53"/>
  <c r="AA121" i="53" s="1"/>
  <c r="AB121" i="53"/>
  <c r="AF121" i="53"/>
  <c r="AI121" i="53" s="1"/>
  <c r="AK121" i="53"/>
  <c r="AM121" i="53" s="1"/>
  <c r="AO121" i="53"/>
  <c r="AR121" i="53"/>
  <c r="AT121" i="53" s="1"/>
  <c r="U122" i="53"/>
  <c r="Y122" i="53"/>
  <c r="AB122" i="53"/>
  <c r="AC122" i="53" s="1"/>
  <c r="AF122" i="53"/>
  <c r="AH122" i="53" s="1"/>
  <c r="AK122" i="53"/>
  <c r="AN122" i="53" s="1"/>
  <c r="AO122" i="53"/>
  <c r="AQ122" i="53" s="1"/>
  <c r="AR122" i="53"/>
  <c r="AS122" i="53" s="1"/>
  <c r="U123" i="53"/>
  <c r="Y123" i="53"/>
  <c r="Z123" i="53" s="1"/>
  <c r="AB123" i="53"/>
  <c r="AF123" i="53"/>
  <c r="AG123" i="53" s="1"/>
  <c r="AK123" i="53"/>
  <c r="AN123" i="53" s="1"/>
  <c r="AO123" i="53"/>
  <c r="AP123" i="53" s="1"/>
  <c r="AR123" i="53"/>
  <c r="AS123" i="53" s="1"/>
  <c r="U124" i="53"/>
  <c r="Y124" i="53"/>
  <c r="AA124" i="53" s="1"/>
  <c r="AB124" i="53"/>
  <c r="AC124" i="53" s="1"/>
  <c r="AF124" i="53"/>
  <c r="AI124" i="53" s="1"/>
  <c r="AK124" i="53"/>
  <c r="AL124" i="53" s="1"/>
  <c r="AO124" i="53"/>
  <c r="AQ124" i="53" s="1"/>
  <c r="AR124" i="53"/>
  <c r="AS124" i="53" s="1"/>
  <c r="U125" i="53"/>
  <c r="X125" i="53" s="1"/>
  <c r="Y125" i="53"/>
  <c r="AA125" i="53" s="1"/>
  <c r="AB125" i="53"/>
  <c r="AD125" i="53" s="1"/>
  <c r="AF125" i="53"/>
  <c r="AG125" i="53" s="1"/>
  <c r="AK125" i="53"/>
  <c r="AM125" i="53" s="1"/>
  <c r="AO125" i="53"/>
  <c r="AR125" i="53"/>
  <c r="AS125" i="53" s="1"/>
  <c r="U126" i="53"/>
  <c r="V126" i="53" s="1"/>
  <c r="Y126" i="53"/>
  <c r="AA126" i="53" s="1"/>
  <c r="AB126" i="53"/>
  <c r="AD126" i="53" s="1"/>
  <c r="AF126" i="53"/>
  <c r="AG126" i="53" s="1"/>
  <c r="AK126" i="53"/>
  <c r="AO126" i="53"/>
  <c r="AP126" i="53" s="1"/>
  <c r="AR126" i="53"/>
  <c r="AS126" i="53" s="1"/>
  <c r="U4" i="53"/>
  <c r="W4" i="53" s="1"/>
  <c r="Y4" i="53"/>
  <c r="Z4" i="53" s="1"/>
  <c r="AB4" i="53"/>
  <c r="AC4" i="53" s="1"/>
  <c r="AF4" i="53"/>
  <c r="AG4" i="53" s="1"/>
  <c r="AK4" i="53"/>
  <c r="AM4" i="53" s="1"/>
  <c r="AO4" i="53"/>
  <c r="AQ4" i="53" s="1"/>
  <c r="AR4" i="53"/>
  <c r="AS4" i="53" s="1"/>
  <c r="U5" i="53"/>
  <c r="Y5" i="53"/>
  <c r="AA5" i="53" s="1"/>
  <c r="AB5" i="53"/>
  <c r="AF5" i="53"/>
  <c r="AI5" i="53" s="1"/>
  <c r="AK5" i="53"/>
  <c r="AL5" i="53" s="1"/>
  <c r="AO5" i="53"/>
  <c r="AQ5" i="53" s="1"/>
  <c r="AR5" i="53"/>
  <c r="AS5" i="53" s="1"/>
  <c r="U6" i="53"/>
  <c r="W6" i="53" s="1"/>
  <c r="Y6" i="53"/>
  <c r="AB6" i="53"/>
  <c r="AC6" i="53" s="1"/>
  <c r="AF6" i="53"/>
  <c r="AG6" i="53" s="1"/>
  <c r="AK6" i="53"/>
  <c r="AM6" i="53" s="1"/>
  <c r="AO6" i="53"/>
  <c r="AP6" i="53" s="1"/>
  <c r="AR6" i="53"/>
  <c r="AS6" i="53" s="1"/>
  <c r="AO3" i="53"/>
  <c r="AQ3" i="53" s="1"/>
  <c r="AB3" i="53"/>
  <c r="Y3" i="53"/>
  <c r="AA3" i="53" s="1"/>
  <c r="U3" i="53"/>
  <c r="V3" i="53" s="1"/>
  <c r="AR3" i="53"/>
  <c r="AS3" i="53" s="1"/>
  <c r="AK3" i="53"/>
  <c r="AM3" i="53" s="1"/>
  <c r="AF3" i="53"/>
  <c r="AJ3" i="53" s="1"/>
  <c r="T117" i="53" l="1"/>
  <c r="R118" i="53"/>
  <c r="S117" i="53"/>
  <c r="S108" i="53"/>
  <c r="R126" i="53"/>
  <c r="S74" i="53"/>
  <c r="Q91" i="53"/>
  <c r="Q83" i="53"/>
  <c r="Q126" i="53"/>
  <c r="R51" i="53"/>
  <c r="T118" i="53"/>
  <c r="S118" i="53"/>
  <c r="S82" i="53"/>
  <c r="S66" i="53"/>
  <c r="Q74" i="53"/>
  <c r="Q109" i="53"/>
  <c r="T106" i="53"/>
  <c r="Q66" i="53"/>
  <c r="S98" i="53"/>
  <c r="T3" i="53"/>
  <c r="S6" i="53"/>
  <c r="R70" i="53"/>
  <c r="Q6" i="53"/>
  <c r="R94" i="53"/>
  <c r="S54" i="53"/>
  <c r="R3" i="53"/>
  <c r="T120" i="53"/>
  <c r="Q76" i="53"/>
  <c r="R53" i="53"/>
  <c r="S45" i="53"/>
  <c r="Q120" i="53"/>
  <c r="S101" i="53"/>
  <c r="R45" i="53"/>
  <c r="S5" i="53"/>
  <c r="R4" i="53"/>
  <c r="AS93" i="53"/>
  <c r="S93" i="53"/>
  <c r="T37" i="53"/>
  <c r="R111" i="53"/>
  <c r="S21" i="53"/>
  <c r="T20" i="53"/>
  <c r="R42" i="53"/>
  <c r="Q68" i="53"/>
  <c r="T109" i="53"/>
  <c r="S100" i="53"/>
  <c r="T98" i="53"/>
  <c r="Q84" i="53"/>
  <c r="T82" i="53"/>
  <c r="R74" i="53"/>
  <c r="R66" i="53"/>
  <c r="S44" i="53"/>
  <c r="R10" i="53"/>
  <c r="R100" i="53"/>
  <c r="S125" i="53"/>
  <c r="S119" i="53"/>
  <c r="S106" i="53"/>
  <c r="R98" i="53"/>
  <c r="R92" i="53"/>
  <c r="T90" i="53"/>
  <c r="R82" i="53"/>
  <c r="S50" i="53"/>
  <c r="T92" i="53"/>
  <c r="R125" i="53"/>
  <c r="R106" i="53"/>
  <c r="S90" i="53"/>
  <c r="S58" i="53"/>
  <c r="R50" i="53"/>
  <c r="R36" i="53"/>
  <c r="Q26" i="53"/>
  <c r="Q125" i="53"/>
  <c r="R90" i="53"/>
  <c r="R60" i="53"/>
  <c r="R58" i="53"/>
  <c r="Q28" i="53"/>
  <c r="Q12" i="53"/>
  <c r="T116" i="53"/>
  <c r="S68" i="53"/>
  <c r="Q58" i="53"/>
  <c r="T119" i="53"/>
  <c r="S4" i="53"/>
  <c r="R76" i="53"/>
  <c r="R68" i="53"/>
  <c r="R18" i="53"/>
  <c r="X4" i="53"/>
  <c r="AG7" i="53"/>
  <c r="S26" i="53"/>
  <c r="AT98" i="53"/>
  <c r="R26" i="53"/>
  <c r="AL21" i="53"/>
  <c r="R34" i="53"/>
  <c r="Q7" i="53"/>
  <c r="AI77" i="53"/>
  <c r="AP69" i="53"/>
  <c r="AN117" i="53"/>
  <c r="AC94" i="53"/>
  <c r="AG77" i="53"/>
  <c r="AL71" i="53"/>
  <c r="AE30" i="53"/>
  <c r="Z27" i="53"/>
  <c r="AL13" i="53"/>
  <c r="AL121" i="53"/>
  <c r="Z69" i="53"/>
  <c r="Q112" i="53"/>
  <c r="AA103" i="53"/>
  <c r="AH98" i="53"/>
  <c r="AS70" i="53"/>
  <c r="T70" i="53"/>
  <c r="AT10" i="53"/>
  <c r="S3" i="53"/>
  <c r="S102" i="53"/>
  <c r="Q70" i="53"/>
  <c r="AN108" i="53"/>
  <c r="Q102" i="53"/>
  <c r="AL91" i="53"/>
  <c r="Q86" i="53"/>
  <c r="AS82" i="53"/>
  <c r="AE64" i="53"/>
  <c r="W59" i="53"/>
  <c r="R88" i="53"/>
  <c r="S78" i="53"/>
  <c r="AH42" i="53"/>
  <c r="AE34" i="53"/>
  <c r="Q121" i="53"/>
  <c r="AQ88" i="53"/>
  <c r="S80" i="53"/>
  <c r="Q78" i="53"/>
  <c r="S62" i="53"/>
  <c r="AD6" i="53"/>
  <c r="AI123" i="53"/>
  <c r="AS90" i="53"/>
  <c r="AC88" i="53"/>
  <c r="AJ70" i="53"/>
  <c r="AN38" i="53"/>
  <c r="AM118" i="53"/>
  <c r="AC64" i="53"/>
  <c r="AC63" i="53"/>
  <c r="AT6" i="53"/>
  <c r="AT109" i="53"/>
  <c r="AH104" i="53"/>
  <c r="AE80" i="53"/>
  <c r="R71" i="53"/>
  <c r="AE52" i="53"/>
  <c r="Q122" i="53"/>
  <c r="S87" i="53"/>
  <c r="AL110" i="53"/>
  <c r="V59" i="53"/>
  <c r="Q23" i="53"/>
  <c r="AC111" i="53"/>
  <c r="AQ93" i="53"/>
  <c r="AD75" i="53"/>
  <c r="R63" i="53"/>
  <c r="AS54" i="53"/>
  <c r="Q47" i="53"/>
  <c r="AS25" i="53"/>
  <c r="AT24" i="53"/>
  <c r="S120" i="53"/>
  <c r="T111" i="53"/>
  <c r="AI70" i="53"/>
  <c r="T53" i="53"/>
  <c r="Q45" i="53"/>
  <c r="AT5" i="53"/>
  <c r="T5" i="53"/>
  <c r="AH120" i="53"/>
  <c r="S111" i="53"/>
  <c r="AQ108" i="53"/>
  <c r="AP99" i="53"/>
  <c r="AH94" i="53"/>
  <c r="T93" i="53"/>
  <c r="S72" i="53"/>
  <c r="AG70" i="53"/>
  <c r="S53" i="53"/>
  <c r="R44" i="53"/>
  <c r="AT37" i="53"/>
  <c r="AE32" i="53"/>
  <c r="AL26" i="53"/>
  <c r="AJ17" i="53"/>
  <c r="AL10" i="53"/>
  <c r="Z3" i="53"/>
  <c r="R5" i="53"/>
  <c r="T96" i="53"/>
  <c r="Q88" i="53"/>
  <c r="T85" i="53"/>
  <c r="T69" i="53"/>
  <c r="T61" i="53"/>
  <c r="R21" i="53"/>
  <c r="Z126" i="53"/>
  <c r="Q119" i="53"/>
  <c r="V118" i="53"/>
  <c r="T110" i="53"/>
  <c r="R104" i="53"/>
  <c r="S96" i="53"/>
  <c r="Q92" i="53"/>
  <c r="S85" i="53"/>
  <c r="T84" i="53"/>
  <c r="S77" i="53"/>
  <c r="S69" i="53"/>
  <c r="Q61" i="53"/>
  <c r="T60" i="53"/>
  <c r="T52" i="53"/>
  <c r="X50" i="53"/>
  <c r="Q36" i="53"/>
  <c r="R29" i="53"/>
  <c r="T28" i="53"/>
  <c r="Q20" i="53"/>
  <c r="S13" i="53"/>
  <c r="T123" i="53"/>
  <c r="S37" i="53"/>
  <c r="S29" i="53"/>
  <c r="AS120" i="53"/>
  <c r="V120" i="53"/>
  <c r="S110" i="53"/>
  <c r="T101" i="53"/>
  <c r="AT95" i="53"/>
  <c r="R95" i="53"/>
  <c r="R84" i="53"/>
  <c r="R77" i="53"/>
  <c r="S76" i="53"/>
  <c r="R69" i="53"/>
  <c r="S60" i="53"/>
  <c r="AL52" i="53"/>
  <c r="S52" i="53"/>
  <c r="W50" i="53"/>
  <c r="S28" i="53"/>
  <c r="AG23" i="53"/>
  <c r="AQ18" i="53"/>
  <c r="AM13" i="53"/>
  <c r="R13" i="53"/>
  <c r="R12" i="53"/>
  <c r="AC9" i="53"/>
  <c r="AH85" i="53"/>
  <c r="AQ84" i="53"/>
  <c r="AH74" i="53"/>
  <c r="AT71" i="53"/>
  <c r="AS62" i="53"/>
  <c r="AT21" i="53"/>
  <c r="W12" i="53"/>
  <c r="Z124" i="53"/>
  <c r="AM116" i="53"/>
  <c r="AC109" i="53"/>
  <c r="AL96" i="53"/>
  <c r="V95" i="53"/>
  <c r="AS88" i="53"/>
  <c r="Z61" i="53"/>
  <c r="Z46" i="53"/>
  <c r="AC45" i="53"/>
  <c r="S40" i="53"/>
  <c r="AC19" i="53"/>
  <c r="Z112" i="53"/>
  <c r="AL31" i="53"/>
  <c r="X119" i="53"/>
  <c r="AL118" i="53"/>
  <c r="AN71" i="53"/>
  <c r="AH29" i="53"/>
  <c r="AE13" i="53"/>
  <c r="AC96" i="53"/>
  <c r="AD84" i="53"/>
  <c r="AN67" i="53"/>
  <c r="AP61" i="53"/>
  <c r="AC50" i="53"/>
  <c r="AS48" i="53"/>
  <c r="AN41" i="53"/>
  <c r="AC13" i="53"/>
  <c r="AN124" i="53"/>
  <c r="AP119" i="53"/>
  <c r="AC106" i="53"/>
  <c r="AL67" i="53"/>
  <c r="AM66" i="53"/>
  <c r="AD62" i="53"/>
  <c r="AQ57" i="53"/>
  <c r="AN20" i="53"/>
  <c r="X16" i="53"/>
  <c r="AQ10" i="53"/>
  <c r="Z9" i="53"/>
  <c r="Z8" i="53"/>
  <c r="AM122" i="53"/>
  <c r="T95" i="53"/>
  <c r="T71" i="53"/>
  <c r="T63" i="53"/>
  <c r="AH61" i="53"/>
  <c r="AI47" i="53"/>
  <c r="S47" i="53"/>
  <c r="Q39" i="53"/>
  <c r="S23" i="53"/>
  <c r="AI18" i="53"/>
  <c r="R14" i="53"/>
  <c r="AH13" i="53"/>
  <c r="S7" i="53"/>
  <c r="R6" i="53"/>
  <c r="AP124" i="53"/>
  <c r="AA123" i="53"/>
  <c r="AL122" i="53"/>
  <c r="T121" i="53"/>
  <c r="W118" i="53"/>
  <c r="X116" i="53"/>
  <c r="AC115" i="53"/>
  <c r="AS111" i="53"/>
  <c r="AJ109" i="53"/>
  <c r="AJ104" i="53"/>
  <c r="R102" i="53"/>
  <c r="V101" i="53"/>
  <c r="AS97" i="53"/>
  <c r="S95" i="53"/>
  <c r="Q94" i="53"/>
  <c r="T87" i="53"/>
  <c r="AE86" i="53"/>
  <c r="R78" i="53"/>
  <c r="AH77" i="53"/>
  <c r="AE75" i="53"/>
  <c r="AA73" i="53"/>
  <c r="S71" i="53"/>
  <c r="AS68" i="53"/>
  <c r="S63" i="53"/>
  <c r="AE62" i="53"/>
  <c r="R62" i="53"/>
  <c r="AG61" i="53"/>
  <c r="Q54" i="53"/>
  <c r="AM52" i="53"/>
  <c r="AE50" i="53"/>
  <c r="X49" i="53"/>
  <c r="AA48" i="53"/>
  <c r="AG47" i="53"/>
  <c r="R47" i="53"/>
  <c r="AJ42" i="53"/>
  <c r="W28" i="53"/>
  <c r="AN26" i="53"/>
  <c r="AH25" i="53"/>
  <c r="AI23" i="53"/>
  <c r="R23" i="53"/>
  <c r="AP20" i="53"/>
  <c r="AS16" i="53"/>
  <c r="Q14" i="53"/>
  <c r="AG13" i="53"/>
  <c r="X12" i="53"/>
  <c r="AI8" i="53"/>
  <c r="R7" i="53"/>
  <c r="T55" i="53"/>
  <c r="T15" i="53"/>
  <c r="AT3" i="53"/>
  <c r="Q113" i="53"/>
  <c r="AN105" i="53"/>
  <c r="AT104" i="53"/>
  <c r="S103" i="53"/>
  <c r="V100" i="53"/>
  <c r="Q87" i="53"/>
  <c r="T79" i="53"/>
  <c r="AP77" i="53"/>
  <c r="AS72" i="53"/>
  <c r="T57" i="53"/>
  <c r="S55" i="53"/>
  <c r="AA47" i="53"/>
  <c r="AL41" i="53"/>
  <c r="AM38" i="53"/>
  <c r="T31" i="53"/>
  <c r="S15" i="53"/>
  <c r="T103" i="53"/>
  <c r="V6" i="53"/>
  <c r="AP5" i="53"/>
  <c r="AA4" i="53"/>
  <c r="AP120" i="53"/>
  <c r="T112" i="53"/>
  <c r="AP109" i="53"/>
  <c r="Z109" i="53"/>
  <c r="AM105" i="53"/>
  <c r="R103" i="53"/>
  <c r="X95" i="53"/>
  <c r="AT92" i="53"/>
  <c r="Z89" i="53"/>
  <c r="X87" i="53"/>
  <c r="T86" i="53"/>
  <c r="W83" i="53"/>
  <c r="AC82" i="53"/>
  <c r="S79" i="53"/>
  <c r="AN59" i="53"/>
  <c r="R55" i="53"/>
  <c r="AJ53" i="53"/>
  <c r="T39" i="53"/>
  <c r="AN32" i="53"/>
  <c r="S31" i="53"/>
  <c r="AN22" i="53"/>
  <c r="AI15" i="53"/>
  <c r="R15" i="53"/>
  <c r="W14" i="53"/>
  <c r="AD10" i="53"/>
  <c r="T113" i="53"/>
  <c r="W3" i="53"/>
  <c r="AI119" i="53"/>
  <c r="S112" i="53"/>
  <c r="AQ106" i="53"/>
  <c r="Z104" i="53"/>
  <c r="AJ98" i="53"/>
  <c r="AE96" i="53"/>
  <c r="T94" i="53"/>
  <c r="AE88" i="53"/>
  <c r="W87" i="53"/>
  <c r="S86" i="53"/>
  <c r="R79" i="53"/>
  <c r="AL75" i="53"/>
  <c r="AT74" i="53"/>
  <c r="AH73" i="53"/>
  <c r="AD66" i="53"/>
  <c r="W63" i="53"/>
  <c r="AJ61" i="53"/>
  <c r="AM59" i="53"/>
  <c r="AJ57" i="53"/>
  <c r="AH53" i="53"/>
  <c r="AI51" i="53"/>
  <c r="AI46" i="53"/>
  <c r="R46" i="53"/>
  <c r="AD44" i="53"/>
  <c r="AQ43" i="53"/>
  <c r="S39" i="53"/>
  <c r="AJ38" i="53"/>
  <c r="X34" i="53"/>
  <c r="R31" i="53"/>
  <c r="AD28" i="53"/>
  <c r="AP25" i="53"/>
  <c r="AM22" i="53"/>
  <c r="AQ8" i="53"/>
  <c r="T122" i="53"/>
  <c r="AH119" i="53"/>
  <c r="AT117" i="53"/>
  <c r="AD111" i="53"/>
  <c r="V110" i="53"/>
  <c r="AL109" i="53"/>
  <c r="Z99" i="53"/>
  <c r="AI98" i="53"/>
  <c r="AQ92" i="53"/>
  <c r="AC68" i="53"/>
  <c r="X67" i="53"/>
  <c r="AC66" i="53"/>
  <c r="T62" i="53"/>
  <c r="AH57" i="53"/>
  <c r="AG53" i="53"/>
  <c r="AH51" i="53"/>
  <c r="AJ47" i="53"/>
  <c r="AC44" i="53"/>
  <c r="AC41" i="53"/>
  <c r="AI38" i="53"/>
  <c r="V34" i="53"/>
  <c r="AC33" i="53"/>
  <c r="AQ27" i="53"/>
  <c r="AD19" i="53"/>
  <c r="AD15" i="53"/>
  <c r="S14" i="53"/>
  <c r="AJ13" i="53"/>
  <c r="AP11" i="53"/>
  <c r="AD9" i="53"/>
  <c r="T89" i="53"/>
  <c r="AH3" i="53"/>
  <c r="X126" i="53"/>
  <c r="AH125" i="53"/>
  <c r="S123" i="53"/>
  <c r="W116" i="53"/>
  <c r="T115" i="53"/>
  <c r="AQ111" i="53"/>
  <c r="AA110" i="53"/>
  <c r="Q105" i="53"/>
  <c r="Q104" i="53"/>
  <c r="Q97" i="53"/>
  <c r="AJ89" i="53"/>
  <c r="S89" i="53"/>
  <c r="AT87" i="53"/>
  <c r="T81" i="53"/>
  <c r="AD80" i="53"/>
  <c r="AJ78" i="53"/>
  <c r="AQ73" i="53"/>
  <c r="T65" i="53"/>
  <c r="V63" i="53"/>
  <c r="AI57" i="53"/>
  <c r="AT56" i="53"/>
  <c r="AE55" i="53"/>
  <c r="AD52" i="53"/>
  <c r="AG51" i="53"/>
  <c r="AS50" i="53"/>
  <c r="AG46" i="53"/>
  <c r="AJ40" i="53"/>
  <c r="AT39" i="53"/>
  <c r="AH38" i="53"/>
  <c r="AM32" i="53"/>
  <c r="AD32" i="53"/>
  <c r="AE24" i="53"/>
  <c r="AM18" i="53"/>
  <c r="AH17" i="53"/>
  <c r="AG15" i="53"/>
  <c r="AN12" i="53"/>
  <c r="AN10" i="53"/>
  <c r="AA10" i="53"/>
  <c r="AI3" i="53"/>
  <c r="W126" i="53"/>
  <c r="AM124" i="53"/>
  <c r="AH123" i="53"/>
  <c r="R123" i="53"/>
  <c r="AJ117" i="53"/>
  <c r="AJ116" i="53"/>
  <c r="AD115" i="53"/>
  <c r="S115" i="53"/>
  <c r="AA114" i="53"/>
  <c r="AG113" i="53"/>
  <c r="Z111" i="53"/>
  <c r="AS102" i="53"/>
  <c r="AE92" i="53"/>
  <c r="AT91" i="53"/>
  <c r="R89" i="53"/>
  <c r="AJ81" i="53"/>
  <c r="S81" i="53"/>
  <c r="AL79" i="53"/>
  <c r="AG78" i="53"/>
  <c r="AC72" i="53"/>
  <c r="X71" i="53"/>
  <c r="S65" i="53"/>
  <c r="AI60" i="53"/>
  <c r="AD55" i="53"/>
  <c r="AE54" i="53"/>
  <c r="AQ51" i="53"/>
  <c r="AT49" i="53"/>
  <c r="T48" i="53"/>
  <c r="Z34" i="53"/>
  <c r="AJ31" i="53"/>
  <c r="AS28" i="53"/>
  <c r="X28" i="53"/>
  <c r="Z25" i="53"/>
  <c r="AD24" i="53"/>
  <c r="AT23" i="53"/>
  <c r="AI22" i="53"/>
  <c r="AM21" i="53"/>
  <c r="AP19" i="53"/>
  <c r="AL18" i="53"/>
  <c r="AG17" i="53"/>
  <c r="R16" i="53"/>
  <c r="AM12" i="53"/>
  <c r="R97" i="53"/>
  <c r="AL3" i="53"/>
  <c r="AQ6" i="53"/>
  <c r="R115" i="53"/>
  <c r="AN110" i="53"/>
  <c r="X110" i="53"/>
  <c r="AQ103" i="53"/>
  <c r="Z97" i="53"/>
  <c r="AA85" i="53"/>
  <c r="AI81" i="53"/>
  <c r="Q81" i="53"/>
  <c r="T73" i="53"/>
  <c r="W71" i="53"/>
  <c r="AJ65" i="53"/>
  <c r="AE63" i="53"/>
  <c r="AH60" i="53"/>
  <c r="AD54" i="53"/>
  <c r="AA53" i="53"/>
  <c r="AE51" i="53"/>
  <c r="AQ50" i="53"/>
  <c r="V49" i="53"/>
  <c r="AH48" i="53"/>
  <c r="S48" i="53"/>
  <c r="Q43" i="53"/>
  <c r="T41" i="53"/>
  <c r="AN37" i="53"/>
  <c r="Z36" i="53"/>
  <c r="AQ34" i="53"/>
  <c r="W26" i="53"/>
  <c r="AP24" i="53"/>
  <c r="AA23" i="53"/>
  <c r="X19" i="53"/>
  <c r="Q16" i="53"/>
  <c r="X10" i="53"/>
  <c r="S9" i="53"/>
  <c r="AT7" i="53"/>
  <c r="AN3" i="53"/>
  <c r="X6" i="53"/>
  <c r="AH4" i="53"/>
  <c r="AT124" i="53"/>
  <c r="AT123" i="53"/>
  <c r="AT122" i="53"/>
  <c r="Z120" i="53"/>
  <c r="AE117" i="53"/>
  <c r="AE116" i="53"/>
  <c r="AE113" i="53"/>
  <c r="AD106" i="53"/>
  <c r="AP102" i="53"/>
  <c r="AN96" i="53"/>
  <c r="Z96" i="53"/>
  <c r="Z92" i="53"/>
  <c r="X91" i="53"/>
  <c r="X83" i="53"/>
  <c r="AH81" i="53"/>
  <c r="Q73" i="53"/>
  <c r="AI65" i="53"/>
  <c r="AG60" i="53"/>
  <c r="AN55" i="53"/>
  <c r="AA52" i="53"/>
  <c r="AC51" i="53"/>
  <c r="AS46" i="53"/>
  <c r="AT42" i="53"/>
  <c r="S41" i="53"/>
  <c r="V39" i="53"/>
  <c r="AJ33" i="53"/>
  <c r="AJ32" i="53"/>
  <c r="AC31" i="53"/>
  <c r="AT30" i="53"/>
  <c r="X30" i="53"/>
  <c r="V26" i="53"/>
  <c r="X25" i="53"/>
  <c r="AN19" i="53"/>
  <c r="V19" i="53"/>
  <c r="AT15" i="53"/>
  <c r="Q11" i="53"/>
  <c r="V10" i="53"/>
  <c r="R9" i="53"/>
  <c r="T105" i="53"/>
  <c r="AE124" i="53"/>
  <c r="AD117" i="53"/>
  <c r="AQ116" i="53"/>
  <c r="AA115" i="53"/>
  <c r="T114" i="53"/>
  <c r="W109" i="53"/>
  <c r="AT106" i="53"/>
  <c r="AA98" i="53"/>
  <c r="X97" i="53"/>
  <c r="AA93" i="53"/>
  <c r="AN91" i="53"/>
  <c r="AE90" i="53"/>
  <c r="AE82" i="53"/>
  <c r="AE79" i="53"/>
  <c r="AJ74" i="53"/>
  <c r="AT63" i="53"/>
  <c r="AT60" i="53"/>
  <c r="AM55" i="53"/>
  <c r="X55" i="53"/>
  <c r="X38" i="53"/>
  <c r="AQ36" i="53"/>
  <c r="X36" i="53"/>
  <c r="AH33" i="53"/>
  <c r="AQ32" i="53"/>
  <c r="AI32" i="53"/>
  <c r="W30" i="53"/>
  <c r="W25" i="53"/>
  <c r="AM24" i="53"/>
  <c r="AA24" i="53"/>
  <c r="AH21" i="53"/>
  <c r="Q9" i="53"/>
  <c r="AD124" i="53"/>
  <c r="AQ123" i="53"/>
  <c r="W120" i="53"/>
  <c r="AA119" i="53"/>
  <c r="Z116" i="53"/>
  <c r="S114" i="53"/>
  <c r="V109" i="53"/>
  <c r="V105" i="53"/>
  <c r="AM103" i="53"/>
  <c r="W101" i="53"/>
  <c r="AG100" i="53"/>
  <c r="W97" i="53"/>
  <c r="AD90" i="53"/>
  <c r="AE84" i="53"/>
  <c r="T80" i="53"/>
  <c r="AD79" i="53"/>
  <c r="V78" i="53"/>
  <c r="AG76" i="53"/>
  <c r="AI74" i="53"/>
  <c r="T72" i="53"/>
  <c r="AM70" i="53"/>
  <c r="W55" i="53"/>
  <c r="AE45" i="53"/>
  <c r="AD41" i="53"/>
  <c r="AQ40" i="53"/>
  <c r="W38" i="53"/>
  <c r="V36" i="53"/>
  <c r="AG33" i="53"/>
  <c r="AH32" i="53"/>
  <c r="AL24" i="53"/>
  <c r="X23" i="53"/>
  <c r="AG21" i="53"/>
  <c r="Z16" i="53"/>
  <c r="AE10" i="53"/>
  <c r="AN6" i="53"/>
  <c r="AL6" i="53"/>
  <c r="AC5" i="53"/>
  <c r="AD5" i="53"/>
  <c r="AD3" i="53"/>
  <c r="AE3" i="53"/>
  <c r="AC3" i="53"/>
  <c r="AM95" i="53"/>
  <c r="AN95" i="53"/>
  <c r="AL95" i="53"/>
  <c r="AD121" i="53"/>
  <c r="AC121" i="53"/>
  <c r="Z6" i="53"/>
  <c r="AA6" i="53"/>
  <c r="V5" i="53"/>
  <c r="W5" i="53"/>
  <c r="X5" i="53"/>
  <c r="AN4" i="53"/>
  <c r="AL4" i="53"/>
  <c r="Z105" i="53"/>
  <c r="AA105" i="53"/>
  <c r="V103" i="53"/>
  <c r="W103" i="53"/>
  <c r="X103" i="53"/>
  <c r="AC59" i="53"/>
  <c r="AE59" i="53"/>
  <c r="AD59" i="53"/>
  <c r="AS59" i="53"/>
  <c r="AT59" i="53"/>
  <c r="AI45" i="53"/>
  <c r="AG45" i="53"/>
  <c r="Z5" i="53"/>
  <c r="AJ4" i="53"/>
  <c r="V4" i="53"/>
  <c r="AM126" i="53"/>
  <c r="AL126" i="53"/>
  <c r="AN126" i="53"/>
  <c r="AM119" i="53"/>
  <c r="AL119" i="53"/>
  <c r="X117" i="53"/>
  <c r="V117" i="53"/>
  <c r="AQ113" i="53"/>
  <c r="AP113" i="53"/>
  <c r="AT94" i="53"/>
  <c r="AP85" i="53"/>
  <c r="AQ85" i="53"/>
  <c r="AS75" i="53"/>
  <c r="AT75" i="53"/>
  <c r="AI109" i="53"/>
  <c r="AG109" i="53"/>
  <c r="AQ89" i="53"/>
  <c r="AP89" i="53"/>
  <c r="AA81" i="53"/>
  <c r="Z81" i="53"/>
  <c r="AN5" i="53"/>
  <c r="AM5" i="53"/>
  <c r="AD120" i="53"/>
  <c r="AE120" i="53"/>
  <c r="V112" i="53"/>
  <c r="X112" i="53"/>
  <c r="AD100" i="53"/>
  <c r="AE100" i="53"/>
  <c r="V99" i="53"/>
  <c r="W99" i="53"/>
  <c r="X99" i="53"/>
  <c r="X3" i="53"/>
  <c r="AG3" i="53"/>
  <c r="AP3" i="53"/>
  <c r="AP4" i="53"/>
  <c r="AC126" i="53"/>
  <c r="AE126" i="53"/>
  <c r="AT116" i="53"/>
  <c r="AS116" i="53"/>
  <c r="AS115" i="53"/>
  <c r="AT115" i="53"/>
  <c r="Z108" i="53"/>
  <c r="AA108" i="53"/>
  <c r="AN101" i="53"/>
  <c r="AM101" i="53"/>
  <c r="AL101" i="53"/>
  <c r="AT96" i="53"/>
  <c r="AS96" i="53"/>
  <c r="AQ125" i="53"/>
  <c r="AP125" i="53"/>
  <c r="V122" i="53"/>
  <c r="W122" i="53"/>
  <c r="X122" i="53"/>
  <c r="AE119" i="53"/>
  <c r="AC119" i="53"/>
  <c r="Z118" i="53"/>
  <c r="AA118" i="53"/>
  <c r="AP115" i="53"/>
  <c r="AQ115" i="53"/>
  <c r="W114" i="53"/>
  <c r="X114" i="53"/>
  <c r="AP122" i="53"/>
  <c r="AD122" i="53"/>
  <c r="AG119" i="53"/>
  <c r="AM114" i="53"/>
  <c r="AN114" i="53"/>
  <c r="AL114" i="53"/>
  <c r="AC113" i="53"/>
  <c r="AP105" i="53"/>
  <c r="AQ105" i="53"/>
  <c r="AL99" i="53"/>
  <c r="AM99" i="53"/>
  <c r="AN99" i="53"/>
  <c r="AJ92" i="53"/>
  <c r="AI92" i="53"/>
  <c r="AG92" i="53"/>
  <c r="AM83" i="53"/>
  <c r="AN83" i="53"/>
  <c r="AL83" i="53"/>
  <c r="AS79" i="53"/>
  <c r="AT79" i="53"/>
  <c r="Z77" i="53"/>
  <c r="AA77" i="53"/>
  <c r="Z65" i="53"/>
  <c r="AA65" i="53"/>
  <c r="AC56" i="53"/>
  <c r="AD56" i="53"/>
  <c r="AE56" i="53"/>
  <c r="AN34" i="53"/>
  <c r="AL34" i="53"/>
  <c r="AM34" i="53"/>
  <c r="AQ121" i="53"/>
  <c r="AP121" i="53"/>
  <c r="V121" i="53"/>
  <c r="X121" i="53"/>
  <c r="AM120" i="53"/>
  <c r="AL120" i="53"/>
  <c r="AH118" i="53"/>
  <c r="AJ118" i="53"/>
  <c r="AL112" i="53"/>
  <c r="AN112" i="53"/>
  <c r="AG102" i="53"/>
  <c r="AH102" i="53"/>
  <c r="AI102" i="53"/>
  <c r="AJ102" i="53"/>
  <c r="AN100" i="53"/>
  <c r="AL100" i="53"/>
  <c r="AC91" i="53"/>
  <c r="AE91" i="53"/>
  <c r="AD91" i="53"/>
  <c r="X90" i="53"/>
  <c r="W90" i="53"/>
  <c r="AT86" i="53"/>
  <c r="AS86" i="53"/>
  <c r="AS84" i="53"/>
  <c r="AT84" i="53"/>
  <c r="AD76" i="53"/>
  <c r="AE76" i="53"/>
  <c r="AC76" i="53"/>
  <c r="V75" i="53"/>
  <c r="W75" i="53"/>
  <c r="X75" i="53"/>
  <c r="AL42" i="53"/>
  <c r="AM42" i="53"/>
  <c r="AN42" i="53"/>
  <c r="AJ72" i="53"/>
  <c r="AH72" i="53"/>
  <c r="AI72" i="53"/>
  <c r="AG72" i="53"/>
  <c r="Z68" i="53"/>
  <c r="AA68" i="53"/>
  <c r="AC49" i="53"/>
  <c r="AD49" i="53"/>
  <c r="AE49" i="53"/>
  <c r="AI125" i="53"/>
  <c r="AJ125" i="53"/>
  <c r="AC118" i="53"/>
  <c r="AE118" i="53"/>
  <c r="X113" i="53"/>
  <c r="V113" i="53"/>
  <c r="W113" i="53"/>
  <c r="AE102" i="53"/>
  <c r="AC102" i="53"/>
  <c r="AG95" i="53"/>
  <c r="AI95" i="53"/>
  <c r="AJ94" i="53"/>
  <c r="AG94" i="53"/>
  <c r="AH90" i="53"/>
  <c r="AI90" i="53"/>
  <c r="AJ90" i="53"/>
  <c r="AG90" i="53"/>
  <c r="V124" i="53"/>
  <c r="X124" i="53"/>
  <c r="AI117" i="53"/>
  <c r="AG117" i="53"/>
  <c r="AN113" i="53"/>
  <c r="AL113" i="53"/>
  <c r="AJ106" i="53"/>
  <c r="AI106" i="53"/>
  <c r="AG106" i="53"/>
  <c r="AJ96" i="53"/>
  <c r="AH96" i="53"/>
  <c r="AI96" i="53"/>
  <c r="AG86" i="53"/>
  <c r="AH86" i="53"/>
  <c r="AI86" i="53"/>
  <c r="AJ86" i="53"/>
  <c r="AS80" i="53"/>
  <c r="AT80" i="53"/>
  <c r="AT52" i="53"/>
  <c r="AS52" i="53"/>
  <c r="AS35" i="53"/>
  <c r="AT35" i="53"/>
  <c r="AA33" i="53"/>
  <c r="Z33" i="53"/>
  <c r="AP16" i="53"/>
  <c r="AQ16" i="53"/>
  <c r="AD78" i="53"/>
  <c r="AE78" i="53"/>
  <c r="AQ76" i="53"/>
  <c r="AP76" i="53"/>
  <c r="Z72" i="53"/>
  <c r="AA72" i="53"/>
  <c r="AP53" i="53"/>
  <c r="AQ53" i="53"/>
  <c r="AJ111" i="53"/>
  <c r="AH111" i="53"/>
  <c r="AI111" i="53"/>
  <c r="AI105" i="53"/>
  <c r="AJ105" i="53"/>
  <c r="AG93" i="53"/>
  <c r="AH93" i="53"/>
  <c r="AI93" i="53"/>
  <c r="AJ93" i="53"/>
  <c r="AL87" i="53"/>
  <c r="AM87" i="53"/>
  <c r="AN87" i="53"/>
  <c r="AJ68" i="53"/>
  <c r="AH68" i="53"/>
  <c r="AI68" i="53"/>
  <c r="AJ64" i="53"/>
  <c r="AG64" i="53"/>
  <c r="AH64" i="53"/>
  <c r="AI64" i="53"/>
  <c r="AJ56" i="53"/>
  <c r="AG56" i="53"/>
  <c r="AH56" i="53"/>
  <c r="AI56" i="53"/>
  <c r="AN33" i="53"/>
  <c r="AL33" i="53"/>
  <c r="AM33" i="53"/>
  <c r="V8" i="53"/>
  <c r="W8" i="53"/>
  <c r="X8" i="53"/>
  <c r="AJ123" i="53"/>
  <c r="AG115" i="53"/>
  <c r="AH115" i="53"/>
  <c r="AI115" i="53"/>
  <c r="Z106" i="53"/>
  <c r="AA106" i="53"/>
  <c r="AD104" i="53"/>
  <c r="AE104" i="53"/>
  <c r="AE98" i="53"/>
  <c r="AC98" i="53"/>
  <c r="AD98" i="53"/>
  <c r="AM39" i="53"/>
  <c r="AL39" i="53"/>
  <c r="AP23" i="53"/>
  <c r="AQ23" i="53"/>
  <c r="Z22" i="53"/>
  <c r="AA22" i="53"/>
  <c r="AA13" i="53"/>
  <c r="Z13" i="53"/>
  <c r="AI9" i="53"/>
  <c r="AG9" i="53"/>
  <c r="AH9" i="53"/>
  <c r="AJ9" i="53"/>
  <c r="Z31" i="53"/>
  <c r="AA31" i="53"/>
  <c r="Z20" i="53"/>
  <c r="AA20" i="53"/>
  <c r="AS11" i="53"/>
  <c r="AT11" i="53"/>
  <c r="AA43" i="53"/>
  <c r="Z43" i="53"/>
  <c r="AI34" i="53"/>
  <c r="AH34" i="53"/>
  <c r="AL30" i="53"/>
  <c r="AM30" i="53"/>
  <c r="AN30" i="53"/>
  <c r="AL14" i="53"/>
  <c r="AM14" i="53"/>
  <c r="AN14" i="53"/>
  <c r="AP110" i="53"/>
  <c r="AQ110" i="53"/>
  <c r="AN104" i="53"/>
  <c r="AM104" i="53"/>
  <c r="X86" i="53"/>
  <c r="V86" i="53"/>
  <c r="W86" i="53"/>
  <c r="AT58" i="53"/>
  <c r="AS58" i="53"/>
  <c r="X48" i="53"/>
  <c r="V48" i="53"/>
  <c r="W48" i="53"/>
  <c r="AA35" i="53"/>
  <c r="Z35" i="53"/>
  <c r="AS27" i="53"/>
  <c r="AT27" i="53"/>
  <c r="Z28" i="53"/>
  <c r="AA28" i="53"/>
  <c r="AE21" i="53"/>
  <c r="AD21" i="53"/>
  <c r="AT113" i="53"/>
  <c r="AJ113" i="53"/>
  <c r="Z113" i="53"/>
  <c r="AQ112" i="53"/>
  <c r="AE109" i="53"/>
  <c r="AM108" i="53"/>
  <c r="X108" i="53"/>
  <c r="X105" i="53"/>
  <c r="AG104" i="53"/>
  <c r="W104" i="53"/>
  <c r="AA102" i="53"/>
  <c r="AJ100" i="53"/>
  <c r="AQ98" i="53"/>
  <c r="AE95" i="53"/>
  <c r="AM94" i="53"/>
  <c r="AE94" i="53"/>
  <c r="AD92" i="53"/>
  <c r="W91" i="53"/>
  <c r="AI89" i="53"/>
  <c r="AD86" i="53"/>
  <c r="AJ85" i="53"/>
  <c r="AJ82" i="53"/>
  <c r="AN79" i="53"/>
  <c r="AI78" i="53"/>
  <c r="AI76" i="53"/>
  <c r="AN75" i="53"/>
  <c r="AQ72" i="53"/>
  <c r="AE72" i="53"/>
  <c r="AQ68" i="53"/>
  <c r="AE68" i="53"/>
  <c r="W67" i="53"/>
  <c r="AS65" i="53"/>
  <c r="AH65" i="53"/>
  <c r="AA44" i="53"/>
  <c r="AS41" i="53"/>
  <c r="AT41" i="53"/>
  <c r="AE37" i="53"/>
  <c r="AA32" i="53"/>
  <c r="AI30" i="53"/>
  <c r="AP28" i="53"/>
  <c r="AQ28" i="53"/>
  <c r="AI25" i="53"/>
  <c r="AG25" i="53"/>
  <c r="V22" i="53"/>
  <c r="W22" i="53"/>
  <c r="X22" i="53"/>
  <c r="AA21" i="53"/>
  <c r="Z21" i="53"/>
  <c r="AS17" i="53"/>
  <c r="AT17" i="53"/>
  <c r="AC14" i="53"/>
  <c r="AD14" i="53"/>
  <c r="AE14" i="53"/>
  <c r="AE7" i="53"/>
  <c r="AC7" i="53"/>
  <c r="AD7" i="53"/>
  <c r="Q42" i="53"/>
  <c r="S42" i="53"/>
  <c r="S34" i="53"/>
  <c r="T34" i="53"/>
  <c r="Q18" i="53"/>
  <c r="S18" i="53"/>
  <c r="S10" i="53"/>
  <c r="T10" i="53"/>
  <c r="AH113" i="53"/>
  <c r="AI110" i="53"/>
  <c r="AM109" i="53"/>
  <c r="W108" i="53"/>
  <c r="AP104" i="53"/>
  <c r="V104" i="53"/>
  <c r="AN103" i="53"/>
  <c r="AQ101" i="53"/>
  <c r="AA101" i="53"/>
  <c r="AT100" i="53"/>
  <c r="AH100" i="53"/>
  <c r="W100" i="53"/>
  <c r="AD95" i="53"/>
  <c r="AL94" i="53"/>
  <c r="AH89" i="53"/>
  <c r="AE87" i="53"/>
  <c r="AI85" i="53"/>
  <c r="AT83" i="53"/>
  <c r="AI82" i="53"/>
  <c r="AI80" i="53"/>
  <c r="W78" i="53"/>
  <c r="AH76" i="53"/>
  <c r="AE70" i="53"/>
  <c r="AJ69" i="53"/>
  <c r="AJ66" i="53"/>
  <c r="AD60" i="53"/>
  <c r="AE60" i="53"/>
  <c r="AD46" i="53"/>
  <c r="AC46" i="53"/>
  <c r="AE46" i="53"/>
  <c r="AT45" i="53"/>
  <c r="AQ44" i="53"/>
  <c r="AA41" i="53"/>
  <c r="Z41" i="53"/>
  <c r="AD37" i="53"/>
  <c r="AT33" i="53"/>
  <c r="AM28" i="53"/>
  <c r="AC26" i="53"/>
  <c r="AE26" i="53"/>
  <c r="T22" i="53"/>
  <c r="AH18" i="53"/>
  <c r="AJ18" i="53"/>
  <c r="AP17" i="53"/>
  <c r="AA14" i="53"/>
  <c r="Z12" i="53"/>
  <c r="AA12" i="53"/>
  <c r="S57" i="53"/>
  <c r="Q57" i="53"/>
  <c r="Q49" i="53"/>
  <c r="S49" i="53"/>
  <c r="T49" i="53"/>
  <c r="Q33" i="53"/>
  <c r="S33" i="53"/>
  <c r="T33" i="53"/>
  <c r="R25" i="53"/>
  <c r="Q25" i="53"/>
  <c r="S17" i="53"/>
  <c r="Q17" i="53"/>
  <c r="R17" i="53"/>
  <c r="T17" i="53"/>
  <c r="AI88" i="53"/>
  <c r="AA88" i="53"/>
  <c r="AD87" i="53"/>
  <c r="AI84" i="53"/>
  <c r="AA84" i="53"/>
  <c r="AE83" i="53"/>
  <c r="AH82" i="53"/>
  <c r="W82" i="53"/>
  <c r="AQ81" i="53"/>
  <c r="AH80" i="53"/>
  <c r="X79" i="53"/>
  <c r="AT78" i="53"/>
  <c r="AT76" i="53"/>
  <c r="AE74" i="53"/>
  <c r="AJ73" i="53"/>
  <c r="AE71" i="53"/>
  <c r="AD70" i="53"/>
  <c r="AI69" i="53"/>
  <c r="AI66" i="53"/>
  <c r="AQ65" i="53"/>
  <c r="AT64" i="53"/>
  <c r="AS64" i="53"/>
  <c r="AL63" i="53"/>
  <c r="AM63" i="53"/>
  <c r="AN63" i="53"/>
  <c r="AG58" i="53"/>
  <c r="AH58" i="53"/>
  <c r="AI58" i="53"/>
  <c r="AH54" i="53"/>
  <c r="AP49" i="53"/>
  <c r="AQ49" i="53"/>
  <c r="AT47" i="53"/>
  <c r="AS47" i="53"/>
  <c r="AM43" i="53"/>
  <c r="AN43" i="53"/>
  <c r="V41" i="53"/>
  <c r="W41" i="53"/>
  <c r="X41" i="53"/>
  <c r="AJ30" i="53"/>
  <c r="AG30" i="53"/>
  <c r="AH27" i="53"/>
  <c r="V24" i="53"/>
  <c r="X24" i="53"/>
  <c r="S22" i="53"/>
  <c r="AT19" i="53"/>
  <c r="AC18" i="53"/>
  <c r="AE18" i="53"/>
  <c r="AG16" i="53"/>
  <c r="AI16" i="53"/>
  <c r="AJ16" i="53"/>
  <c r="AM11" i="53"/>
  <c r="AN11" i="53"/>
  <c r="T64" i="53"/>
  <c r="R64" i="53"/>
  <c r="S64" i="53"/>
  <c r="R56" i="53"/>
  <c r="T56" i="53"/>
  <c r="T40" i="53"/>
  <c r="R40" i="53"/>
  <c r="R32" i="53"/>
  <c r="Q32" i="53"/>
  <c r="T32" i="53"/>
  <c r="R24" i="53"/>
  <c r="Q24" i="53"/>
  <c r="Q8" i="53"/>
  <c r="S8" i="53"/>
  <c r="AH88" i="53"/>
  <c r="AH84" i="53"/>
  <c r="AD83" i="53"/>
  <c r="V82" i="53"/>
  <c r="AG80" i="53"/>
  <c r="W79" i="53"/>
  <c r="AM74" i="53"/>
  <c r="AD74" i="53"/>
  <c r="AI73" i="53"/>
  <c r="AD71" i="53"/>
  <c r="AS69" i="53"/>
  <c r="AH69" i="53"/>
  <c r="AT67" i="53"/>
  <c r="AE67" i="53"/>
  <c r="AT66" i="53"/>
  <c r="AH66" i="53"/>
  <c r="AQ64" i="53"/>
  <c r="AE58" i="53"/>
  <c r="T54" i="53"/>
  <c r="AI48" i="53"/>
  <c r="AJ48" i="53"/>
  <c r="AJ43" i="53"/>
  <c r="AG43" i="53"/>
  <c r="AH43" i="53"/>
  <c r="AI43" i="53"/>
  <c r="AG40" i="53"/>
  <c r="AH40" i="53"/>
  <c r="AE39" i="53"/>
  <c r="AD39" i="53"/>
  <c r="AD33" i="53"/>
  <c r="V32" i="53"/>
  <c r="W32" i="53"/>
  <c r="AD31" i="53"/>
  <c r="AT29" i="53"/>
  <c r="Q22" i="53"/>
  <c r="X17" i="53"/>
  <c r="V17" i="53"/>
  <c r="Z15" i="53"/>
  <c r="AP12" i="53"/>
  <c r="AQ12" i="53"/>
  <c r="AP7" i="53"/>
  <c r="W7" i="53"/>
  <c r="V7" i="53"/>
  <c r="AG88" i="53"/>
  <c r="AG84" i="53"/>
  <c r="AS73" i="53"/>
  <c r="AD67" i="53"/>
  <c r="AD58" i="53"/>
  <c r="AI54" i="53"/>
  <c r="AJ54" i="53"/>
  <c r="AI49" i="53"/>
  <c r="AP46" i="53"/>
  <c r="AQ46" i="53"/>
  <c r="V45" i="53"/>
  <c r="X45" i="53"/>
  <c r="AG44" i="53"/>
  <c r="AI44" i="53"/>
  <c r="AD43" i="53"/>
  <c r="AQ42" i="53"/>
  <c r="AP39" i="53"/>
  <c r="AS31" i="53"/>
  <c r="AI27" i="53"/>
  <c r="AJ27" i="53"/>
  <c r="AE23" i="53"/>
  <c r="AC23" i="53"/>
  <c r="AD23" i="53"/>
  <c r="AD20" i="53"/>
  <c r="AE20" i="53"/>
  <c r="AE11" i="53"/>
  <c r="AC11" i="53"/>
  <c r="AD11" i="53"/>
  <c r="S46" i="53"/>
  <c r="T46" i="53"/>
  <c r="R38" i="53"/>
  <c r="S38" i="53"/>
  <c r="T38" i="53"/>
  <c r="Q30" i="53"/>
  <c r="R30" i="53"/>
  <c r="S30" i="53"/>
  <c r="AG62" i="53"/>
  <c r="AH62" i="53"/>
  <c r="AI62" i="53"/>
  <c r="W42" i="53"/>
  <c r="X42" i="53"/>
  <c r="AT40" i="53"/>
  <c r="AS40" i="53"/>
  <c r="Z40" i="53"/>
  <c r="AA40" i="53"/>
  <c r="Z38" i="53"/>
  <c r="AA38" i="53"/>
  <c r="W18" i="53"/>
  <c r="X18" i="53"/>
  <c r="AM15" i="53"/>
  <c r="AL15" i="53"/>
  <c r="AN15" i="53"/>
  <c r="AL8" i="53"/>
  <c r="AN8" i="53"/>
  <c r="AH46" i="53"/>
  <c r="X39" i="53"/>
  <c r="AN31" i="53"/>
  <c r="AH23" i="53"/>
  <c r="AJ21" i="53"/>
  <c r="X14" i="53"/>
  <c r="AA57" i="53"/>
  <c r="AT55" i="53"/>
  <c r="AT44" i="53"/>
  <c r="AM37" i="53"/>
  <c r="AP33" i="53"/>
  <c r="AC15" i="53"/>
  <c r="AD34" i="53"/>
  <c r="S19" i="53"/>
  <c r="S116" i="53"/>
  <c r="R108" i="53"/>
  <c r="T100" i="53"/>
  <c r="T77" i="53"/>
  <c r="T67" i="53"/>
  <c r="Q51" i="53"/>
  <c r="T44" i="53"/>
  <c r="T29" i="53"/>
  <c r="T21" i="53"/>
  <c r="R19" i="53"/>
  <c r="T13" i="53"/>
  <c r="T8" i="53"/>
  <c r="R116" i="53"/>
  <c r="Q108" i="53"/>
  <c r="S67" i="53"/>
  <c r="T59" i="53"/>
  <c r="Q19" i="53"/>
  <c r="T75" i="53"/>
  <c r="R67" i="53"/>
  <c r="S59" i="53"/>
  <c r="T35" i="53"/>
  <c r="T27" i="53"/>
  <c r="T126" i="53"/>
  <c r="T124" i="53"/>
  <c r="S122" i="53"/>
  <c r="S121" i="53"/>
  <c r="R117" i="53"/>
  <c r="R114" i="53"/>
  <c r="S113" i="53"/>
  <c r="R110" i="53"/>
  <c r="S109" i="53"/>
  <c r="S105" i="53"/>
  <c r="T104" i="53"/>
  <c r="R101" i="53"/>
  <c r="T99" i="53"/>
  <c r="T97" i="53"/>
  <c r="R96" i="53"/>
  <c r="R93" i="53"/>
  <c r="T88" i="53"/>
  <c r="R85" i="53"/>
  <c r="R80" i="53"/>
  <c r="S75" i="53"/>
  <c r="S73" i="53"/>
  <c r="R72" i="53"/>
  <c r="R65" i="53"/>
  <c r="S61" i="53"/>
  <c r="R59" i="53"/>
  <c r="S56" i="53"/>
  <c r="R52" i="53"/>
  <c r="R48" i="53"/>
  <c r="R41" i="53"/>
  <c r="R37" i="53"/>
  <c r="T36" i="53"/>
  <c r="S35" i="53"/>
  <c r="R33" i="53"/>
  <c r="S32" i="53"/>
  <c r="S27" i="53"/>
  <c r="S25" i="53"/>
  <c r="S24" i="53"/>
  <c r="S20" i="53"/>
  <c r="T16" i="53"/>
  <c r="T12" i="53"/>
  <c r="S124" i="53"/>
  <c r="S99" i="53"/>
  <c r="T91" i="53"/>
  <c r="T83" i="53"/>
  <c r="R75" i="53"/>
  <c r="T43" i="53"/>
  <c r="R35" i="53"/>
  <c r="R27" i="53"/>
  <c r="T11" i="53"/>
  <c r="R124" i="53"/>
  <c r="R99" i="53"/>
  <c r="S91" i="53"/>
  <c r="S83" i="53"/>
  <c r="T51" i="53"/>
  <c r="S43" i="53"/>
  <c r="S11" i="53"/>
  <c r="AE123" i="53"/>
  <c r="AC123" i="53"/>
  <c r="AH114" i="53"/>
  <c r="AG114" i="53"/>
  <c r="V93" i="53"/>
  <c r="W93" i="53"/>
  <c r="X93" i="53"/>
  <c r="X52" i="53"/>
  <c r="V52" i="53"/>
  <c r="W52" i="53"/>
  <c r="AL47" i="53"/>
  <c r="AN47" i="53"/>
  <c r="AM47" i="53"/>
  <c r="AA7" i="53"/>
  <c r="Z7" i="53"/>
  <c r="AC125" i="53"/>
  <c r="AE125" i="53"/>
  <c r="AP114" i="53"/>
  <c r="AQ114" i="53"/>
  <c r="AC110" i="53"/>
  <c r="AD110" i="53"/>
  <c r="AE110" i="53"/>
  <c r="AM102" i="53"/>
  <c r="AN102" i="53"/>
  <c r="AL102" i="53"/>
  <c r="AQ97" i="53"/>
  <c r="AP97" i="53"/>
  <c r="AS105" i="53"/>
  <c r="AT105" i="53"/>
  <c r="V96" i="53"/>
  <c r="W96" i="53"/>
  <c r="X96" i="53"/>
  <c r="AN86" i="53"/>
  <c r="AL86" i="53"/>
  <c r="AM86" i="53"/>
  <c r="V85" i="53"/>
  <c r="W85" i="53"/>
  <c r="X85" i="53"/>
  <c r="Z56" i="53"/>
  <c r="AA56" i="53"/>
  <c r="Z125" i="53"/>
  <c r="AM123" i="53"/>
  <c r="AL123" i="53"/>
  <c r="AG122" i="53"/>
  <c r="AI122" i="53"/>
  <c r="AJ122" i="53"/>
  <c r="AN120" i="53"/>
  <c r="AA117" i="53"/>
  <c r="Z117" i="53"/>
  <c r="AC105" i="53"/>
  <c r="AD105" i="53"/>
  <c r="AE105" i="53"/>
  <c r="X98" i="53"/>
  <c r="V98" i="53"/>
  <c r="W98" i="53"/>
  <c r="AS114" i="53"/>
  <c r="AT114" i="53"/>
  <c r="AC103" i="53"/>
  <c r="AD103" i="53"/>
  <c r="Z45" i="53"/>
  <c r="AA45" i="53"/>
  <c r="V33" i="53"/>
  <c r="W33" i="53"/>
  <c r="X33" i="53"/>
  <c r="AL125" i="53"/>
  <c r="AN125" i="53"/>
  <c r="AE122" i="53"/>
  <c r="Z121" i="53"/>
  <c r="W117" i="53"/>
  <c r="AG116" i="53"/>
  <c r="AH116" i="53"/>
  <c r="W111" i="53"/>
  <c r="X111" i="53"/>
  <c r="AG99" i="53"/>
  <c r="AH99" i="53"/>
  <c r="AI99" i="53"/>
  <c r="AJ99" i="53"/>
  <c r="AG124" i="53"/>
  <c r="AH124" i="53"/>
  <c r="AJ124" i="53"/>
  <c r="W123" i="53"/>
  <c r="V123" i="53"/>
  <c r="X123" i="53"/>
  <c r="AA100" i="53"/>
  <c r="Z100" i="53"/>
  <c r="AS99" i="53"/>
  <c r="AT99" i="53"/>
  <c r="AI126" i="53"/>
  <c r="AT125" i="53"/>
  <c r="V125" i="53"/>
  <c r="W125" i="53"/>
  <c r="W124" i="53"/>
  <c r="AJ121" i="53"/>
  <c r="AT118" i="53"/>
  <c r="AS112" i="53"/>
  <c r="AT112" i="53"/>
  <c r="AG112" i="53"/>
  <c r="AH112" i="53"/>
  <c r="AI112" i="53"/>
  <c r="W102" i="53"/>
  <c r="X102" i="53"/>
  <c r="V102" i="53"/>
  <c r="AP94" i="53"/>
  <c r="AQ94" i="53"/>
  <c r="Z122" i="53"/>
  <c r="AA122" i="53"/>
  <c r="AH121" i="53"/>
  <c r="AS119" i="53"/>
  <c r="AP117" i="53"/>
  <c r="AJ114" i="53"/>
  <c r="AC112" i="53"/>
  <c r="AD112" i="53"/>
  <c r="AE112" i="53"/>
  <c r="AQ126" i="53"/>
  <c r="AH126" i="53"/>
  <c r="AJ126" i="53"/>
  <c r="AD123" i="53"/>
  <c r="AS121" i="53"/>
  <c r="AG121" i="53"/>
  <c r="AP118" i="53"/>
  <c r="AQ118" i="53"/>
  <c r="AI114" i="53"/>
  <c r="AM106" i="53"/>
  <c r="AN106" i="53"/>
  <c r="AL106" i="53"/>
  <c r="AE103" i="53"/>
  <c r="AT126" i="53"/>
  <c r="AN121" i="53"/>
  <c r="AE121" i="53"/>
  <c r="AJ120" i="53"/>
  <c r="V119" i="53"/>
  <c r="AI118" i="53"/>
  <c r="AM117" i="53"/>
  <c r="AC116" i="53"/>
  <c r="W115" i="53"/>
  <c r="X115" i="53"/>
  <c r="AS108" i="53"/>
  <c r="AT108" i="53"/>
  <c r="AG108" i="53"/>
  <c r="AH108" i="53"/>
  <c r="AI108" i="53"/>
  <c r="W106" i="53"/>
  <c r="X106" i="53"/>
  <c r="AJ101" i="53"/>
  <c r="AL97" i="53"/>
  <c r="AM97" i="53"/>
  <c r="AN97" i="53"/>
  <c r="Z95" i="53"/>
  <c r="AA95" i="53"/>
  <c r="AI120" i="53"/>
  <c r="AN119" i="53"/>
  <c r="AD119" i="53"/>
  <c r="AN116" i="53"/>
  <c r="AC114" i="53"/>
  <c r="AD114" i="53"/>
  <c r="AM111" i="53"/>
  <c r="AN111" i="53"/>
  <c r="AS101" i="53"/>
  <c r="AT101" i="53"/>
  <c r="AP100" i="53"/>
  <c r="AC99" i="53"/>
  <c r="AD99" i="53"/>
  <c r="AP96" i="53"/>
  <c r="AQ96" i="53"/>
  <c r="Z94" i="53"/>
  <c r="AA94" i="53"/>
  <c r="Z76" i="53"/>
  <c r="AA76" i="53"/>
  <c r="AP75" i="53"/>
  <c r="AQ75" i="53"/>
  <c r="Z64" i="53"/>
  <c r="AA64" i="53"/>
  <c r="AS110" i="53"/>
  <c r="AT110" i="53"/>
  <c r="AC108" i="53"/>
  <c r="AD108" i="53"/>
  <c r="AG101" i="53"/>
  <c r="AH101" i="53"/>
  <c r="AH97" i="53"/>
  <c r="AI97" i="53"/>
  <c r="AJ97" i="53"/>
  <c r="X94" i="53"/>
  <c r="V94" i="53"/>
  <c r="W94" i="53"/>
  <c r="Z87" i="53"/>
  <c r="AA87" i="53"/>
  <c r="AM115" i="53"/>
  <c r="AN115" i="53"/>
  <c r="AG110" i="53"/>
  <c r="AH110" i="53"/>
  <c r="AS103" i="53"/>
  <c r="AT103" i="53"/>
  <c r="AG103" i="53"/>
  <c r="AH103" i="53"/>
  <c r="AI103" i="53"/>
  <c r="AC101" i="53"/>
  <c r="AD101" i="53"/>
  <c r="AE101" i="53"/>
  <c r="AM98" i="53"/>
  <c r="AN98" i="53"/>
  <c r="AD97" i="53"/>
  <c r="AC97" i="53"/>
  <c r="AE97" i="53"/>
  <c r="AN90" i="53"/>
  <c r="AL90" i="53"/>
  <c r="AM90" i="53"/>
  <c r="V89" i="53"/>
  <c r="W89" i="53"/>
  <c r="X89" i="53"/>
  <c r="AD65" i="53"/>
  <c r="AE65" i="53"/>
  <c r="AC65" i="53"/>
  <c r="AN78" i="53"/>
  <c r="AL78" i="53"/>
  <c r="AM78" i="53"/>
  <c r="AG105" i="53"/>
  <c r="AH105" i="53"/>
  <c r="AP95" i="53"/>
  <c r="AQ95" i="53"/>
  <c r="Z91" i="53"/>
  <c r="AA91" i="53"/>
  <c r="Z83" i="53"/>
  <c r="AA83" i="53"/>
  <c r="AG96" i="53"/>
  <c r="AS89" i="53"/>
  <c r="AS85" i="53"/>
  <c r="AS81" i="53"/>
  <c r="V81" i="53"/>
  <c r="W81" i="53"/>
  <c r="X81" i="53"/>
  <c r="AQ80" i="53"/>
  <c r="Z79" i="53"/>
  <c r="AA79" i="53"/>
  <c r="AL74" i="53"/>
  <c r="AL73" i="53"/>
  <c r="AM73" i="53"/>
  <c r="AN73" i="53"/>
  <c r="AP71" i="53"/>
  <c r="AQ71" i="53"/>
  <c r="AL70" i="53"/>
  <c r="AL69" i="53"/>
  <c r="AM69" i="53"/>
  <c r="AN69" i="53"/>
  <c r="AP67" i="53"/>
  <c r="AQ67" i="53"/>
  <c r="AL66" i="53"/>
  <c r="AL65" i="53"/>
  <c r="AM65" i="53"/>
  <c r="AN65" i="53"/>
  <c r="AP63" i="53"/>
  <c r="AQ63" i="53"/>
  <c r="AP60" i="53"/>
  <c r="AQ60" i="53"/>
  <c r="AL58" i="53"/>
  <c r="AM58" i="53"/>
  <c r="AN58" i="53"/>
  <c r="V54" i="53"/>
  <c r="W54" i="53"/>
  <c r="X54" i="53"/>
  <c r="W35" i="53"/>
  <c r="X35" i="53"/>
  <c r="V35" i="53"/>
  <c r="AH95" i="53"/>
  <c r="AJ95" i="53"/>
  <c r="AS77" i="53"/>
  <c r="V77" i="53"/>
  <c r="W77" i="53"/>
  <c r="X77" i="53"/>
  <c r="AM62" i="53"/>
  <c r="AN62" i="53"/>
  <c r="AG36" i="53"/>
  <c r="AH36" i="53"/>
  <c r="AI36" i="53"/>
  <c r="AJ36" i="53"/>
  <c r="Z75" i="53"/>
  <c r="AA75" i="53"/>
  <c r="V73" i="53"/>
  <c r="W73" i="53"/>
  <c r="X73" i="53"/>
  <c r="Z71" i="53"/>
  <c r="AA71" i="53"/>
  <c r="V69" i="53"/>
  <c r="W69" i="53"/>
  <c r="X69" i="53"/>
  <c r="Z67" i="53"/>
  <c r="AA67" i="53"/>
  <c r="Z60" i="53"/>
  <c r="AA60" i="53"/>
  <c r="AC48" i="53"/>
  <c r="AD48" i="53"/>
  <c r="AE48" i="53"/>
  <c r="AD93" i="53"/>
  <c r="AE93" i="53"/>
  <c r="AH91" i="53"/>
  <c r="AI91" i="53"/>
  <c r="AJ91" i="53"/>
  <c r="AD89" i="53"/>
  <c r="AE89" i="53"/>
  <c r="AH87" i="53"/>
  <c r="AI87" i="53"/>
  <c r="AJ87" i="53"/>
  <c r="AD85" i="53"/>
  <c r="AE85" i="53"/>
  <c r="AH83" i="53"/>
  <c r="AI83" i="53"/>
  <c r="AJ83" i="53"/>
  <c r="V65" i="53"/>
  <c r="W65" i="53"/>
  <c r="X65" i="53"/>
  <c r="Z63" i="53"/>
  <c r="AA63" i="53"/>
  <c r="V58" i="53"/>
  <c r="W58" i="53"/>
  <c r="X58" i="53"/>
  <c r="V51" i="53"/>
  <c r="X51" i="53"/>
  <c r="W51" i="53"/>
  <c r="AL93" i="53"/>
  <c r="AM93" i="53"/>
  <c r="AN93" i="53"/>
  <c r="AM82" i="53"/>
  <c r="AD81" i="53"/>
  <c r="AE81" i="53"/>
  <c r="AA80" i="53"/>
  <c r="AH79" i="53"/>
  <c r="AI79" i="53"/>
  <c r="AJ79" i="53"/>
  <c r="W74" i="53"/>
  <c r="W70" i="53"/>
  <c r="W66" i="53"/>
  <c r="Z42" i="53"/>
  <c r="AA42" i="53"/>
  <c r="AS38" i="53"/>
  <c r="AT38" i="53"/>
  <c r="AP91" i="53"/>
  <c r="AQ91" i="53"/>
  <c r="AL89" i="53"/>
  <c r="AM89" i="53"/>
  <c r="AN89" i="53"/>
  <c r="AP87" i="53"/>
  <c r="AQ87" i="53"/>
  <c r="AL85" i="53"/>
  <c r="AM85" i="53"/>
  <c r="AN85" i="53"/>
  <c r="AP83" i="53"/>
  <c r="AQ83" i="53"/>
  <c r="AL82" i="53"/>
  <c r="AL81" i="53"/>
  <c r="AM81" i="53"/>
  <c r="AN81" i="53"/>
  <c r="AD77" i="53"/>
  <c r="AE77" i="53"/>
  <c r="AH75" i="53"/>
  <c r="AI75" i="53"/>
  <c r="AJ75" i="53"/>
  <c r="V74" i="53"/>
  <c r="V70" i="53"/>
  <c r="V66" i="53"/>
  <c r="W62" i="53"/>
  <c r="X62" i="53"/>
  <c r="AP56" i="53"/>
  <c r="AQ56" i="53"/>
  <c r="AL54" i="53"/>
  <c r="AM54" i="53"/>
  <c r="AN54" i="53"/>
  <c r="AD47" i="53"/>
  <c r="AC47" i="53"/>
  <c r="AE47" i="53"/>
  <c r="AP79" i="53"/>
  <c r="AQ79" i="53"/>
  <c r="AL77" i="53"/>
  <c r="AM77" i="53"/>
  <c r="AN77" i="53"/>
  <c r="AD73" i="53"/>
  <c r="AE73" i="53"/>
  <c r="AH71" i="53"/>
  <c r="AI71" i="53"/>
  <c r="AJ71" i="53"/>
  <c r="AD69" i="53"/>
  <c r="AE69" i="53"/>
  <c r="AH67" i="53"/>
  <c r="AI67" i="53"/>
  <c r="AJ67" i="53"/>
  <c r="AH63" i="53"/>
  <c r="AI63" i="53"/>
  <c r="AJ63" i="53"/>
  <c r="AJ50" i="53"/>
  <c r="AG50" i="53"/>
  <c r="AH50" i="53"/>
  <c r="AI50" i="53"/>
  <c r="AN92" i="53"/>
  <c r="X92" i="53"/>
  <c r="AN88" i="53"/>
  <c r="X88" i="53"/>
  <c r="AN84" i="53"/>
  <c r="X84" i="53"/>
  <c r="AN80" i="53"/>
  <c r="X80" i="53"/>
  <c r="AN76" i="53"/>
  <c r="X76" i="53"/>
  <c r="AN72" i="53"/>
  <c r="X72" i="53"/>
  <c r="AN68" i="53"/>
  <c r="X68" i="53"/>
  <c r="AN64" i="53"/>
  <c r="X64" i="53"/>
  <c r="AN60" i="53"/>
  <c r="X60" i="53"/>
  <c r="AN56" i="53"/>
  <c r="X56" i="53"/>
  <c r="AH49" i="53"/>
  <c r="AJ49" i="53"/>
  <c r="W44" i="53"/>
  <c r="X44" i="53"/>
  <c r="AI41" i="53"/>
  <c r="AG41" i="53"/>
  <c r="AH41" i="53"/>
  <c r="AJ41" i="53"/>
  <c r="AQ38" i="53"/>
  <c r="AS36" i="53"/>
  <c r="AT36" i="53"/>
  <c r="AM35" i="53"/>
  <c r="AL35" i="53"/>
  <c r="AQ13" i="53"/>
  <c r="AP13" i="53"/>
  <c r="AM7" i="53"/>
  <c r="AL7" i="53"/>
  <c r="AN7" i="53"/>
  <c r="AM92" i="53"/>
  <c r="W92" i="53"/>
  <c r="AQ90" i="53"/>
  <c r="AA90" i="53"/>
  <c r="AM88" i="53"/>
  <c r="W88" i="53"/>
  <c r="AQ86" i="53"/>
  <c r="AA86" i="53"/>
  <c r="AM84" i="53"/>
  <c r="W84" i="53"/>
  <c r="AQ82" i="53"/>
  <c r="AA82" i="53"/>
  <c r="AM80" i="53"/>
  <c r="W80" i="53"/>
  <c r="AQ78" i="53"/>
  <c r="AA78" i="53"/>
  <c r="AM76" i="53"/>
  <c r="W76" i="53"/>
  <c r="AQ74" i="53"/>
  <c r="AA74" i="53"/>
  <c r="AM72" i="53"/>
  <c r="W72" i="53"/>
  <c r="AQ70" i="53"/>
  <c r="AA70" i="53"/>
  <c r="AM68" i="53"/>
  <c r="W68" i="53"/>
  <c r="AQ66" i="53"/>
  <c r="AA66" i="53"/>
  <c r="AM64" i="53"/>
  <c r="W64" i="53"/>
  <c r="AQ62" i="53"/>
  <c r="AA62" i="53"/>
  <c r="AM60" i="53"/>
  <c r="W60" i="53"/>
  <c r="AQ58" i="53"/>
  <c r="AA58" i="53"/>
  <c r="AM56" i="53"/>
  <c r="W56" i="53"/>
  <c r="AQ54" i="53"/>
  <c r="AA54" i="53"/>
  <c r="AN50" i="53"/>
  <c r="AH45" i="53"/>
  <c r="AJ45" i="53"/>
  <c r="AC40" i="53"/>
  <c r="AD40" i="53"/>
  <c r="AE40" i="53"/>
  <c r="AG35" i="53"/>
  <c r="AH35" i="53"/>
  <c r="AI35" i="53"/>
  <c r="AJ35" i="53"/>
  <c r="AL29" i="53"/>
  <c r="AM29" i="53"/>
  <c r="AN29" i="53"/>
  <c r="AN61" i="53"/>
  <c r="X61" i="53"/>
  <c r="AJ59" i="53"/>
  <c r="AN57" i="53"/>
  <c r="X57" i="53"/>
  <c r="AJ55" i="53"/>
  <c r="AN53" i="53"/>
  <c r="X53" i="53"/>
  <c r="AL51" i="53"/>
  <c r="AN51" i="53"/>
  <c r="AM50" i="53"/>
  <c r="AN49" i="53"/>
  <c r="AQ48" i="53"/>
  <c r="V46" i="53"/>
  <c r="X46" i="53"/>
  <c r="AQ45" i="53"/>
  <c r="AP30" i="53"/>
  <c r="AQ30" i="53"/>
  <c r="AA17" i="53"/>
  <c r="Z17" i="53"/>
  <c r="AG12" i="53"/>
  <c r="AH12" i="53"/>
  <c r="AI12" i="53"/>
  <c r="AJ12" i="53"/>
  <c r="AM61" i="53"/>
  <c r="AE61" i="53"/>
  <c r="W61" i="53"/>
  <c r="AQ59" i="53"/>
  <c r="AI59" i="53"/>
  <c r="AA59" i="53"/>
  <c r="AM57" i="53"/>
  <c r="AE57" i="53"/>
  <c r="W57" i="53"/>
  <c r="AQ55" i="53"/>
  <c r="AI55" i="53"/>
  <c r="AA55" i="53"/>
  <c r="AM53" i="53"/>
  <c r="AE53" i="53"/>
  <c r="W53" i="53"/>
  <c r="AJ52" i="53"/>
  <c r="AA51" i="53"/>
  <c r="AA50" i="53"/>
  <c r="AM49" i="53"/>
  <c r="AQ47" i="53"/>
  <c r="V47" i="53"/>
  <c r="X47" i="53"/>
  <c r="AQ41" i="53"/>
  <c r="AP41" i="53"/>
  <c r="AH39" i="53"/>
  <c r="AI39" i="53"/>
  <c r="AJ39" i="53"/>
  <c r="W37" i="53"/>
  <c r="X37" i="53"/>
  <c r="AE35" i="53"/>
  <c r="AC35" i="53"/>
  <c r="AG28" i="53"/>
  <c r="AH28" i="53"/>
  <c r="AI28" i="53"/>
  <c r="AJ28" i="53"/>
  <c r="AG26" i="53"/>
  <c r="AH26" i="53"/>
  <c r="AI26" i="53"/>
  <c r="AJ26" i="53"/>
  <c r="AT61" i="53"/>
  <c r="AD61" i="53"/>
  <c r="AH59" i="53"/>
  <c r="AT57" i="53"/>
  <c r="AD57" i="53"/>
  <c r="AH55" i="53"/>
  <c r="AT53" i="53"/>
  <c r="AD53" i="53"/>
  <c r="AI52" i="53"/>
  <c r="AS51" i="53"/>
  <c r="AM48" i="53"/>
  <c r="AN45" i="53"/>
  <c r="AM44" i="53"/>
  <c r="W43" i="53"/>
  <c r="V43" i="53"/>
  <c r="AL40" i="53"/>
  <c r="AM40" i="53"/>
  <c r="AN40" i="53"/>
  <c r="AC29" i="53"/>
  <c r="AD29" i="53"/>
  <c r="AE29" i="53"/>
  <c r="AE27" i="53"/>
  <c r="AC27" i="53"/>
  <c r="AD27" i="53"/>
  <c r="AQ52" i="53"/>
  <c r="AG52" i="53"/>
  <c r="AA49" i="53"/>
  <c r="AL48" i="53"/>
  <c r="AM45" i="53"/>
  <c r="AL44" i="53"/>
  <c r="AS43" i="53"/>
  <c r="AT43" i="53"/>
  <c r="AC42" i="53"/>
  <c r="AD42" i="53"/>
  <c r="AE42" i="53"/>
  <c r="AJ19" i="53"/>
  <c r="AG19" i="53"/>
  <c r="AH19" i="53"/>
  <c r="AI19" i="53"/>
  <c r="AL46" i="53"/>
  <c r="AN46" i="53"/>
  <c r="AP35" i="53"/>
  <c r="AQ35" i="53"/>
  <c r="AJ34" i="53"/>
  <c r="AG34" i="53"/>
  <c r="AM27" i="53"/>
  <c r="AL27" i="53"/>
  <c r="AN27" i="53"/>
  <c r="X13" i="53"/>
  <c r="V13" i="53"/>
  <c r="W13" i="53"/>
  <c r="AQ9" i="53"/>
  <c r="AP9" i="53"/>
  <c r="AJ44" i="53"/>
  <c r="AI42" i="53"/>
  <c r="X32" i="53"/>
  <c r="AJ29" i="53"/>
  <c r="Z29" i="53"/>
  <c r="AN28" i="53"/>
  <c r="AE28" i="53"/>
  <c r="AT22" i="53"/>
  <c r="AJ22" i="53"/>
  <c r="AM20" i="53"/>
  <c r="AJ8" i="53"/>
  <c r="AC12" i="53"/>
  <c r="AD12" i="53"/>
  <c r="AM9" i="53"/>
  <c r="AN9" i="53"/>
  <c r="AS8" i="53"/>
  <c r="AT8" i="53"/>
  <c r="AH44" i="53"/>
  <c r="AL43" i="53"/>
  <c r="AC43" i="53"/>
  <c r="X40" i="53"/>
  <c r="AJ37" i="53"/>
  <c r="Z37" i="53"/>
  <c r="AN36" i="53"/>
  <c r="AE36" i="53"/>
  <c r="AI31" i="53"/>
  <c r="AD30" i="53"/>
  <c r="AP29" i="53"/>
  <c r="AG29" i="53"/>
  <c r="X29" i="53"/>
  <c r="AT26" i="53"/>
  <c r="V23" i="53"/>
  <c r="AQ22" i="53"/>
  <c r="AG22" i="53"/>
  <c r="AS20" i="53"/>
  <c r="AJ20" i="53"/>
  <c r="AL19" i="53"/>
  <c r="AD18" i="53"/>
  <c r="AE17" i="53"/>
  <c r="W16" i="53"/>
  <c r="AH15" i="53"/>
  <c r="AT14" i="53"/>
  <c r="AJ14" i="53"/>
  <c r="AL11" i="53"/>
  <c r="Z11" i="53"/>
  <c r="AH8" i="53"/>
  <c r="AI7" i="53"/>
  <c r="AJ7" i="53"/>
  <c r="W40" i="53"/>
  <c r="AA39" i="53"/>
  <c r="AE38" i="53"/>
  <c r="AH37" i="53"/>
  <c r="AM36" i="53"/>
  <c r="AD36" i="53"/>
  <c r="AT32" i="53"/>
  <c r="AQ31" i="53"/>
  <c r="AH31" i="53"/>
  <c r="W29" i="53"/>
  <c r="X27" i="53"/>
  <c r="AA26" i="53"/>
  <c r="AN25" i="53"/>
  <c r="AE25" i="53"/>
  <c r="AJ24" i="53"/>
  <c r="W21" i="53"/>
  <c r="AI20" i="53"/>
  <c r="AA19" i="53"/>
  <c r="AM17" i="53"/>
  <c r="AD17" i="53"/>
  <c r="AE16" i="53"/>
  <c r="AQ15" i="53"/>
  <c r="X15" i="53"/>
  <c r="AI14" i="53"/>
  <c r="AT13" i="53"/>
  <c r="AJ10" i="53"/>
  <c r="AT9" i="53"/>
  <c r="AD38" i="53"/>
  <c r="AP37" i="53"/>
  <c r="AG37" i="53"/>
  <c r="AT34" i="53"/>
  <c r="X31" i="53"/>
  <c r="AA30" i="53"/>
  <c r="V27" i="53"/>
  <c r="AQ26" i="53"/>
  <c r="AM25" i="53"/>
  <c r="AD25" i="53"/>
  <c r="AI24" i="53"/>
  <c r="AN23" i="53"/>
  <c r="AE22" i="53"/>
  <c r="AP21" i="53"/>
  <c r="V21" i="53"/>
  <c r="AH20" i="53"/>
  <c r="X20" i="53"/>
  <c r="AA18" i="53"/>
  <c r="AL17" i="53"/>
  <c r="AN16" i="53"/>
  <c r="AC16" i="53"/>
  <c r="V15" i="53"/>
  <c r="AQ14" i="53"/>
  <c r="AG14" i="53"/>
  <c r="AS12" i="53"/>
  <c r="AH11" i="53"/>
  <c r="X11" i="53"/>
  <c r="W9" i="53"/>
  <c r="X9" i="53"/>
  <c r="V31" i="53"/>
  <c r="AH24" i="53"/>
  <c r="AL23" i="53"/>
  <c r="AD22" i="53"/>
  <c r="W20" i="53"/>
  <c r="AT18" i="53"/>
  <c r="AM16" i="53"/>
  <c r="V11" i="53"/>
  <c r="AG10" i="53"/>
  <c r="AH10" i="53"/>
  <c r="AC8" i="53"/>
  <c r="AD8" i="53"/>
  <c r="AI11" i="53"/>
  <c r="AJ11" i="53"/>
  <c r="AJ6" i="53"/>
  <c r="AH5" i="53"/>
  <c r="AI6" i="53"/>
  <c r="AG5" i="53"/>
  <c r="AE4" i="53"/>
  <c r="AH6" i="53"/>
  <c r="AT4" i="53"/>
  <c r="AD4" i="53"/>
  <c r="AE5" i="53"/>
  <c r="AE6" i="53"/>
  <c r="AI4" i="53"/>
  <c r="AJ5" i="53"/>
  <c r="M176" i="53" l="1"/>
  <c r="P176" i="53" s="1"/>
  <c r="Y176" i="53" l="1"/>
  <c r="AK176" i="53"/>
  <c r="AB176" i="53"/>
  <c r="AO176" i="53"/>
  <c r="U176" i="53"/>
  <c r="AR176" i="53"/>
  <c r="AF176" i="53"/>
  <c r="AI176" i="53" l="1"/>
  <c r="AJ176" i="53"/>
  <c r="AG176" i="53"/>
  <c r="AH176" i="53"/>
  <c r="AS176" i="53"/>
  <c r="AT176" i="53"/>
  <c r="V176" i="53"/>
  <c r="W176" i="53"/>
  <c r="X176" i="53"/>
  <c r="AQ176" i="53"/>
  <c r="AP176" i="53"/>
  <c r="AC176" i="53"/>
  <c r="AE176" i="53"/>
  <c r="AD176" i="53"/>
  <c r="AL176" i="53"/>
  <c r="AM176" i="53"/>
  <c r="AN176" i="53"/>
  <c r="Z176" i="53"/>
  <c r="AA176" i="53"/>
  <c r="Q176" i="53"/>
  <c r="R176" i="53"/>
  <c r="S176" i="53"/>
  <c r="T176" i="53"/>
  <c r="M1088" i="53" l="1"/>
  <c r="M1095" i="53"/>
  <c r="M1094" i="53"/>
  <c r="M1093" i="53"/>
  <c r="M1092" i="53"/>
  <c r="M1091" i="53"/>
  <c r="M1090" i="53"/>
  <c r="J1089" i="53"/>
  <c r="J175" i="53"/>
  <c r="M175" i="53" s="1"/>
  <c r="P175" i="53" s="1"/>
  <c r="J174" i="53"/>
  <c r="M174" i="53" s="1"/>
  <c r="P174" i="53" s="1"/>
  <c r="J173" i="53"/>
  <c r="M173" i="53" s="1"/>
  <c r="P173" i="53" s="1"/>
  <c r="J172" i="53"/>
  <c r="M172" i="53" s="1"/>
  <c r="P172" i="53" s="1"/>
  <c r="J171" i="53"/>
  <c r="M171" i="53" s="1"/>
  <c r="P171" i="53" s="1"/>
  <c r="J170" i="53"/>
  <c r="M170" i="53" s="1"/>
  <c r="P170" i="53" s="1"/>
  <c r="M169" i="53"/>
  <c r="P169" i="53" s="1"/>
  <c r="J168" i="53"/>
  <c r="M168" i="53" s="1"/>
  <c r="P168" i="53" s="1"/>
  <c r="J167" i="53"/>
  <c r="M167" i="53" s="1"/>
  <c r="P167" i="53" s="1"/>
  <c r="J166" i="53"/>
  <c r="M166" i="53" s="1"/>
  <c r="P166" i="53" s="1"/>
  <c r="J165" i="53"/>
  <c r="M165" i="53" s="1"/>
  <c r="P165" i="53" s="1"/>
  <c r="J164" i="53"/>
  <c r="M164" i="53" s="1"/>
  <c r="P164" i="53" s="1"/>
  <c r="J163" i="53"/>
  <c r="M163" i="53" s="1"/>
  <c r="P163" i="53" s="1"/>
  <c r="M162" i="53"/>
  <c r="P162" i="53" s="1"/>
  <c r="J161" i="53"/>
  <c r="M161" i="53" s="1"/>
  <c r="P161" i="53" s="1"/>
  <c r="J160" i="53"/>
  <c r="M160" i="53" s="1"/>
  <c r="P160" i="53" s="1"/>
  <c r="J159" i="53"/>
  <c r="M159" i="53" s="1"/>
  <c r="P159" i="53" s="1"/>
  <c r="M158" i="53"/>
  <c r="P158" i="53" s="1"/>
  <c r="J157" i="53"/>
  <c r="M157" i="53" s="1"/>
  <c r="P157" i="53" s="1"/>
  <c r="J156" i="53"/>
  <c r="M156" i="53" s="1"/>
  <c r="P156" i="53" s="1"/>
  <c r="J155" i="53"/>
  <c r="M155" i="53" s="1"/>
  <c r="P155" i="53" s="1"/>
  <c r="J154" i="53"/>
  <c r="M154" i="53" s="1"/>
  <c r="P154" i="53" s="1"/>
  <c r="J153" i="53"/>
  <c r="M153" i="53" s="1"/>
  <c r="P153" i="53" s="1"/>
  <c r="J152" i="53"/>
  <c r="M152" i="53" s="1"/>
  <c r="P152" i="53" s="1"/>
  <c r="J151" i="53"/>
  <c r="M151" i="53" s="1"/>
  <c r="P151" i="53" s="1"/>
  <c r="J150" i="53"/>
  <c r="M150" i="53" s="1"/>
  <c r="P150" i="53" s="1"/>
  <c r="J149" i="53"/>
  <c r="M149" i="53" s="1"/>
  <c r="P149" i="53" s="1"/>
  <c r="J148" i="53"/>
  <c r="M148" i="53" s="1"/>
  <c r="P148" i="53" s="1"/>
  <c r="J147" i="53"/>
  <c r="M147" i="53" s="1"/>
  <c r="P147" i="53" s="1"/>
  <c r="J146" i="53"/>
  <c r="M146" i="53" s="1"/>
  <c r="P146" i="53" s="1"/>
  <c r="J145" i="53"/>
  <c r="M145" i="53" s="1"/>
  <c r="P145" i="53" s="1"/>
  <c r="J144" i="53"/>
  <c r="M144" i="53" s="1"/>
  <c r="P144" i="53" s="1"/>
  <c r="J143" i="53"/>
  <c r="M143" i="53" s="1"/>
  <c r="P143" i="53" s="1"/>
  <c r="J142" i="53"/>
  <c r="M142" i="53" s="1"/>
  <c r="P142" i="53" s="1"/>
  <c r="J141" i="53"/>
  <c r="M141" i="53" s="1"/>
  <c r="P141" i="53" s="1"/>
  <c r="J140" i="53"/>
  <c r="M140" i="53" s="1"/>
  <c r="P140" i="53" s="1"/>
  <c r="J139" i="53"/>
  <c r="M139" i="53" s="1"/>
  <c r="P139" i="53" s="1"/>
  <c r="J138" i="53"/>
  <c r="M138" i="53" s="1"/>
  <c r="P138" i="53" s="1"/>
  <c r="J137" i="53"/>
  <c r="M137" i="53" s="1"/>
  <c r="P137" i="53" s="1"/>
  <c r="J136" i="53"/>
  <c r="M136" i="53" s="1"/>
  <c r="P136" i="53" s="1"/>
  <c r="J135" i="53"/>
  <c r="M135" i="53" s="1"/>
  <c r="P135" i="53" s="1"/>
  <c r="J134" i="53"/>
  <c r="M134" i="53" s="1"/>
  <c r="P134" i="53" s="1"/>
  <c r="J133" i="53"/>
  <c r="M133" i="53" s="1"/>
  <c r="P133" i="53" s="1"/>
  <c r="J132" i="53"/>
  <c r="M132" i="53" s="1"/>
  <c r="P132" i="53" s="1"/>
  <c r="J131" i="53"/>
  <c r="M131" i="53" s="1"/>
  <c r="P131" i="53" s="1"/>
  <c r="J130" i="53"/>
  <c r="M130" i="53" s="1"/>
  <c r="P130" i="53" s="1"/>
  <c r="J129" i="53"/>
  <c r="M129" i="53" s="1"/>
  <c r="P129" i="53" s="1"/>
  <c r="J128" i="53"/>
  <c r="M128" i="53" s="1"/>
  <c r="P128" i="53" s="1"/>
  <c r="J127" i="53"/>
  <c r="J785" i="53" l="1"/>
  <c r="M127" i="53"/>
  <c r="M785" i="53" s="1"/>
  <c r="M1089" i="53"/>
  <c r="I177" i="12" s="1"/>
  <c r="Y137" i="53"/>
  <c r="AF137" i="53"/>
  <c r="U137" i="53"/>
  <c r="AK137" i="53"/>
  <c r="AR137" i="53"/>
  <c r="AO137" i="53"/>
  <c r="AB137" i="53"/>
  <c r="U153" i="53"/>
  <c r="AR153" i="53"/>
  <c r="Y153" i="53"/>
  <c r="AK153" i="53"/>
  <c r="AF153" i="53"/>
  <c r="AB153" i="53"/>
  <c r="AO153" i="53"/>
  <c r="AB161" i="53"/>
  <c r="AR161" i="53"/>
  <c r="AF161" i="53"/>
  <c r="U161" i="53"/>
  <c r="Y161" i="53"/>
  <c r="AK161" i="53"/>
  <c r="AO161" i="53"/>
  <c r="AK169" i="53"/>
  <c r="U169" i="53"/>
  <c r="AF169" i="53"/>
  <c r="Y169" i="53"/>
  <c r="AO169" i="53"/>
  <c r="AR169" i="53"/>
  <c r="AB169" i="53"/>
  <c r="AF154" i="53"/>
  <c r="U154" i="53"/>
  <c r="Y154" i="53"/>
  <c r="AB154" i="53"/>
  <c r="AK154" i="53"/>
  <c r="AO154" i="53"/>
  <c r="AR154" i="53"/>
  <c r="AR130" i="53"/>
  <c r="U130" i="53"/>
  <c r="AF130" i="53"/>
  <c r="AK130" i="53"/>
  <c r="AO130" i="53"/>
  <c r="Y130" i="53"/>
  <c r="AB130" i="53"/>
  <c r="U147" i="53"/>
  <c r="AB147" i="53"/>
  <c r="AO147" i="53"/>
  <c r="AR147" i="53"/>
  <c r="Y147" i="53"/>
  <c r="AF147" i="53"/>
  <c r="AK147" i="53"/>
  <c r="AF163" i="53"/>
  <c r="U163" i="53"/>
  <c r="AK163" i="53"/>
  <c r="AO163" i="53"/>
  <c r="AB163" i="53"/>
  <c r="AR163" i="53"/>
  <c r="Y163" i="53"/>
  <c r="AB171" i="53"/>
  <c r="U171" i="53"/>
  <c r="Y171" i="53"/>
  <c r="AK171" i="53"/>
  <c r="AR171" i="53"/>
  <c r="AF171" i="53"/>
  <c r="AO171" i="53"/>
  <c r="U146" i="53"/>
  <c r="Y146" i="53"/>
  <c r="AR146" i="53"/>
  <c r="AF146" i="53"/>
  <c r="AK146" i="53"/>
  <c r="AB146" i="53"/>
  <c r="AO146" i="53"/>
  <c r="Y139" i="53"/>
  <c r="AO139" i="53"/>
  <c r="AF139" i="53"/>
  <c r="AR139" i="53"/>
  <c r="U139" i="53"/>
  <c r="AB139" i="53"/>
  <c r="AK139" i="53"/>
  <c r="U156" i="53"/>
  <c r="AR156" i="53"/>
  <c r="AK156" i="53"/>
  <c r="AO156" i="53"/>
  <c r="Y156" i="53"/>
  <c r="AF156" i="53"/>
  <c r="AB156" i="53"/>
  <c r="AB164" i="53"/>
  <c r="AO164" i="53"/>
  <c r="U164" i="53"/>
  <c r="AK164" i="53"/>
  <c r="Y164" i="53"/>
  <c r="AR164" i="53"/>
  <c r="AF164" i="53"/>
  <c r="AF172" i="53"/>
  <c r="AK172" i="53"/>
  <c r="U172" i="53"/>
  <c r="AR172" i="53"/>
  <c r="Y172" i="53"/>
  <c r="AO172" i="53"/>
  <c r="AB172" i="53"/>
  <c r="AF170" i="53"/>
  <c r="AR170" i="53"/>
  <c r="Y170" i="53"/>
  <c r="AK170" i="53"/>
  <c r="AB170" i="53"/>
  <c r="U170" i="53"/>
  <c r="AO170" i="53"/>
  <c r="U140" i="53"/>
  <c r="AF140" i="53"/>
  <c r="AO140" i="53"/>
  <c r="Y140" i="53"/>
  <c r="AR140" i="53"/>
  <c r="AB140" i="53"/>
  <c r="AK140" i="53"/>
  <c r="AB141" i="53"/>
  <c r="AO141" i="53"/>
  <c r="U141" i="53"/>
  <c r="AF141" i="53"/>
  <c r="Y141" i="53"/>
  <c r="AK141" i="53"/>
  <c r="AR141" i="53"/>
  <c r="U149" i="53"/>
  <c r="AR149" i="53"/>
  <c r="Y149" i="53"/>
  <c r="AK149" i="53"/>
  <c r="AF149" i="53"/>
  <c r="AO149" i="53"/>
  <c r="AB149" i="53"/>
  <c r="AF157" i="53"/>
  <c r="U157" i="53"/>
  <c r="AK157" i="53"/>
  <c r="Y157" i="53"/>
  <c r="AO157" i="53"/>
  <c r="AR157" i="53"/>
  <c r="AB157" i="53"/>
  <c r="U165" i="53"/>
  <c r="AK165" i="53"/>
  <c r="AB165" i="53"/>
  <c r="Y165" i="53"/>
  <c r="AO165" i="53"/>
  <c r="AR165" i="53"/>
  <c r="AF165" i="53"/>
  <c r="AK173" i="53"/>
  <c r="AF173" i="53"/>
  <c r="U173" i="53"/>
  <c r="Y173" i="53"/>
  <c r="AO173" i="53"/>
  <c r="AR173" i="53"/>
  <c r="AB173" i="53"/>
  <c r="AF129" i="53"/>
  <c r="AO129" i="53"/>
  <c r="AB129" i="53"/>
  <c r="AK129" i="53"/>
  <c r="AR129" i="53"/>
  <c r="U129" i="53"/>
  <c r="Y129" i="53"/>
  <c r="AF162" i="53"/>
  <c r="AR162" i="53"/>
  <c r="Y162" i="53"/>
  <c r="AK162" i="53"/>
  <c r="U162" i="53"/>
  <c r="AO162" i="53"/>
  <c r="AB162" i="53"/>
  <c r="Y148" i="53"/>
  <c r="AO148" i="53"/>
  <c r="AB148" i="53"/>
  <c r="AF148" i="53"/>
  <c r="U148" i="53"/>
  <c r="AK148" i="53"/>
  <c r="AR148" i="53"/>
  <c r="AK133" i="53"/>
  <c r="Y133" i="53"/>
  <c r="AO133" i="53"/>
  <c r="AB133" i="53"/>
  <c r="AR133" i="53"/>
  <c r="U133" i="53"/>
  <c r="AF133" i="53"/>
  <c r="AB134" i="53"/>
  <c r="AR134" i="53"/>
  <c r="AK134" i="53"/>
  <c r="U134" i="53"/>
  <c r="AO134" i="53"/>
  <c r="Y134" i="53"/>
  <c r="AF134" i="53"/>
  <c r="U142" i="53"/>
  <c r="Y142" i="53"/>
  <c r="AK142" i="53"/>
  <c r="AR142" i="53"/>
  <c r="AB142" i="53"/>
  <c r="AF142" i="53"/>
  <c r="AO142" i="53"/>
  <c r="AB150" i="53"/>
  <c r="AF150" i="53"/>
  <c r="AR150" i="53"/>
  <c r="U150" i="53"/>
  <c r="AK150" i="53"/>
  <c r="AO150" i="53"/>
  <c r="Y150" i="53"/>
  <c r="Y158" i="53"/>
  <c r="AO158" i="53"/>
  <c r="U158" i="53"/>
  <c r="AF158" i="53"/>
  <c r="AK158" i="53"/>
  <c r="AR158" i="53"/>
  <c r="AB158" i="53"/>
  <c r="AB166" i="53"/>
  <c r="U166" i="53"/>
  <c r="AO166" i="53"/>
  <c r="AF166" i="53"/>
  <c r="AR166" i="53"/>
  <c r="Y166" i="53"/>
  <c r="AK166" i="53"/>
  <c r="AF174" i="53"/>
  <c r="AR174" i="53"/>
  <c r="Y174" i="53"/>
  <c r="AK174" i="53"/>
  <c r="AB174" i="53"/>
  <c r="U174" i="53"/>
  <c r="AO174" i="53"/>
  <c r="AB145" i="53"/>
  <c r="AR145" i="53"/>
  <c r="AK145" i="53"/>
  <c r="U145" i="53"/>
  <c r="AO145" i="53"/>
  <c r="Y145" i="53"/>
  <c r="AF145" i="53"/>
  <c r="U155" i="53"/>
  <c r="Y155" i="53"/>
  <c r="AK155" i="53"/>
  <c r="AR155" i="53"/>
  <c r="AF155" i="53"/>
  <c r="AB155" i="53"/>
  <c r="AO155" i="53"/>
  <c r="AK135" i="53"/>
  <c r="AF135" i="53"/>
  <c r="Y135" i="53"/>
  <c r="AO135" i="53"/>
  <c r="AR135" i="53"/>
  <c r="AB135" i="53"/>
  <c r="U135" i="53"/>
  <c r="Y143" i="53"/>
  <c r="AO143" i="53"/>
  <c r="AR143" i="53"/>
  <c r="AF143" i="53"/>
  <c r="AB143" i="53"/>
  <c r="AK143" i="53"/>
  <c r="U143" i="53"/>
  <c r="AB151" i="53"/>
  <c r="AF151" i="53"/>
  <c r="U151" i="53"/>
  <c r="AK151" i="53"/>
  <c r="AO151" i="53"/>
  <c r="AR151" i="53"/>
  <c r="Y151" i="53"/>
  <c r="U159" i="53"/>
  <c r="Y159" i="53"/>
  <c r="AK159" i="53"/>
  <c r="AB159" i="53"/>
  <c r="AF159" i="53"/>
  <c r="AO159" i="53"/>
  <c r="AR159" i="53"/>
  <c r="AB167" i="53"/>
  <c r="U167" i="53"/>
  <c r="Y167" i="53"/>
  <c r="AK167" i="53"/>
  <c r="AO167" i="53"/>
  <c r="AR167" i="53"/>
  <c r="AF167" i="53"/>
  <c r="Y175" i="53"/>
  <c r="AK175" i="53"/>
  <c r="AB175" i="53"/>
  <c r="AO175" i="53"/>
  <c r="AF175" i="53"/>
  <c r="AR175" i="53"/>
  <c r="U175" i="53"/>
  <c r="AB138" i="53"/>
  <c r="AO138" i="53"/>
  <c r="U138" i="53"/>
  <c r="AR138" i="53"/>
  <c r="AF138" i="53"/>
  <c r="Y138" i="53"/>
  <c r="AK138" i="53"/>
  <c r="U131" i="53"/>
  <c r="AK131" i="53"/>
  <c r="Y131" i="53"/>
  <c r="AR131" i="53"/>
  <c r="AB131" i="53"/>
  <c r="AO131" i="53"/>
  <c r="AF131" i="53"/>
  <c r="AB132" i="53"/>
  <c r="U132" i="53"/>
  <c r="AF132" i="53"/>
  <c r="AK132" i="53"/>
  <c r="AO132" i="53"/>
  <c r="Y132" i="53"/>
  <c r="AR132" i="53"/>
  <c r="Y128" i="53"/>
  <c r="AO128" i="53"/>
  <c r="AR128" i="53"/>
  <c r="AB128" i="53"/>
  <c r="AF128" i="53"/>
  <c r="AK128" i="53"/>
  <c r="U128" i="53"/>
  <c r="AK136" i="53"/>
  <c r="Y136" i="53"/>
  <c r="AB136" i="53"/>
  <c r="AF136" i="53"/>
  <c r="AO136" i="53"/>
  <c r="AR136" i="53"/>
  <c r="U136" i="53"/>
  <c r="AB144" i="53"/>
  <c r="AF144" i="53"/>
  <c r="AK144" i="53"/>
  <c r="U144" i="53"/>
  <c r="AO144" i="53"/>
  <c r="AR144" i="53"/>
  <c r="Y144" i="53"/>
  <c r="Y152" i="53"/>
  <c r="AK152" i="53"/>
  <c r="AO152" i="53"/>
  <c r="AR152" i="53"/>
  <c r="AB152" i="53"/>
  <c r="AF152" i="53"/>
  <c r="U152" i="53"/>
  <c r="AF160" i="53"/>
  <c r="Y160" i="53"/>
  <c r="AB160" i="53"/>
  <c r="AK160" i="53"/>
  <c r="AO160" i="53"/>
  <c r="U160" i="53"/>
  <c r="AR160" i="53"/>
  <c r="AF168" i="53"/>
  <c r="U168" i="53"/>
  <c r="AR168" i="53"/>
  <c r="Y168" i="53"/>
  <c r="AK168" i="53"/>
  <c r="AB168" i="53"/>
  <c r="AO168" i="53"/>
  <c r="P127" i="53" l="1"/>
  <c r="P785" i="53" s="1"/>
  <c r="P177" i="12"/>
  <c r="AB127" i="53"/>
  <c r="AD127" i="53" s="1"/>
  <c r="Y127" i="53"/>
  <c r="Z127" i="53" s="1"/>
  <c r="AK127" i="53"/>
  <c r="AN127" i="53" s="1"/>
  <c r="U127" i="53"/>
  <c r="U785" i="53" s="1"/>
  <c r="AR127" i="53"/>
  <c r="AR785" i="53" s="1"/>
  <c r="AO127" i="53"/>
  <c r="AO785" i="53" s="1"/>
  <c r="AF127" i="53"/>
  <c r="AF785" i="53" s="1"/>
  <c r="AP168" i="53"/>
  <c r="AQ168" i="53"/>
  <c r="AS160" i="53"/>
  <c r="AT160" i="53"/>
  <c r="V152" i="53"/>
  <c r="X152" i="53"/>
  <c r="W152" i="53"/>
  <c r="Z144" i="53"/>
  <c r="AA144" i="53"/>
  <c r="W136" i="53"/>
  <c r="V136" i="53"/>
  <c r="X136" i="53"/>
  <c r="W128" i="53"/>
  <c r="V128" i="53"/>
  <c r="X128" i="53"/>
  <c r="AS132" i="53"/>
  <c r="AT132" i="53"/>
  <c r="AG131" i="53"/>
  <c r="AJ131" i="53"/>
  <c r="AH131" i="53"/>
  <c r="AI131" i="53"/>
  <c r="AL138" i="53"/>
  <c r="AM138" i="53"/>
  <c r="AN138" i="53"/>
  <c r="V175" i="53"/>
  <c r="W175" i="53"/>
  <c r="X175" i="53"/>
  <c r="AG167" i="53"/>
  <c r="AH167" i="53"/>
  <c r="AI167" i="53"/>
  <c r="AJ167" i="53"/>
  <c r="AT159" i="53"/>
  <c r="AS159" i="53"/>
  <c r="Z151" i="53"/>
  <c r="AA151" i="53"/>
  <c r="W143" i="53"/>
  <c r="V143" i="53"/>
  <c r="X143" i="53"/>
  <c r="W135" i="53"/>
  <c r="V135" i="53"/>
  <c r="X135" i="53"/>
  <c r="AP155" i="53"/>
  <c r="AQ155" i="53"/>
  <c r="AH145" i="53"/>
  <c r="AI145" i="53"/>
  <c r="AJ145" i="53"/>
  <c r="AG145" i="53"/>
  <c r="AP174" i="53"/>
  <c r="AQ174" i="53"/>
  <c r="AM166" i="53"/>
  <c r="AN166" i="53"/>
  <c r="AL166" i="53"/>
  <c r="AC158" i="53"/>
  <c r="AD158" i="53"/>
  <c r="AE158" i="53"/>
  <c r="Z150" i="53"/>
  <c r="AA150" i="53"/>
  <c r="AQ142" i="53"/>
  <c r="AP142" i="53"/>
  <c r="AI134" i="53"/>
  <c r="AH134" i="53"/>
  <c r="AJ134" i="53"/>
  <c r="AG134" i="53"/>
  <c r="AH133" i="53"/>
  <c r="AG133" i="53"/>
  <c r="AI133" i="53"/>
  <c r="AJ133" i="53"/>
  <c r="AS148" i="53"/>
  <c r="AT148" i="53"/>
  <c r="AE162" i="53"/>
  <c r="AC162" i="53"/>
  <c r="AD162" i="53"/>
  <c r="AA129" i="53"/>
  <c r="Z129" i="53"/>
  <c r="AC173" i="53"/>
  <c r="AD173" i="53"/>
  <c r="AE173" i="53"/>
  <c r="AH165" i="53"/>
  <c r="AG165" i="53"/>
  <c r="AJ165" i="53"/>
  <c r="AI165" i="53"/>
  <c r="AE157" i="53"/>
  <c r="AC157" i="53"/>
  <c r="AD157" i="53"/>
  <c r="AE149" i="53"/>
  <c r="AC149" i="53"/>
  <c r="AD149" i="53"/>
  <c r="AS141" i="53"/>
  <c r="AT141" i="53"/>
  <c r="AM140" i="53"/>
  <c r="AN140" i="53"/>
  <c r="AL140" i="53"/>
  <c r="AP170" i="53"/>
  <c r="AQ170" i="53"/>
  <c r="AC172" i="53"/>
  <c r="AD172" i="53"/>
  <c r="AE172" i="53"/>
  <c r="AG164" i="53"/>
  <c r="AH164" i="53"/>
  <c r="AI164" i="53"/>
  <c r="AJ164" i="53"/>
  <c r="AC156" i="53"/>
  <c r="AD156" i="53"/>
  <c r="AE156" i="53"/>
  <c r="AM139" i="53"/>
  <c r="AL139" i="53"/>
  <c r="AN139" i="53"/>
  <c r="AQ146" i="53"/>
  <c r="AP146" i="53"/>
  <c r="AP171" i="53"/>
  <c r="AQ171" i="53"/>
  <c r="Z163" i="53"/>
  <c r="AA163" i="53"/>
  <c r="AM147" i="53"/>
  <c r="AL147" i="53"/>
  <c r="AN147" i="53"/>
  <c r="AE130" i="53"/>
  <c r="AC130" i="53"/>
  <c r="AD130" i="53"/>
  <c r="AS154" i="53"/>
  <c r="AT154" i="53"/>
  <c r="AC169" i="53"/>
  <c r="AD169" i="53"/>
  <c r="AE169" i="53"/>
  <c r="AP161" i="53"/>
  <c r="AQ161" i="53"/>
  <c r="AQ153" i="53"/>
  <c r="AP153" i="53"/>
  <c r="AE137" i="53"/>
  <c r="AC137" i="53"/>
  <c r="AD137" i="53"/>
  <c r="AS136" i="53"/>
  <c r="AT136" i="53"/>
  <c r="AA138" i="53"/>
  <c r="Z138" i="53"/>
  <c r="AT175" i="53"/>
  <c r="AS175" i="53"/>
  <c r="AT167" i="53"/>
  <c r="AS167" i="53"/>
  <c r="AP159" i="53"/>
  <c r="AQ159" i="53"/>
  <c r="AS151" i="53"/>
  <c r="AT151" i="53"/>
  <c r="S143" i="53"/>
  <c r="Q143" i="53"/>
  <c r="R143" i="53"/>
  <c r="T143" i="53"/>
  <c r="AD135" i="53"/>
  <c r="AE135" i="53"/>
  <c r="AC135" i="53"/>
  <c r="AD155" i="53"/>
  <c r="AC155" i="53"/>
  <c r="AE155" i="53"/>
  <c r="AA145" i="53"/>
  <c r="Z145" i="53"/>
  <c r="W174" i="53"/>
  <c r="X174" i="53"/>
  <c r="V174" i="53"/>
  <c r="Z166" i="53"/>
  <c r="AA166" i="53"/>
  <c r="AS158" i="53"/>
  <c r="AT158" i="53"/>
  <c r="AQ150" i="53"/>
  <c r="AP150" i="53"/>
  <c r="AI142" i="53"/>
  <c r="AJ142" i="53"/>
  <c r="AH142" i="53"/>
  <c r="AG142" i="53"/>
  <c r="AA134" i="53"/>
  <c r="Z134" i="53"/>
  <c r="V133" i="53"/>
  <c r="W133" i="53"/>
  <c r="X133" i="53"/>
  <c r="AM148" i="53"/>
  <c r="AL148" i="53"/>
  <c r="AN148" i="53"/>
  <c r="AP162" i="53"/>
  <c r="AQ162" i="53"/>
  <c r="V129" i="53"/>
  <c r="W129" i="53"/>
  <c r="X129" i="53"/>
  <c r="AS173" i="53"/>
  <c r="AT173" i="53"/>
  <c r="AS165" i="53"/>
  <c r="AT165" i="53"/>
  <c r="AS157" i="53"/>
  <c r="AT157" i="53"/>
  <c r="AQ149" i="53"/>
  <c r="AP149" i="53"/>
  <c r="AL141" i="53"/>
  <c r="AN141" i="53"/>
  <c r="AM141" i="53"/>
  <c r="AE140" i="53"/>
  <c r="AD140" i="53"/>
  <c r="AC140" i="53"/>
  <c r="W170" i="53"/>
  <c r="X170" i="53"/>
  <c r="V170" i="53"/>
  <c r="AP172" i="53"/>
  <c r="AQ172" i="53"/>
  <c r="AS164" i="53"/>
  <c r="AT164" i="53"/>
  <c r="AH156" i="53"/>
  <c r="AI156" i="53"/>
  <c r="AG156" i="53"/>
  <c r="AJ156" i="53"/>
  <c r="AD139" i="53"/>
  <c r="AE139" i="53"/>
  <c r="AC139" i="53"/>
  <c r="AE146" i="53"/>
  <c r="AC146" i="53"/>
  <c r="AD146" i="53"/>
  <c r="AG171" i="53"/>
  <c r="AH171" i="53"/>
  <c r="AJ171" i="53"/>
  <c r="AI171" i="53"/>
  <c r="AT163" i="53"/>
  <c r="AS163" i="53"/>
  <c r="AJ147" i="53"/>
  <c r="AH147" i="53"/>
  <c r="AI147" i="53"/>
  <c r="AG147" i="53"/>
  <c r="AA130" i="53"/>
  <c r="Z130" i="53"/>
  <c r="AP154" i="53"/>
  <c r="AQ154" i="53"/>
  <c r="AS169" i="53"/>
  <c r="AT169" i="53"/>
  <c r="AL161" i="53"/>
  <c r="AM161" i="53"/>
  <c r="AN161" i="53"/>
  <c r="AC153" i="53"/>
  <c r="AE153" i="53"/>
  <c r="AD153" i="53"/>
  <c r="AQ137" i="53"/>
  <c r="AP137" i="53"/>
  <c r="AI152" i="53"/>
  <c r="AJ152" i="53"/>
  <c r="AG152" i="53"/>
  <c r="AH152" i="53"/>
  <c r="AP144" i="53"/>
  <c r="AQ144" i="53"/>
  <c r="AI138" i="53"/>
  <c r="AH138" i="53"/>
  <c r="AG138" i="53"/>
  <c r="AJ138" i="53"/>
  <c r="AG175" i="53"/>
  <c r="AI175" i="53"/>
  <c r="AH175" i="53"/>
  <c r="AJ175" i="53"/>
  <c r="AP167" i="53"/>
  <c r="AQ167" i="53"/>
  <c r="AG159" i="53"/>
  <c r="AH159" i="53"/>
  <c r="AJ159" i="53"/>
  <c r="AI159" i="53"/>
  <c r="AP151" i="53"/>
  <c r="AQ151" i="53"/>
  <c r="AM143" i="53"/>
  <c r="AL143" i="53"/>
  <c r="AN143" i="53"/>
  <c r="AS135" i="53"/>
  <c r="AT135" i="53"/>
  <c r="AJ155" i="53"/>
  <c r="AG155" i="53"/>
  <c r="AH155" i="53"/>
  <c r="AI155" i="53"/>
  <c r="AQ145" i="53"/>
  <c r="AP145" i="53"/>
  <c r="AD174" i="53"/>
  <c r="AC174" i="53"/>
  <c r="AE174" i="53"/>
  <c r="AS166" i="53"/>
  <c r="AT166" i="53"/>
  <c r="AL158" i="53"/>
  <c r="AM158" i="53"/>
  <c r="AN158" i="53"/>
  <c r="AL150" i="53"/>
  <c r="AN150" i="53"/>
  <c r="AM150" i="53"/>
  <c r="AE142" i="53"/>
  <c r="AD142" i="53"/>
  <c r="AC142" i="53"/>
  <c r="AQ134" i="53"/>
  <c r="AP134" i="53"/>
  <c r="AS133" i="53"/>
  <c r="AT133" i="53"/>
  <c r="W148" i="53"/>
  <c r="V148" i="53"/>
  <c r="X148" i="53"/>
  <c r="V162" i="53"/>
  <c r="W162" i="53"/>
  <c r="X162" i="53"/>
  <c r="AS129" i="53"/>
  <c r="AT129" i="53"/>
  <c r="AP173" i="53"/>
  <c r="AQ173" i="53"/>
  <c r="AP165" i="53"/>
  <c r="AQ165" i="53"/>
  <c r="AP157" i="53"/>
  <c r="AQ157" i="53"/>
  <c r="AH149" i="53"/>
  <c r="AG149" i="53"/>
  <c r="AI149" i="53"/>
  <c r="AJ149" i="53"/>
  <c r="AA141" i="53"/>
  <c r="Z141" i="53"/>
  <c r="AS140" i="53"/>
  <c r="AT140" i="53"/>
  <c r="AC170" i="53"/>
  <c r="AD170" i="53"/>
  <c r="AE170" i="53"/>
  <c r="Z172" i="53"/>
  <c r="AA172" i="53"/>
  <c r="Z164" i="53"/>
  <c r="AA164" i="53"/>
  <c r="Z156" i="53"/>
  <c r="AA156" i="53"/>
  <c r="W139" i="53"/>
  <c r="V139" i="53"/>
  <c r="X139" i="53"/>
  <c r="AL146" i="53"/>
  <c r="AM146" i="53"/>
  <c r="AN146" i="53"/>
  <c r="AT171" i="53"/>
  <c r="AS171" i="53"/>
  <c r="AD163" i="53"/>
  <c r="AC163" i="53"/>
  <c r="AE163" i="53"/>
  <c r="Z147" i="53"/>
  <c r="AA147" i="53"/>
  <c r="AQ130" i="53"/>
  <c r="AP130" i="53"/>
  <c r="AL154" i="53"/>
  <c r="AM154" i="53"/>
  <c r="AN154" i="53"/>
  <c r="AP169" i="53"/>
  <c r="AQ169" i="53"/>
  <c r="Z161" i="53"/>
  <c r="AA161" i="53"/>
  <c r="AG153" i="53"/>
  <c r="AH153" i="53"/>
  <c r="AJ153" i="53"/>
  <c r="AI153" i="53"/>
  <c r="AT137" i="53"/>
  <c r="AS137" i="53"/>
  <c r="AP131" i="53"/>
  <c r="AQ131" i="53"/>
  <c r="AP160" i="53"/>
  <c r="AQ160" i="53"/>
  <c r="AI128" i="53"/>
  <c r="AJ128" i="53"/>
  <c r="AG128" i="53"/>
  <c r="AH128" i="53"/>
  <c r="Z168" i="53"/>
  <c r="AA168" i="53"/>
  <c r="AL160" i="53"/>
  <c r="AM160" i="53"/>
  <c r="AN160" i="53"/>
  <c r="AT152" i="53"/>
  <c r="AS152" i="53"/>
  <c r="W144" i="53"/>
  <c r="X144" i="53"/>
  <c r="V144" i="53"/>
  <c r="AI136" i="53"/>
  <c r="AJ136" i="53"/>
  <c r="AG136" i="53"/>
  <c r="AH136" i="53"/>
  <c r="AE128" i="53"/>
  <c r="AC128" i="53"/>
  <c r="AD128" i="53"/>
  <c r="AM132" i="53"/>
  <c r="AN132" i="53"/>
  <c r="AL132" i="53"/>
  <c r="AS131" i="53"/>
  <c r="AT131" i="53"/>
  <c r="AT138" i="53"/>
  <c r="AS138" i="53"/>
  <c r="AP175" i="53"/>
  <c r="AQ175" i="53"/>
  <c r="AL167" i="53"/>
  <c r="AN167" i="53"/>
  <c r="AM167" i="53"/>
  <c r="AD159" i="53"/>
  <c r="AC159" i="53"/>
  <c r="AE159" i="53"/>
  <c r="AL151" i="53"/>
  <c r="AM151" i="53"/>
  <c r="AN151" i="53"/>
  <c r="AD143" i="53"/>
  <c r="AE143" i="53"/>
  <c r="AC143" i="53"/>
  <c r="AP135" i="53"/>
  <c r="AQ135" i="53"/>
  <c r="AT155" i="53"/>
  <c r="AS155" i="53"/>
  <c r="V145" i="53"/>
  <c r="X145" i="53"/>
  <c r="W145" i="53"/>
  <c r="AL174" i="53"/>
  <c r="AM174" i="53"/>
  <c r="AN174" i="53"/>
  <c r="AG166" i="53"/>
  <c r="AI166" i="53"/>
  <c r="AJ166" i="53"/>
  <c r="AH166" i="53"/>
  <c r="AG158" i="53"/>
  <c r="AH158" i="53"/>
  <c r="AJ158" i="53"/>
  <c r="AI158" i="53"/>
  <c r="V150" i="53"/>
  <c r="X150" i="53"/>
  <c r="W150" i="53"/>
  <c r="AS142" i="53"/>
  <c r="AT142" i="53"/>
  <c r="V134" i="53"/>
  <c r="X134" i="53"/>
  <c r="W134" i="53"/>
  <c r="AD133" i="53"/>
  <c r="AC133" i="53"/>
  <c r="AE133" i="53"/>
  <c r="AI148" i="53"/>
  <c r="AJ148" i="53"/>
  <c r="AG148" i="53"/>
  <c r="AH148" i="53"/>
  <c r="AL162" i="53"/>
  <c r="AM162" i="53"/>
  <c r="AN162" i="53"/>
  <c r="AL129" i="53"/>
  <c r="AN129" i="53"/>
  <c r="AM129" i="53"/>
  <c r="Z173" i="53"/>
  <c r="AA173" i="53"/>
  <c r="Z165" i="53"/>
  <c r="AA165" i="53"/>
  <c r="Z157" i="53"/>
  <c r="AA157" i="53"/>
  <c r="AL149" i="53"/>
  <c r="AM149" i="53"/>
  <c r="AN149" i="53"/>
  <c r="AH141" i="53"/>
  <c r="AG141" i="53"/>
  <c r="AI141" i="53"/>
  <c r="AJ141" i="53"/>
  <c r="AA140" i="53"/>
  <c r="Z140" i="53"/>
  <c r="AL170" i="53"/>
  <c r="AM170" i="53"/>
  <c r="AN170" i="53"/>
  <c r="AS172" i="53"/>
  <c r="AT172" i="53"/>
  <c r="AL164" i="53"/>
  <c r="AM164" i="53"/>
  <c r="AN164" i="53"/>
  <c r="AP156" i="53"/>
  <c r="AQ156" i="53"/>
  <c r="AS139" i="53"/>
  <c r="AT139" i="53"/>
  <c r="AI146" i="53"/>
  <c r="AG146" i="53"/>
  <c r="AH146" i="53"/>
  <c r="AJ146" i="53"/>
  <c r="AL171" i="53"/>
  <c r="AN171" i="53"/>
  <c r="AM171" i="53"/>
  <c r="AP163" i="53"/>
  <c r="AQ163" i="53"/>
  <c r="AS147" i="53"/>
  <c r="AT147" i="53"/>
  <c r="AL130" i="53"/>
  <c r="AM130" i="53"/>
  <c r="AN130" i="53"/>
  <c r="AC154" i="53"/>
  <c r="AD154" i="53"/>
  <c r="AE154" i="53"/>
  <c r="Z169" i="53"/>
  <c r="AA169" i="53"/>
  <c r="V161" i="53"/>
  <c r="W161" i="53"/>
  <c r="X161" i="53"/>
  <c r="AL153" i="53"/>
  <c r="AM153" i="53"/>
  <c r="AN153" i="53"/>
  <c r="AM137" i="53"/>
  <c r="AL137" i="53"/>
  <c r="AN137" i="53"/>
  <c r="AS144" i="53"/>
  <c r="AT144" i="53"/>
  <c r="AL168" i="53"/>
  <c r="AM168" i="53"/>
  <c r="AN168" i="53"/>
  <c r="AP132" i="53"/>
  <c r="AQ132" i="53"/>
  <c r="AC160" i="53"/>
  <c r="AD160" i="53"/>
  <c r="AE160" i="53"/>
  <c r="AM144" i="53"/>
  <c r="AN144" i="53"/>
  <c r="AL144" i="53"/>
  <c r="AE136" i="53"/>
  <c r="AD136" i="53"/>
  <c r="AC136" i="53"/>
  <c r="AI132" i="53"/>
  <c r="AJ132" i="53"/>
  <c r="AG132" i="53"/>
  <c r="AH132" i="53"/>
  <c r="Z131" i="53"/>
  <c r="AA131" i="53"/>
  <c r="V138" i="53"/>
  <c r="W138" i="53"/>
  <c r="X138" i="53"/>
  <c r="AD175" i="53"/>
  <c r="AC175" i="53"/>
  <c r="AE175" i="53"/>
  <c r="Z167" i="53"/>
  <c r="AA167" i="53"/>
  <c r="AL159" i="53"/>
  <c r="AM159" i="53"/>
  <c r="AN159" i="53"/>
  <c r="V151" i="53"/>
  <c r="W151" i="53"/>
  <c r="X151" i="53"/>
  <c r="AG143" i="53"/>
  <c r="AJ143" i="53"/>
  <c r="AH143" i="53"/>
  <c r="AI143" i="53"/>
  <c r="AA135" i="53"/>
  <c r="Z135" i="53"/>
  <c r="AL155" i="53"/>
  <c r="AN155" i="53"/>
  <c r="AM155" i="53"/>
  <c r="AL145" i="53"/>
  <c r="AN145" i="53"/>
  <c r="AM145" i="53"/>
  <c r="Z174" i="53"/>
  <c r="AA174" i="53"/>
  <c r="AP166" i="53"/>
  <c r="AQ166" i="53"/>
  <c r="W158" i="53"/>
  <c r="V158" i="53"/>
  <c r="X158" i="53"/>
  <c r="AS150" i="53"/>
  <c r="AT150" i="53"/>
  <c r="AL142" i="53"/>
  <c r="AN142" i="53"/>
  <c r="AM142" i="53"/>
  <c r="AL134" i="53"/>
  <c r="AM134" i="53"/>
  <c r="AN134" i="53"/>
  <c r="AQ133" i="53"/>
  <c r="AP133" i="53"/>
  <c r="AE148" i="53"/>
  <c r="AC148" i="53"/>
  <c r="AD148" i="53"/>
  <c r="Z162" i="53"/>
  <c r="AA162" i="53"/>
  <c r="AC129" i="53"/>
  <c r="AE129" i="53"/>
  <c r="AD129" i="53"/>
  <c r="V173" i="53"/>
  <c r="W173" i="53"/>
  <c r="X173" i="53"/>
  <c r="AD165" i="53"/>
  <c r="AC165" i="53"/>
  <c r="AE165" i="53"/>
  <c r="AL157" i="53"/>
  <c r="AN157" i="53"/>
  <c r="AM157" i="53"/>
  <c r="AA149" i="53"/>
  <c r="Z149" i="53"/>
  <c r="V141" i="53"/>
  <c r="X141" i="53"/>
  <c r="W141" i="53"/>
  <c r="AP140" i="53"/>
  <c r="AQ140" i="53"/>
  <c r="Z170" i="53"/>
  <c r="AA170" i="53"/>
  <c r="V172" i="53"/>
  <c r="W172" i="53"/>
  <c r="X172" i="53"/>
  <c r="V164" i="53"/>
  <c r="W164" i="53"/>
  <c r="X164" i="53"/>
  <c r="AL156" i="53"/>
  <c r="AM156" i="53"/>
  <c r="AN156" i="53"/>
  <c r="AI139" i="53"/>
  <c r="AG139" i="53"/>
  <c r="AH139" i="53"/>
  <c r="AJ139" i="53"/>
  <c r="AS146" i="53"/>
  <c r="AT146" i="53"/>
  <c r="Z171" i="53"/>
  <c r="AA171" i="53"/>
  <c r="AL163" i="53"/>
  <c r="AM163" i="53"/>
  <c r="AN163" i="53"/>
  <c r="AP147" i="53"/>
  <c r="AQ147" i="53"/>
  <c r="AI130" i="53"/>
  <c r="AJ130" i="53"/>
  <c r="AH130" i="53"/>
  <c r="AG130" i="53"/>
  <c r="Z154" i="53"/>
  <c r="AA154" i="53"/>
  <c r="AH169" i="53"/>
  <c r="AG169" i="53"/>
  <c r="AJ169" i="53"/>
  <c r="AI169" i="53"/>
  <c r="AH161" i="53"/>
  <c r="AG161" i="53"/>
  <c r="AJ161" i="53"/>
  <c r="AI161" i="53"/>
  <c r="Z153" i="53"/>
  <c r="AA153" i="53"/>
  <c r="V137" i="53"/>
  <c r="X137" i="53"/>
  <c r="W137" i="53"/>
  <c r="AC168" i="53"/>
  <c r="AE168" i="53"/>
  <c r="AD168" i="53"/>
  <c r="AM128" i="53"/>
  <c r="AL128" i="53"/>
  <c r="AN128" i="53"/>
  <c r="AC152" i="53"/>
  <c r="AD152" i="53"/>
  <c r="AE152" i="53"/>
  <c r="AC131" i="53"/>
  <c r="AE131" i="53"/>
  <c r="AD131" i="53"/>
  <c r="AS168" i="53"/>
  <c r="AT168" i="53"/>
  <c r="AP152" i="53"/>
  <c r="AQ152" i="53"/>
  <c r="AS128" i="53"/>
  <c r="AT128" i="53"/>
  <c r="V168" i="53"/>
  <c r="W168" i="53"/>
  <c r="X168" i="53"/>
  <c r="Z160" i="53"/>
  <c r="AA160" i="53"/>
  <c r="AL152" i="53"/>
  <c r="AM152" i="53"/>
  <c r="AN152" i="53"/>
  <c r="AI144" i="53"/>
  <c r="AJ144" i="53"/>
  <c r="AG144" i="53"/>
  <c r="AH144" i="53"/>
  <c r="Z136" i="53"/>
  <c r="AA136" i="53"/>
  <c r="AP128" i="53"/>
  <c r="AQ128" i="53"/>
  <c r="W132" i="53"/>
  <c r="V132" i="53"/>
  <c r="X132" i="53"/>
  <c r="AM131" i="53"/>
  <c r="AL131" i="53"/>
  <c r="AN131" i="53"/>
  <c r="AQ138" i="53"/>
  <c r="AP138" i="53"/>
  <c r="AL175" i="53"/>
  <c r="AM175" i="53"/>
  <c r="AN175" i="53"/>
  <c r="V167" i="53"/>
  <c r="X167" i="53"/>
  <c r="W167" i="53"/>
  <c r="Z159" i="53"/>
  <c r="AA159" i="53"/>
  <c r="AH151" i="53"/>
  <c r="AI151" i="53"/>
  <c r="AG151" i="53"/>
  <c r="AJ151" i="53"/>
  <c r="AS143" i="53"/>
  <c r="AT143" i="53"/>
  <c r="AG135" i="53"/>
  <c r="AH135" i="53"/>
  <c r="AI135" i="53"/>
  <c r="AJ135" i="53"/>
  <c r="Z155" i="53"/>
  <c r="AA155" i="53"/>
  <c r="AS145" i="53"/>
  <c r="AT145" i="53"/>
  <c r="AS174" i="53"/>
  <c r="AT174" i="53"/>
  <c r="X166" i="53"/>
  <c r="V166" i="53"/>
  <c r="W166" i="53"/>
  <c r="AP158" i="53"/>
  <c r="AQ158" i="53"/>
  <c r="AJ150" i="53"/>
  <c r="AG150" i="53"/>
  <c r="AI150" i="53"/>
  <c r="AH150" i="53"/>
  <c r="AA142" i="53"/>
  <c r="Z142" i="53"/>
  <c r="AT134" i="53"/>
  <c r="AS134" i="53"/>
  <c r="AA133" i="53"/>
  <c r="Z133" i="53"/>
  <c r="AP148" i="53"/>
  <c r="AQ148" i="53"/>
  <c r="AT162" i="53"/>
  <c r="AS162" i="53"/>
  <c r="AQ129" i="53"/>
  <c r="AP129" i="53"/>
  <c r="AH173" i="53"/>
  <c r="AG173" i="53"/>
  <c r="AI173" i="53"/>
  <c r="AJ173" i="53"/>
  <c r="AL165" i="53"/>
  <c r="AM165" i="53"/>
  <c r="AN165" i="53"/>
  <c r="V157" i="53"/>
  <c r="X157" i="53"/>
  <c r="W157" i="53"/>
  <c r="AS149" i="53"/>
  <c r="AT149" i="53"/>
  <c r="AQ141" i="53"/>
  <c r="AP141" i="53"/>
  <c r="AJ140" i="53"/>
  <c r="AI140" i="53"/>
  <c r="AG140" i="53"/>
  <c r="AH140" i="53"/>
  <c r="AS170" i="53"/>
  <c r="AT170" i="53"/>
  <c r="AL172" i="53"/>
  <c r="AM172" i="53"/>
  <c r="AN172" i="53"/>
  <c r="AQ164" i="53"/>
  <c r="AP164" i="53"/>
  <c r="AS156" i="53"/>
  <c r="AT156" i="53"/>
  <c r="AQ139" i="53"/>
  <c r="AP139" i="53"/>
  <c r="AA146" i="53"/>
  <c r="Z146" i="53"/>
  <c r="V171" i="53"/>
  <c r="X171" i="53"/>
  <c r="W171" i="53"/>
  <c r="V163" i="53"/>
  <c r="W163" i="53"/>
  <c r="X163" i="53"/>
  <c r="AD147" i="53"/>
  <c r="AC147" i="53"/>
  <c r="AE147" i="53"/>
  <c r="V130" i="53"/>
  <c r="W130" i="53"/>
  <c r="X130" i="53"/>
  <c r="V154" i="53"/>
  <c r="W154" i="53"/>
  <c r="X154" i="53"/>
  <c r="V169" i="53"/>
  <c r="W169" i="53"/>
  <c r="X169" i="53"/>
  <c r="AS161" i="53"/>
  <c r="AT161" i="53"/>
  <c r="AS153" i="53"/>
  <c r="AT153" i="53"/>
  <c r="AH137" i="53"/>
  <c r="AJ137" i="53"/>
  <c r="AG137" i="53"/>
  <c r="AI137" i="53"/>
  <c r="V160" i="53"/>
  <c r="W160" i="53"/>
  <c r="X160" i="53"/>
  <c r="Z132" i="53"/>
  <c r="AA132" i="53"/>
  <c r="AP136" i="53"/>
  <c r="AQ136" i="53"/>
  <c r="AG168" i="53"/>
  <c r="AI168" i="53"/>
  <c r="AH168" i="53"/>
  <c r="AJ168" i="53"/>
  <c r="AG160" i="53"/>
  <c r="AI160" i="53"/>
  <c r="AJ160" i="53"/>
  <c r="AH160" i="53"/>
  <c r="Z152" i="53"/>
  <c r="AA152" i="53"/>
  <c r="AE144" i="53"/>
  <c r="AC144" i="53"/>
  <c r="AD144" i="53"/>
  <c r="AM136" i="53"/>
  <c r="AL136" i="53"/>
  <c r="AN136" i="53"/>
  <c r="Z128" i="53"/>
  <c r="AA128" i="53"/>
  <c r="AE132" i="53"/>
  <c r="AC132" i="53"/>
  <c r="AD132" i="53"/>
  <c r="W131" i="53"/>
  <c r="V131" i="53"/>
  <c r="X131" i="53"/>
  <c r="AE138" i="53"/>
  <c r="AD138" i="53"/>
  <c r="AC138" i="53"/>
  <c r="Z175" i="53"/>
  <c r="AA175" i="53"/>
  <c r="AD167" i="53"/>
  <c r="AC167" i="53"/>
  <c r="AE167" i="53"/>
  <c r="V159" i="53"/>
  <c r="W159" i="53"/>
  <c r="X159" i="53"/>
  <c r="AE151" i="53"/>
  <c r="AD151" i="53"/>
  <c r="AC151" i="53"/>
  <c r="AP143" i="53"/>
  <c r="AQ143" i="53"/>
  <c r="AM135" i="53"/>
  <c r="AL135" i="53"/>
  <c r="AN135" i="53"/>
  <c r="V155" i="53"/>
  <c r="X155" i="53"/>
  <c r="W155" i="53"/>
  <c r="AE145" i="53"/>
  <c r="AC145" i="53"/>
  <c r="AD145" i="53"/>
  <c r="AG174" i="53"/>
  <c r="AI174" i="53"/>
  <c r="AJ174" i="53"/>
  <c r="AH174" i="53"/>
  <c r="AC166" i="53"/>
  <c r="AE166" i="53"/>
  <c r="AD166" i="53"/>
  <c r="Z158" i="53"/>
  <c r="AA158" i="53"/>
  <c r="AE150" i="53"/>
  <c r="AD150" i="53"/>
  <c r="AC150" i="53"/>
  <c r="V142" i="53"/>
  <c r="X142" i="53"/>
  <c r="W142" i="53"/>
  <c r="AD134" i="53"/>
  <c r="AE134" i="53"/>
  <c r="AC134" i="53"/>
  <c r="AL133" i="53"/>
  <c r="AM133" i="53"/>
  <c r="AN133" i="53"/>
  <c r="Z148" i="53"/>
  <c r="AA148" i="53"/>
  <c r="AG162" i="53"/>
  <c r="AI162" i="53"/>
  <c r="AH162" i="53"/>
  <c r="AJ162" i="53"/>
  <c r="AH129" i="53"/>
  <c r="AJ129" i="53"/>
  <c r="AI129" i="53"/>
  <c r="AG129" i="53"/>
  <c r="AL173" i="53"/>
  <c r="AM173" i="53"/>
  <c r="AN173" i="53"/>
  <c r="V165" i="53"/>
  <c r="W165" i="53"/>
  <c r="X165" i="53"/>
  <c r="AH157" i="53"/>
  <c r="AG157" i="53"/>
  <c r="AJ157" i="53"/>
  <c r="AI157" i="53"/>
  <c r="V149" i="53"/>
  <c r="W149" i="53"/>
  <c r="X149" i="53"/>
  <c r="AE141" i="53"/>
  <c r="AC141" i="53"/>
  <c r="AD141" i="53"/>
  <c r="W140" i="53"/>
  <c r="X140" i="53"/>
  <c r="V140" i="53"/>
  <c r="AG170" i="53"/>
  <c r="AI170" i="53"/>
  <c r="AH170" i="53"/>
  <c r="AJ170" i="53"/>
  <c r="AG172" i="53"/>
  <c r="AH172" i="53"/>
  <c r="AI172" i="53"/>
  <c r="AJ172" i="53"/>
  <c r="AC164" i="53"/>
  <c r="AE164" i="53"/>
  <c r="AD164" i="53"/>
  <c r="V156" i="53"/>
  <c r="W156" i="53"/>
  <c r="X156" i="53"/>
  <c r="AA139" i="53"/>
  <c r="Z139" i="53"/>
  <c r="V146" i="53"/>
  <c r="W146" i="53"/>
  <c r="X146" i="53"/>
  <c r="AD171" i="53"/>
  <c r="AC171" i="53"/>
  <c r="AE171" i="53"/>
  <c r="AG163" i="53"/>
  <c r="AI163" i="53"/>
  <c r="AJ163" i="53"/>
  <c r="AH163" i="53"/>
  <c r="W147" i="53"/>
  <c r="V147" i="53"/>
  <c r="X147" i="53"/>
  <c r="AS130" i="53"/>
  <c r="AT130" i="53"/>
  <c r="AH154" i="53"/>
  <c r="AG154" i="53"/>
  <c r="AI154" i="53"/>
  <c r="AJ154" i="53"/>
  <c r="AL169" i="53"/>
  <c r="AN169" i="53"/>
  <c r="AM169" i="53"/>
  <c r="AC161" i="53"/>
  <c r="AE161" i="53"/>
  <c r="AD161" i="53"/>
  <c r="V153" i="53"/>
  <c r="W153" i="53"/>
  <c r="X153" i="53"/>
  <c r="AA137" i="53"/>
  <c r="Z137" i="53"/>
  <c r="Q168" i="53"/>
  <c r="R168" i="53"/>
  <c r="S168" i="53"/>
  <c r="T168" i="53"/>
  <c r="Q160" i="53"/>
  <c r="S160" i="53"/>
  <c r="T160" i="53"/>
  <c r="R160" i="53"/>
  <c r="Q152" i="53"/>
  <c r="R152" i="53"/>
  <c r="S152" i="53"/>
  <c r="T152" i="53"/>
  <c r="Q144" i="53"/>
  <c r="T144" i="53"/>
  <c r="S144" i="53"/>
  <c r="R144" i="53"/>
  <c r="S136" i="53"/>
  <c r="Q136" i="53"/>
  <c r="R136" i="53"/>
  <c r="T136" i="53"/>
  <c r="S128" i="53"/>
  <c r="Q128" i="53"/>
  <c r="R128" i="53"/>
  <c r="T128" i="53"/>
  <c r="Q132" i="53"/>
  <c r="T132" i="53"/>
  <c r="S132" i="53"/>
  <c r="R132" i="53"/>
  <c r="S131" i="53"/>
  <c r="T131" i="53"/>
  <c r="Q131" i="53"/>
  <c r="R131" i="53"/>
  <c r="R138" i="53"/>
  <c r="Q138" i="53"/>
  <c r="T138" i="53"/>
  <c r="S138" i="53"/>
  <c r="Q175" i="53"/>
  <c r="R175" i="53"/>
  <c r="T175" i="53"/>
  <c r="S175" i="53"/>
  <c r="R167" i="53"/>
  <c r="S167" i="53"/>
  <c r="T167" i="53"/>
  <c r="Q167" i="53"/>
  <c r="R159" i="53"/>
  <c r="S159" i="53"/>
  <c r="Q159" i="53"/>
  <c r="T159" i="53"/>
  <c r="Q151" i="53"/>
  <c r="S151" i="53"/>
  <c r="T151" i="53"/>
  <c r="R151" i="53"/>
  <c r="Z143" i="53"/>
  <c r="AA143" i="53"/>
  <c r="S135" i="53"/>
  <c r="Q135" i="53"/>
  <c r="T135" i="53"/>
  <c r="R135" i="53"/>
  <c r="Q155" i="53"/>
  <c r="T155" i="53"/>
  <c r="S155" i="53"/>
  <c r="R155" i="53"/>
  <c r="Q145" i="53"/>
  <c r="R145" i="53"/>
  <c r="S145" i="53"/>
  <c r="T145" i="53"/>
  <c r="Q174" i="53"/>
  <c r="R174" i="53"/>
  <c r="S174" i="53"/>
  <c r="T174" i="53"/>
  <c r="S166" i="53"/>
  <c r="T166" i="53"/>
  <c r="Q166" i="53"/>
  <c r="R166" i="53"/>
  <c r="Q158" i="53"/>
  <c r="R158" i="53"/>
  <c r="T158" i="53"/>
  <c r="S158" i="53"/>
  <c r="S150" i="53"/>
  <c r="Q150" i="53"/>
  <c r="T150" i="53"/>
  <c r="R150" i="53"/>
  <c r="S142" i="53"/>
  <c r="R142" i="53"/>
  <c r="T142" i="53"/>
  <c r="Q142" i="53"/>
  <c r="S134" i="53"/>
  <c r="R134" i="53"/>
  <c r="T134" i="53"/>
  <c r="Q134" i="53"/>
  <c r="T133" i="53"/>
  <c r="Q133" i="53"/>
  <c r="R133" i="53"/>
  <c r="S133" i="53"/>
  <c r="Q148" i="53"/>
  <c r="R148" i="53"/>
  <c r="T148" i="53"/>
  <c r="S148" i="53"/>
  <c r="Q162" i="53"/>
  <c r="R162" i="53"/>
  <c r="S162" i="53"/>
  <c r="T162" i="53"/>
  <c r="Q129" i="53"/>
  <c r="S129" i="53"/>
  <c r="T129" i="53"/>
  <c r="R129" i="53"/>
  <c r="S173" i="53"/>
  <c r="Q173" i="53"/>
  <c r="R173" i="53"/>
  <c r="T173" i="53"/>
  <c r="S165" i="53"/>
  <c r="R165" i="53"/>
  <c r="Q165" i="53"/>
  <c r="T165" i="53"/>
  <c r="R157" i="53"/>
  <c r="Q157" i="53"/>
  <c r="T157" i="53"/>
  <c r="S157" i="53"/>
  <c r="R149" i="53"/>
  <c r="Q149" i="53"/>
  <c r="T149" i="53"/>
  <c r="S149" i="53"/>
  <c r="Q141" i="53"/>
  <c r="R141" i="53"/>
  <c r="S141" i="53"/>
  <c r="T141" i="53"/>
  <c r="Q140" i="53"/>
  <c r="R140" i="53"/>
  <c r="T140" i="53"/>
  <c r="S140" i="53"/>
  <c r="R170" i="53"/>
  <c r="Q170" i="53"/>
  <c r="S170" i="53"/>
  <c r="T170" i="53"/>
  <c r="Q172" i="53"/>
  <c r="R172" i="53"/>
  <c r="S172" i="53"/>
  <c r="T172" i="53"/>
  <c r="Q164" i="53"/>
  <c r="S164" i="53"/>
  <c r="T164" i="53"/>
  <c r="R164" i="53"/>
  <c r="S156" i="53"/>
  <c r="Q156" i="53"/>
  <c r="R156" i="53"/>
  <c r="T156" i="53"/>
  <c r="Q139" i="53"/>
  <c r="R139" i="53"/>
  <c r="S139" i="53"/>
  <c r="T139" i="53"/>
  <c r="S146" i="53"/>
  <c r="Q146" i="53"/>
  <c r="R146" i="53"/>
  <c r="T146" i="53"/>
  <c r="Q171" i="53"/>
  <c r="T171" i="53"/>
  <c r="S171" i="53"/>
  <c r="R171" i="53"/>
  <c r="Q163" i="53"/>
  <c r="T163" i="53"/>
  <c r="S163" i="53"/>
  <c r="R163" i="53"/>
  <c r="Q147" i="53"/>
  <c r="R147" i="53"/>
  <c r="T147" i="53"/>
  <c r="S147" i="53"/>
  <c r="T130" i="53"/>
  <c r="Q130" i="53"/>
  <c r="S130" i="53"/>
  <c r="R130" i="53"/>
  <c r="S154" i="53"/>
  <c r="R154" i="53"/>
  <c r="T154" i="53"/>
  <c r="Q154" i="53"/>
  <c r="S169" i="53"/>
  <c r="Q169" i="53"/>
  <c r="R169" i="53"/>
  <c r="T169" i="53"/>
  <c r="T161" i="53"/>
  <c r="Q161" i="53"/>
  <c r="R161" i="53"/>
  <c r="S161" i="53"/>
  <c r="T153" i="53"/>
  <c r="S153" i="53"/>
  <c r="Q153" i="53"/>
  <c r="R153" i="53"/>
  <c r="Q137" i="53"/>
  <c r="S137" i="53"/>
  <c r="R137" i="53"/>
  <c r="T137" i="53"/>
  <c r="I180" i="12" l="1"/>
  <c r="T127" i="53"/>
  <c r="T785" i="53" s="1"/>
  <c r="I11" i="12" s="1"/>
  <c r="Y785" i="53"/>
  <c r="AA127" i="53"/>
  <c r="AA785" i="53" s="1"/>
  <c r="I51" i="12" s="1"/>
  <c r="Q127" i="53"/>
  <c r="AT127" i="53"/>
  <c r="AT785" i="53" s="1"/>
  <c r="I113" i="12" s="1"/>
  <c r="S127" i="53"/>
  <c r="S785" i="53" s="1"/>
  <c r="I10" i="12" s="1"/>
  <c r="AS127" i="53"/>
  <c r="AS785" i="53" s="1"/>
  <c r="I112" i="12" s="1"/>
  <c r="R127" i="53"/>
  <c r="R785" i="53" s="1"/>
  <c r="I9" i="12" s="1"/>
  <c r="AE127" i="53"/>
  <c r="AE785" i="53" s="1"/>
  <c r="I62" i="12" s="1"/>
  <c r="AC127" i="53"/>
  <c r="AC785" i="53" s="1"/>
  <c r="I60" i="12" s="1"/>
  <c r="AB785" i="53"/>
  <c r="AL127" i="53"/>
  <c r="AL785" i="53" s="1"/>
  <c r="I92" i="12" s="1"/>
  <c r="P180" i="12"/>
  <c r="R180" i="12" s="1"/>
  <c r="R177" i="12"/>
  <c r="X127" i="53"/>
  <c r="X785" i="53" s="1"/>
  <c r="I20" i="12" s="1"/>
  <c r="V127" i="53"/>
  <c r="V785" i="53" s="1"/>
  <c r="I18" i="12" s="1"/>
  <c r="W127" i="53"/>
  <c r="W785" i="53" s="1"/>
  <c r="I19" i="12" s="1"/>
  <c r="AM127" i="53"/>
  <c r="AM785" i="53" s="1"/>
  <c r="I93" i="12" s="1"/>
  <c r="AK785" i="53"/>
  <c r="AQ127" i="53"/>
  <c r="AQ785" i="53" s="1"/>
  <c r="I103" i="12" s="1"/>
  <c r="AI127" i="53"/>
  <c r="AI785" i="53" s="1"/>
  <c r="I72" i="12" s="1"/>
  <c r="AH127" i="53"/>
  <c r="AH785" i="53" s="1"/>
  <c r="I71" i="12" s="1"/>
  <c r="AJ127" i="53"/>
  <c r="AJ785" i="53" s="1"/>
  <c r="I73" i="12" s="1"/>
  <c r="AP127" i="53"/>
  <c r="AP785" i="53" s="1"/>
  <c r="I102" i="12" s="1"/>
  <c r="AG127" i="53"/>
  <c r="AG785" i="53" s="1"/>
  <c r="I70" i="12" s="1"/>
  <c r="Z785" i="53"/>
  <c r="I50" i="12" s="1"/>
  <c r="AD785" i="53"/>
  <c r="I61" i="12" s="1"/>
  <c r="AN785" i="53"/>
  <c r="I94" i="12" s="1"/>
  <c r="Q785" i="53" l="1"/>
  <c r="P103" i="12"/>
  <c r="P18" i="12"/>
  <c r="P60" i="12"/>
  <c r="P94" i="12"/>
  <c r="P93" i="12"/>
  <c r="P51" i="12"/>
  <c r="P11" i="12"/>
  <c r="P113" i="12"/>
  <c r="P72" i="12"/>
  <c r="P92" i="12"/>
  <c r="P71" i="12"/>
  <c r="P70" i="12"/>
  <c r="P102" i="12"/>
  <c r="P73" i="12"/>
  <c r="P19" i="12"/>
  <c r="P62" i="12"/>
  <c r="P50" i="12"/>
  <c r="P20" i="12"/>
  <c r="P9" i="12"/>
  <c r="P10" i="12"/>
  <c r="P112" i="12"/>
  <c r="P61" i="12"/>
  <c r="I8" i="12" l="1"/>
  <c r="P8" i="12" s="1"/>
  <c r="R8" i="12" s="1"/>
  <c r="G207" i="13"/>
  <c r="G206" i="13"/>
  <c r="G205" i="13"/>
  <c r="G204" i="13"/>
  <c r="G203" i="13"/>
  <c r="G202" i="13"/>
  <c r="G210" i="13" s="1"/>
  <c r="G211" i="13" s="1"/>
  <c r="G197" i="13"/>
  <c r="G190" i="13"/>
  <c r="G191" i="13"/>
  <c r="G192" i="13"/>
  <c r="G193" i="13"/>
  <c r="G194" i="13"/>
  <c r="G195" i="13"/>
  <c r="G196" i="13"/>
  <c r="G130" i="13"/>
  <c r="G124" i="13"/>
  <c r="G125" i="13"/>
  <c r="G126" i="13"/>
  <c r="G127" i="13"/>
  <c r="G128" i="13"/>
  <c r="G129" i="13"/>
  <c r="G123" i="13"/>
  <c r="G119" i="13"/>
  <c r="G112" i="13"/>
  <c r="G113" i="13"/>
  <c r="G114" i="13"/>
  <c r="G115" i="13"/>
  <c r="G116" i="13"/>
  <c r="G117" i="13"/>
  <c r="G118" i="13"/>
  <c r="G108" i="13"/>
  <c r="G101" i="13"/>
  <c r="G102" i="13"/>
  <c r="G103" i="13"/>
  <c r="G104" i="13"/>
  <c r="G105" i="13"/>
  <c r="G106" i="13"/>
  <c r="G107" i="13"/>
  <c r="G79" i="13"/>
  <c r="G80" i="13"/>
  <c r="G81" i="13"/>
  <c r="G82" i="13"/>
  <c r="G83" i="13"/>
  <c r="G84" i="13"/>
  <c r="G78" i="13"/>
  <c r="G74" i="13"/>
  <c r="G68" i="13"/>
  <c r="G69" i="13"/>
  <c r="G70" i="13"/>
  <c r="G71" i="13"/>
  <c r="G72" i="13"/>
  <c r="G73" i="13"/>
  <c r="G67" i="13"/>
  <c r="G63" i="13"/>
  <c r="G57" i="13"/>
  <c r="G58" i="13"/>
  <c r="G59" i="13"/>
  <c r="G60" i="13"/>
  <c r="G61" i="13"/>
  <c r="G62" i="13"/>
  <c r="G56" i="13"/>
  <c r="G28" i="13"/>
  <c r="G22" i="13"/>
  <c r="G23" i="13"/>
  <c r="G24" i="13"/>
  <c r="G25" i="13"/>
  <c r="G26" i="13"/>
  <c r="G27" i="13"/>
  <c r="G21" i="13"/>
  <c r="G17" i="13"/>
  <c r="G11" i="13"/>
  <c r="G12" i="13"/>
  <c r="G13" i="13"/>
  <c r="G14" i="13"/>
  <c r="G15" i="13"/>
  <c r="G10" i="13"/>
  <c r="D206" i="13"/>
  <c r="D205" i="13"/>
  <c r="D204" i="13"/>
  <c r="D203" i="13"/>
  <c r="D202" i="13"/>
  <c r="D197" i="13"/>
  <c r="D130" i="13"/>
  <c r="D119" i="13"/>
  <c r="D108" i="13"/>
  <c r="D85" i="13"/>
  <c r="D74" i="13"/>
  <c r="D63" i="13"/>
  <c r="D28" i="13"/>
  <c r="I17" i="13"/>
  <c r="H17" i="13"/>
  <c r="F17" i="13"/>
  <c r="E17" i="13"/>
  <c r="D17" i="13"/>
  <c r="Q120" i="12"/>
  <c r="Q88" i="12"/>
  <c r="Q78" i="12"/>
  <c r="I16" i="12" l="1"/>
  <c r="D209" i="13"/>
  <c r="D210" i="13" s="1"/>
  <c r="D211" i="13" s="1"/>
  <c r="P88" i="12" l="1"/>
  <c r="P78" i="12"/>
  <c r="O88" i="12"/>
  <c r="P120" i="12"/>
  <c r="L120" i="12"/>
  <c r="N177" i="12"/>
  <c r="O177" i="12" s="1"/>
  <c r="M88" i="12"/>
  <c r="N88" i="12"/>
  <c r="L88" i="12"/>
  <c r="M177" i="12"/>
  <c r="M176" i="12"/>
  <c r="M175" i="12"/>
  <c r="L100" i="12"/>
  <c r="D179" i="12"/>
  <c r="M179" i="12" s="1"/>
  <c r="N179" i="12" s="1"/>
  <c r="O179" i="12" s="1"/>
  <c r="D178" i="12"/>
  <c r="M178" i="12" s="1"/>
  <c r="N178" i="12" s="1"/>
  <c r="O178" i="12" s="1"/>
  <c r="D177" i="12"/>
  <c r="H37" i="51"/>
  <c r="G37" i="51"/>
  <c r="F37" i="51"/>
  <c r="E37" i="51"/>
  <c r="D37" i="51"/>
  <c r="C37" i="51"/>
  <c r="C38" i="51" s="1"/>
  <c r="H36" i="51"/>
  <c r="G36" i="51"/>
  <c r="F36" i="51"/>
  <c r="E36" i="51"/>
  <c r="D36" i="51"/>
  <c r="C36" i="51"/>
  <c r="H34" i="51"/>
  <c r="G34" i="51"/>
  <c r="F34" i="51"/>
  <c r="E34" i="51"/>
  <c r="D34" i="51"/>
  <c r="C34" i="51"/>
  <c r="H33" i="51"/>
  <c r="G33" i="51"/>
  <c r="F33" i="51"/>
  <c r="E33" i="51"/>
  <c r="D33" i="51"/>
  <c r="C33" i="51"/>
  <c r="C35" i="51" s="1"/>
  <c r="H31" i="51"/>
  <c r="G31" i="51"/>
  <c r="F31" i="51"/>
  <c r="E31" i="51"/>
  <c r="D31" i="51"/>
  <c r="C31" i="51"/>
  <c r="H30" i="51"/>
  <c r="G30" i="51"/>
  <c r="F30" i="51"/>
  <c r="E30" i="51"/>
  <c r="D30" i="51"/>
  <c r="C30" i="51"/>
  <c r="H29" i="51"/>
  <c r="G29" i="51"/>
  <c r="F29" i="51"/>
  <c r="E29" i="51"/>
  <c r="D29" i="51"/>
  <c r="C29" i="51"/>
  <c r="H26" i="51"/>
  <c r="G26" i="51"/>
  <c r="F26" i="51"/>
  <c r="E26" i="51"/>
  <c r="D26" i="51"/>
  <c r="C26" i="51"/>
  <c r="H25" i="51"/>
  <c r="G25" i="51"/>
  <c r="F25" i="51"/>
  <c r="E25" i="51"/>
  <c r="D25" i="51"/>
  <c r="C25" i="51"/>
  <c r="H24" i="51"/>
  <c r="G24" i="51"/>
  <c r="F24" i="51"/>
  <c r="E24" i="51"/>
  <c r="D24" i="51"/>
  <c r="C24" i="51"/>
  <c r="H23" i="51"/>
  <c r="G23" i="51"/>
  <c r="F23" i="51"/>
  <c r="E23" i="51"/>
  <c r="D23" i="51"/>
  <c r="C23" i="51"/>
  <c r="H21" i="51"/>
  <c r="G21" i="51"/>
  <c r="F21" i="51"/>
  <c r="E21" i="51"/>
  <c r="D21" i="51"/>
  <c r="C21" i="51"/>
  <c r="H20" i="51"/>
  <c r="G20" i="51"/>
  <c r="F20" i="51"/>
  <c r="E20" i="51"/>
  <c r="D20" i="51"/>
  <c r="C20" i="51"/>
  <c r="H19" i="51"/>
  <c r="G19" i="51"/>
  <c r="F19" i="51"/>
  <c r="E19" i="51"/>
  <c r="D19" i="51"/>
  <c r="C19" i="51"/>
  <c r="H17" i="51"/>
  <c r="G17" i="51"/>
  <c r="F17" i="51"/>
  <c r="E17" i="51"/>
  <c r="D17" i="51"/>
  <c r="C17" i="51"/>
  <c r="H16" i="51"/>
  <c r="G16" i="51"/>
  <c r="F16" i="51"/>
  <c r="E16" i="51"/>
  <c r="D16" i="51"/>
  <c r="C16" i="51"/>
  <c r="H13" i="51"/>
  <c r="G13" i="51"/>
  <c r="F13" i="51"/>
  <c r="E13" i="51"/>
  <c r="D13" i="51"/>
  <c r="C13" i="51"/>
  <c r="H12" i="51"/>
  <c r="G12" i="51"/>
  <c r="F12" i="51"/>
  <c r="E12" i="51"/>
  <c r="D12" i="51"/>
  <c r="C12" i="51"/>
  <c r="H11" i="51"/>
  <c r="G11" i="51"/>
  <c r="F11" i="51"/>
  <c r="E11" i="51"/>
  <c r="D11" i="51"/>
  <c r="C11" i="51"/>
  <c r="H9" i="51"/>
  <c r="G9" i="51"/>
  <c r="F9" i="51"/>
  <c r="E9" i="51"/>
  <c r="D9" i="51"/>
  <c r="C9" i="51"/>
  <c r="I9" i="51" s="1"/>
  <c r="D11" i="12" s="1"/>
  <c r="M11" i="12" s="1"/>
  <c r="N11" i="12" s="1"/>
  <c r="O11" i="12" s="1"/>
  <c r="H8" i="51"/>
  <c r="G8" i="51"/>
  <c r="F8" i="51"/>
  <c r="E8" i="51"/>
  <c r="D8" i="51"/>
  <c r="C8" i="51"/>
  <c r="H7" i="51"/>
  <c r="G7" i="51"/>
  <c r="F7" i="51"/>
  <c r="E7" i="51"/>
  <c r="D7" i="51"/>
  <c r="C7" i="51"/>
  <c r="H6" i="51"/>
  <c r="G6" i="51"/>
  <c r="F6" i="51"/>
  <c r="E6" i="51"/>
  <c r="D6" i="51"/>
  <c r="C6" i="51"/>
  <c r="F18" i="51" l="1"/>
  <c r="F35" i="51"/>
  <c r="G18" i="51"/>
  <c r="D22" i="51"/>
  <c r="H22" i="51"/>
  <c r="I11" i="51"/>
  <c r="D18" i="12" s="1"/>
  <c r="I13" i="51"/>
  <c r="D20" i="12" s="1"/>
  <c r="M20" i="12" s="1"/>
  <c r="N20" i="12" s="1"/>
  <c r="O20" i="12" s="1"/>
  <c r="D14" i="51"/>
  <c r="D18" i="51"/>
  <c r="M180" i="12"/>
  <c r="F14" i="51"/>
  <c r="I17" i="51"/>
  <c r="D51" i="12" s="1"/>
  <c r="M51" i="12" s="1"/>
  <c r="N51" i="12" s="1"/>
  <c r="O51" i="12" s="1"/>
  <c r="E10" i="51"/>
  <c r="H38" i="51"/>
  <c r="F27" i="51"/>
  <c r="E18" i="51"/>
  <c r="E35" i="51"/>
  <c r="F38" i="51"/>
  <c r="I31" i="51"/>
  <c r="D94" i="12" s="1"/>
  <c r="M94" i="12" s="1"/>
  <c r="N94" i="12" s="1"/>
  <c r="O94" i="12" s="1"/>
  <c r="H35" i="51"/>
  <c r="C22" i="51"/>
  <c r="E22" i="51"/>
  <c r="I24" i="51"/>
  <c r="D71" i="12" s="1"/>
  <c r="M71" i="12" s="1"/>
  <c r="N71" i="12" s="1"/>
  <c r="O71" i="12" s="1"/>
  <c r="I30" i="51"/>
  <c r="D93" i="12" s="1"/>
  <c r="M93" i="12" s="1"/>
  <c r="N93" i="12" s="1"/>
  <c r="O93" i="12" s="1"/>
  <c r="I6" i="51"/>
  <c r="I12" i="51"/>
  <c r="D19" i="12" s="1"/>
  <c r="H18" i="51"/>
  <c r="I20" i="51"/>
  <c r="D61" i="12" s="1"/>
  <c r="M61" i="12" s="1"/>
  <c r="N61" i="12" s="1"/>
  <c r="O61" i="12" s="1"/>
  <c r="G27" i="51"/>
  <c r="I25" i="51"/>
  <c r="D72" i="12" s="1"/>
  <c r="M72" i="12" s="1"/>
  <c r="N72" i="12" s="1"/>
  <c r="O72" i="12" s="1"/>
  <c r="H32" i="51"/>
  <c r="E14" i="51"/>
  <c r="C10" i="51"/>
  <c r="F10" i="51"/>
  <c r="H27" i="51"/>
  <c r="D27" i="51"/>
  <c r="G32" i="51"/>
  <c r="G22" i="51"/>
  <c r="C27" i="51"/>
  <c r="G35" i="51"/>
  <c r="G10" i="51"/>
  <c r="I8" i="51"/>
  <c r="D10" i="12" s="1"/>
  <c r="M10" i="12" s="1"/>
  <c r="N10" i="12" s="1"/>
  <c r="O10" i="12" s="1"/>
  <c r="H14" i="51"/>
  <c r="C18" i="51"/>
  <c r="F22" i="51"/>
  <c r="I29" i="51"/>
  <c r="H10" i="51"/>
  <c r="D10" i="51"/>
  <c r="G14" i="51"/>
  <c r="I21" i="51"/>
  <c r="D62" i="12" s="1"/>
  <c r="M62" i="12" s="1"/>
  <c r="N62" i="12" s="1"/>
  <c r="O62" i="12" s="1"/>
  <c r="E27" i="51"/>
  <c r="I26" i="51"/>
  <c r="D73" i="12" s="1"/>
  <c r="M73" i="12" s="1"/>
  <c r="N73" i="12" s="1"/>
  <c r="O73" i="12" s="1"/>
  <c r="D32" i="51"/>
  <c r="F32" i="51"/>
  <c r="I34" i="51"/>
  <c r="D103" i="12" s="1"/>
  <c r="M103" i="12" s="1"/>
  <c r="N103" i="12" s="1"/>
  <c r="O103" i="12" s="1"/>
  <c r="D38" i="51"/>
  <c r="I7" i="51"/>
  <c r="D9" i="12" s="1"/>
  <c r="M9" i="12" s="1"/>
  <c r="N9" i="12" s="1"/>
  <c r="O9" i="12" s="1"/>
  <c r="I23" i="51"/>
  <c r="D70" i="12" s="1"/>
  <c r="M70" i="12" s="1"/>
  <c r="E32" i="51"/>
  <c r="D35" i="51"/>
  <c r="E38" i="51"/>
  <c r="G38" i="51"/>
  <c r="I44" i="51"/>
  <c r="C14" i="51"/>
  <c r="C32" i="51"/>
  <c r="I37" i="51"/>
  <c r="D113" i="12" s="1"/>
  <c r="M113" i="12" s="1"/>
  <c r="N113" i="12" s="1"/>
  <c r="O113" i="12" s="1"/>
  <c r="I19" i="51"/>
  <c r="I36" i="51"/>
  <c r="I16" i="51"/>
  <c r="I33" i="51"/>
  <c r="D39" i="51" l="1"/>
  <c r="G39" i="51"/>
  <c r="H39" i="51"/>
  <c r="F39" i="51"/>
  <c r="E39" i="51"/>
  <c r="I14" i="51"/>
  <c r="I18" i="51"/>
  <c r="D50" i="12"/>
  <c r="M50" i="12" s="1"/>
  <c r="N50" i="12" s="1"/>
  <c r="O50" i="12" s="1"/>
  <c r="I38" i="51"/>
  <c r="D112" i="12"/>
  <c r="M112" i="12" s="1"/>
  <c r="I32" i="51"/>
  <c r="D92" i="12"/>
  <c r="M92" i="12" s="1"/>
  <c r="N92" i="12" s="1"/>
  <c r="O92" i="12" s="1"/>
  <c r="I27" i="51"/>
  <c r="N70" i="12"/>
  <c r="M78" i="12"/>
  <c r="I10" i="51"/>
  <c r="D8" i="12"/>
  <c r="I35" i="51"/>
  <c r="D102" i="12"/>
  <c r="M102" i="12" s="1"/>
  <c r="N102" i="12" s="1"/>
  <c r="O102" i="12" s="1"/>
  <c r="C39" i="51"/>
  <c r="I22" i="51"/>
  <c r="D60" i="12"/>
  <c r="M60" i="12" s="1"/>
  <c r="N60" i="12" s="1"/>
  <c r="O60" i="12" s="1"/>
  <c r="I39" i="51" l="1"/>
  <c r="I45" i="51" s="1"/>
  <c r="I46" i="51" s="1"/>
  <c r="I47" i="51" s="1"/>
  <c r="M120" i="12"/>
  <c r="N112" i="12"/>
  <c r="N78" i="12"/>
  <c r="O70" i="12"/>
  <c r="O78" i="12" s="1"/>
  <c r="O112" i="12" l="1"/>
  <c r="O120" i="12" s="1"/>
  <c r="N120" i="12"/>
  <c r="G8" i="12" l="1"/>
  <c r="D88" i="12" l="1"/>
  <c r="E23" i="42" l="1"/>
  <c r="D23" i="42"/>
  <c r="E22" i="42"/>
  <c r="D22" i="42"/>
  <c r="C20" i="42"/>
  <c r="E14" i="42"/>
  <c r="D14" i="42"/>
  <c r="E13" i="42"/>
  <c r="D13" i="42"/>
  <c r="E12" i="42"/>
  <c r="D12" i="42"/>
  <c r="E11" i="42"/>
  <c r="D11" i="42"/>
  <c r="E10" i="42"/>
  <c r="D10" i="42"/>
  <c r="E9" i="42"/>
  <c r="D9" i="42"/>
  <c r="E8" i="42"/>
  <c r="D8" i="42"/>
  <c r="C6" i="42"/>
  <c r="D15" i="42" l="1"/>
  <c r="E15" i="42"/>
  <c r="K189" i="13"/>
  <c r="L111" i="13"/>
  <c r="K111" i="13"/>
  <c r="L100" i="13"/>
  <c r="K100" i="13"/>
  <c r="K74" i="13"/>
  <c r="K66" i="13"/>
  <c r="L74" i="13"/>
  <c r="L66" i="13"/>
  <c r="K28" i="13"/>
  <c r="K20" i="13"/>
  <c r="M110" i="12"/>
  <c r="N110" i="12"/>
  <c r="O110" i="12"/>
  <c r="P110" i="12"/>
  <c r="P100" i="12"/>
  <c r="P68" i="12"/>
  <c r="O58" i="12"/>
  <c r="P58" i="12"/>
  <c r="J26" i="12"/>
  <c r="J187" i="12" s="1"/>
  <c r="K26" i="12"/>
  <c r="K187" i="12" s="1"/>
  <c r="K189" i="12" s="1"/>
  <c r="D203" i="12" l="1"/>
  <c r="O180" i="12"/>
  <c r="Q180" i="12"/>
  <c r="Q110" i="12"/>
  <c r="Q100" i="12"/>
  <c r="Q68" i="12"/>
  <c r="Q58" i="12"/>
  <c r="Q26" i="12"/>
  <c r="Q187" i="12" l="1"/>
  <c r="Q188" i="12" l="1"/>
  <c r="Q189" i="12" s="1"/>
  <c r="O100" i="12"/>
  <c r="O68" i="12"/>
  <c r="O21" i="12"/>
  <c r="O22" i="12"/>
  <c r="O23" i="12"/>
  <c r="O24" i="12"/>
  <c r="O25" i="12"/>
  <c r="J189" i="12" l="1"/>
  <c r="K203" i="13"/>
  <c r="K204" i="13"/>
  <c r="K202" i="13" l="1"/>
  <c r="F194" i="12" l="1"/>
  <c r="E194" i="12"/>
  <c r="D193" i="12"/>
  <c r="F186" i="12"/>
  <c r="E186" i="12"/>
  <c r="D185" i="12"/>
  <c r="L180" i="12"/>
  <c r="F180" i="12"/>
  <c r="E180" i="12"/>
  <c r="D180" i="12"/>
  <c r="D189" i="13" s="1"/>
  <c r="G189" i="13" s="1"/>
  <c r="G179" i="12"/>
  <c r="G178" i="12"/>
  <c r="G177" i="12"/>
  <c r="G176" i="12"/>
  <c r="G175" i="12"/>
  <c r="I172" i="12"/>
  <c r="F172" i="12"/>
  <c r="E172" i="12"/>
  <c r="D172" i="12"/>
  <c r="G171" i="12"/>
  <c r="G170" i="12"/>
  <c r="G169" i="12"/>
  <c r="G168" i="12"/>
  <c r="G167" i="12"/>
  <c r="G166" i="12"/>
  <c r="G165" i="12"/>
  <c r="G164" i="12"/>
  <c r="I162" i="12"/>
  <c r="F162" i="12"/>
  <c r="E162" i="12"/>
  <c r="D162" i="12"/>
  <c r="G161" i="12"/>
  <c r="G160" i="12"/>
  <c r="G159" i="12"/>
  <c r="G158" i="12"/>
  <c r="G157" i="12"/>
  <c r="G156" i="12"/>
  <c r="G155" i="12"/>
  <c r="G154" i="12"/>
  <c r="I152" i="12"/>
  <c r="F152" i="12"/>
  <c r="E152" i="12"/>
  <c r="D152" i="12"/>
  <c r="G151" i="12"/>
  <c r="G150" i="12"/>
  <c r="G149" i="12"/>
  <c r="G148" i="12"/>
  <c r="G147" i="12"/>
  <c r="G146" i="12"/>
  <c r="G145" i="12"/>
  <c r="G144" i="12"/>
  <c r="I142" i="12"/>
  <c r="F142" i="12"/>
  <c r="E142" i="12"/>
  <c r="D142" i="12"/>
  <c r="G141" i="12"/>
  <c r="G140" i="12"/>
  <c r="G139" i="12"/>
  <c r="G138" i="12"/>
  <c r="G137" i="12"/>
  <c r="G136" i="12"/>
  <c r="G135" i="12"/>
  <c r="G134" i="12"/>
  <c r="I130" i="12"/>
  <c r="F130" i="12"/>
  <c r="E130" i="12"/>
  <c r="D130" i="12"/>
  <c r="G129" i="12"/>
  <c r="G128" i="12"/>
  <c r="G127" i="12"/>
  <c r="G126" i="12"/>
  <c r="G125" i="12"/>
  <c r="G124" i="12"/>
  <c r="G123" i="12"/>
  <c r="G122" i="12"/>
  <c r="I120" i="12"/>
  <c r="F120" i="12"/>
  <c r="E120" i="12"/>
  <c r="D120" i="12"/>
  <c r="D122" i="13" s="1"/>
  <c r="G119" i="12"/>
  <c r="G118" i="12"/>
  <c r="G117" i="12"/>
  <c r="G116" i="12"/>
  <c r="G115" i="12"/>
  <c r="G114" i="12"/>
  <c r="G113" i="12"/>
  <c r="R113" i="12" s="1"/>
  <c r="G112" i="12"/>
  <c r="R112" i="12" s="1"/>
  <c r="L110" i="12"/>
  <c r="I110" i="12"/>
  <c r="F110" i="12"/>
  <c r="E110" i="12"/>
  <c r="D110" i="12"/>
  <c r="D111" i="13" s="1"/>
  <c r="G109" i="12"/>
  <c r="G108" i="12"/>
  <c r="G107" i="12"/>
  <c r="G106" i="12"/>
  <c r="G105" i="12"/>
  <c r="G104" i="12"/>
  <c r="G103" i="12"/>
  <c r="R103" i="12" s="1"/>
  <c r="G102" i="12"/>
  <c r="R102" i="12" s="1"/>
  <c r="I100" i="12"/>
  <c r="F100" i="12"/>
  <c r="E100" i="12"/>
  <c r="D100" i="12"/>
  <c r="D100" i="13" s="1"/>
  <c r="G99" i="12"/>
  <c r="G98" i="12"/>
  <c r="G97" i="12"/>
  <c r="G96" i="12"/>
  <c r="G95" i="12"/>
  <c r="G94" i="12"/>
  <c r="R94" i="12" s="1"/>
  <c r="G93" i="12"/>
  <c r="R93" i="12" s="1"/>
  <c r="G92" i="12"/>
  <c r="R92" i="12" s="1"/>
  <c r="I88" i="12"/>
  <c r="F88" i="12"/>
  <c r="E88" i="12"/>
  <c r="G87" i="12"/>
  <c r="G86" i="12"/>
  <c r="G85" i="12"/>
  <c r="G84" i="12"/>
  <c r="G83" i="12"/>
  <c r="G82" i="12"/>
  <c r="G81" i="12"/>
  <c r="G80" i="12"/>
  <c r="I78" i="12"/>
  <c r="F78" i="12"/>
  <c r="E78" i="12"/>
  <c r="D78" i="12"/>
  <c r="D77" i="13" s="1"/>
  <c r="G77" i="12"/>
  <c r="G76" i="12"/>
  <c r="G75" i="12"/>
  <c r="G74" i="12"/>
  <c r="G73" i="12"/>
  <c r="R73" i="12" s="1"/>
  <c r="G72" i="12"/>
  <c r="R72" i="12" s="1"/>
  <c r="G71" i="12"/>
  <c r="R71" i="12" s="1"/>
  <c r="G70" i="12"/>
  <c r="R70" i="12" s="1"/>
  <c r="L68" i="12"/>
  <c r="I68" i="12"/>
  <c r="F68" i="12"/>
  <c r="E68" i="12"/>
  <c r="D68" i="12"/>
  <c r="D66" i="13" s="1"/>
  <c r="G67" i="12"/>
  <c r="G66" i="12"/>
  <c r="G65" i="12"/>
  <c r="G64" i="12"/>
  <c r="G63" i="12"/>
  <c r="G62" i="12"/>
  <c r="R62" i="12" s="1"/>
  <c r="G61" i="12"/>
  <c r="R61" i="12" s="1"/>
  <c r="G60" i="12"/>
  <c r="R60" i="12" s="1"/>
  <c r="L58" i="12"/>
  <c r="I58" i="12"/>
  <c r="F58" i="12"/>
  <c r="E58" i="12"/>
  <c r="D58" i="12"/>
  <c r="D55" i="13" s="1"/>
  <c r="G57" i="12"/>
  <c r="G56" i="12"/>
  <c r="G55" i="12"/>
  <c r="G54" i="12"/>
  <c r="G53" i="12"/>
  <c r="G52" i="12"/>
  <c r="G51" i="12"/>
  <c r="R51" i="12" s="1"/>
  <c r="G50" i="12"/>
  <c r="R50" i="12" s="1"/>
  <c r="I46" i="12"/>
  <c r="F46" i="12"/>
  <c r="E46" i="12"/>
  <c r="D46" i="12"/>
  <c r="G45" i="12"/>
  <c r="G44" i="12"/>
  <c r="G43" i="12"/>
  <c r="G42" i="12"/>
  <c r="G41" i="12"/>
  <c r="G40" i="12"/>
  <c r="G39" i="12"/>
  <c r="G38" i="12"/>
  <c r="I36" i="12"/>
  <c r="F36" i="12"/>
  <c r="E36" i="12"/>
  <c r="D36" i="12"/>
  <c r="G35" i="12"/>
  <c r="G34" i="12"/>
  <c r="G33" i="12"/>
  <c r="G32" i="12"/>
  <c r="G31" i="12"/>
  <c r="G30" i="12"/>
  <c r="G29" i="12"/>
  <c r="G28" i="12"/>
  <c r="L26" i="12"/>
  <c r="I26" i="12"/>
  <c r="F26" i="12"/>
  <c r="E26" i="12"/>
  <c r="D26" i="12"/>
  <c r="D20" i="13" s="1"/>
  <c r="G25" i="12"/>
  <c r="G24" i="12"/>
  <c r="G23" i="12"/>
  <c r="G22" i="12"/>
  <c r="G21" i="12"/>
  <c r="G20" i="12"/>
  <c r="R20" i="12" s="1"/>
  <c r="M19" i="12"/>
  <c r="N19" i="12" s="1"/>
  <c r="O19" i="12" s="1"/>
  <c r="G19" i="12"/>
  <c r="R19" i="12" s="1"/>
  <c r="M18" i="12"/>
  <c r="N18" i="12" s="1"/>
  <c r="O18" i="12" s="1"/>
  <c r="G18" i="12"/>
  <c r="R18" i="12" s="1"/>
  <c r="L16" i="12"/>
  <c r="F16" i="12"/>
  <c r="E16" i="12"/>
  <c r="D16" i="12"/>
  <c r="G15" i="12"/>
  <c r="G14" i="12"/>
  <c r="G13" i="12"/>
  <c r="G12" i="12"/>
  <c r="G11" i="12"/>
  <c r="R11" i="12" s="1"/>
  <c r="G10" i="12"/>
  <c r="R10" i="12" s="1"/>
  <c r="G9" i="12"/>
  <c r="R9" i="12" s="1"/>
  <c r="I187" i="12" l="1"/>
  <c r="D9" i="13"/>
  <c r="L187" i="12"/>
  <c r="G77" i="13"/>
  <c r="G66" i="13"/>
  <c r="G111" i="13"/>
  <c r="G20" i="13"/>
  <c r="G9" i="13"/>
  <c r="G55" i="13"/>
  <c r="G122" i="13"/>
  <c r="G100" i="13"/>
  <c r="G16" i="12"/>
  <c r="H16" i="12"/>
  <c r="M26" i="12"/>
  <c r="M16" i="12"/>
  <c r="H152" i="12"/>
  <c r="H187" i="12"/>
  <c r="L189" i="12"/>
  <c r="H130" i="12"/>
  <c r="D187" i="12"/>
  <c r="F187" i="12"/>
  <c r="F188" i="12" s="1"/>
  <c r="F189" i="12" s="1"/>
  <c r="G46" i="12"/>
  <c r="G120" i="12"/>
  <c r="G142" i="12"/>
  <c r="G162" i="12"/>
  <c r="H180" i="12"/>
  <c r="M68" i="12"/>
  <c r="M100" i="12"/>
  <c r="E187" i="12"/>
  <c r="E188" i="12" s="1"/>
  <c r="M58" i="12"/>
  <c r="H68" i="12"/>
  <c r="G78" i="12"/>
  <c r="R78" i="12" s="1"/>
  <c r="H88" i="12"/>
  <c r="H100" i="12"/>
  <c r="H110" i="12"/>
  <c r="G36" i="12"/>
  <c r="H46" i="12"/>
  <c r="G58" i="12"/>
  <c r="G130" i="12"/>
  <c r="G152" i="12"/>
  <c r="G172" i="12"/>
  <c r="H26" i="12"/>
  <c r="G88" i="12"/>
  <c r="H172" i="12"/>
  <c r="H36" i="12"/>
  <c r="H162" i="12"/>
  <c r="G100" i="12"/>
  <c r="H58" i="12"/>
  <c r="H78" i="12"/>
  <c r="H120" i="12"/>
  <c r="G26" i="12"/>
  <c r="G68" i="12"/>
  <c r="G110" i="12"/>
  <c r="G180" i="12"/>
  <c r="H142" i="12"/>
  <c r="I188" i="12" l="1"/>
  <c r="I189" i="12" s="1"/>
  <c r="M187" i="12"/>
  <c r="M188" i="12" s="1"/>
  <c r="D188" i="12"/>
  <c r="D189" i="12" s="1"/>
  <c r="D204" i="12" s="1"/>
  <c r="D200" i="12"/>
  <c r="D201" i="12" s="1"/>
  <c r="G187" i="12"/>
  <c r="H189" i="12"/>
  <c r="E189" i="12"/>
  <c r="E195" i="12"/>
  <c r="F196" i="12"/>
  <c r="F195" i="12"/>
  <c r="E196" i="12"/>
  <c r="G188" i="12" l="1"/>
  <c r="M189" i="12"/>
  <c r="D196" i="12"/>
  <c r="D197" i="12"/>
  <c r="D195" i="12"/>
  <c r="E198" i="12"/>
  <c r="F198" i="12"/>
  <c r="G189" i="12" l="1"/>
  <c r="D198" i="12"/>
  <c r="K206" i="13"/>
  <c r="N180" i="12"/>
  <c r="N58" i="12"/>
  <c r="N100" i="12"/>
  <c r="K208" i="13" l="1"/>
  <c r="K197" i="13"/>
  <c r="N26" i="12"/>
  <c r="O26" i="12"/>
  <c r="K55" i="13"/>
  <c r="K205" i="13" l="1"/>
  <c r="K108" i="13"/>
  <c r="K63" i="13"/>
  <c r="N68" i="12" l="1"/>
  <c r="O16" i="12"/>
  <c r="N16" i="12"/>
  <c r="N187" i="12" s="1"/>
  <c r="N188" i="12" s="1"/>
  <c r="O187" i="12" l="1"/>
  <c r="N189" i="12"/>
  <c r="O188" i="12" l="1"/>
  <c r="O189" i="12" s="1"/>
  <c r="K17" i="13"/>
  <c r="K209" i="13" l="1"/>
  <c r="L55" i="13" l="1"/>
  <c r="L63" i="13"/>
  <c r="L108" i="13" l="1"/>
  <c r="P26" i="12" l="1"/>
  <c r="P16" i="12" l="1"/>
  <c r="R16" i="12" s="1"/>
  <c r="P187" i="12" l="1"/>
  <c r="R187" i="12" s="1"/>
  <c r="R188" i="12" l="1"/>
  <c r="P189" i="12" l="1"/>
  <c r="R189" i="12" s="1"/>
  <c r="I200" i="12" l="1"/>
  <c r="I201" i="12" s="1"/>
  <c r="L197" i="13"/>
  <c r="L189" i="13"/>
  <c r="L208" i="13" l="1"/>
  <c r="L20" i="13"/>
  <c r="L28" i="13"/>
  <c r="M208" i="13" l="1"/>
  <c r="L202" i="13" l="1"/>
  <c r="M202" i="13" l="1"/>
  <c r="L206" i="13"/>
  <c r="L209" i="13" s="1"/>
  <c r="L9" i="13"/>
  <c r="L17" i="13"/>
  <c r="L211" i="13" l="1"/>
  <c r="L213" i="13" s="1"/>
  <c r="M206" i="13"/>
  <c r="M209" i="13" s="1"/>
  <c r="M210" i="13" l="1"/>
  <c r="M211" i="13" s="1"/>
  <c r="N211" i="13" s="1"/>
</calcChain>
</file>

<file path=xl/sharedStrings.xml><?xml version="1.0" encoding="utf-8"?>
<sst xmlns="http://schemas.openxmlformats.org/spreadsheetml/2006/main" count="30315" uniqueCount="1778">
  <si>
    <t>Total</t>
  </si>
  <si>
    <t>TOTAL</t>
  </si>
  <si>
    <t>1. Staff and other personnel</t>
  </si>
  <si>
    <t>3. Equipment, Vehicles, and Furniture (including Depreciation)</t>
  </si>
  <si>
    <t>4. Contractual services</t>
  </si>
  <si>
    <t>5. Travel</t>
  </si>
  <si>
    <t>6. Transfers and Grants to Counterparts</t>
  </si>
  <si>
    <t>7. General Operating and other Costs</t>
  </si>
  <si>
    <t>Subtotal</t>
  </si>
  <si>
    <t>Output 1.1:</t>
  </si>
  <si>
    <t>Activity 1.1.1:</t>
  </si>
  <si>
    <t>Activity 1.1.2:</t>
  </si>
  <si>
    <t>Output 1.2:</t>
  </si>
  <si>
    <t>Activity 1.2.1</t>
  </si>
  <si>
    <t>Activity 1.2.2</t>
  </si>
  <si>
    <t xml:space="preserve">OUTCOME 2: </t>
  </si>
  <si>
    <t>Activity 2.1.1</t>
  </si>
  <si>
    <t>Activity 2.1.2</t>
  </si>
  <si>
    <t>Output 2.2</t>
  </si>
  <si>
    <t>Activity 2.2.1</t>
  </si>
  <si>
    <t>Activity 2.2.2</t>
  </si>
  <si>
    <t>Activity 2.2.3</t>
  </si>
  <si>
    <t xml:space="preserve">OUTCOME 3: </t>
  </si>
  <si>
    <t>Output 3.1</t>
  </si>
  <si>
    <t>Activity 3.1.1</t>
  </si>
  <si>
    <t>Activity 3.1.2</t>
  </si>
  <si>
    <t>Activity 3.1.3</t>
  </si>
  <si>
    <t>Output 3.2:</t>
  </si>
  <si>
    <t>Activity 3.2.1</t>
  </si>
  <si>
    <t>Activity 3.2.2</t>
  </si>
  <si>
    <t>Additional personnel costs</t>
  </si>
  <si>
    <t>Additional operational costs</t>
  </si>
  <si>
    <t>Monitoring budget</t>
  </si>
  <si>
    <t>Budget for independent final evaluation</t>
  </si>
  <si>
    <t>Budget for independent audit</t>
  </si>
  <si>
    <t xml:space="preserve">Annex D - PBF Project Budget </t>
  </si>
  <si>
    <t>CSO Version</t>
  </si>
  <si>
    <t>Table 1 - PBF project budget by outcome, output and activity</t>
  </si>
  <si>
    <r>
      <rPr>
        <b/>
        <sz val="12"/>
        <color theme="1"/>
        <rFont val="Calibri"/>
        <family val="2"/>
        <scheme val="minor"/>
      </rPr>
      <t>Outcome/ Output</t>
    </r>
    <r>
      <rPr>
        <sz val="12"/>
        <color theme="1"/>
        <rFont val="Calibri"/>
        <family val="2"/>
        <scheme val="minor"/>
      </rPr>
      <t xml:space="preserve"> number</t>
    </r>
  </si>
  <si>
    <r>
      <rPr>
        <b/>
        <sz val="12"/>
        <color theme="1"/>
        <rFont val="Calibri"/>
        <family val="2"/>
        <scheme val="minor"/>
      </rPr>
      <t>Description</t>
    </r>
    <r>
      <rPr>
        <sz val="12"/>
        <color theme="1"/>
        <rFont val="Calibri"/>
        <family val="2"/>
        <scheme val="minor"/>
      </rPr>
      <t xml:space="preserve"> (Text)</t>
    </r>
  </si>
  <si>
    <t>Recipient Organization</t>
  </si>
  <si>
    <t>Recipient Organization 2 Budget</t>
  </si>
  <si>
    <t>Recipient Organization 3 Budget</t>
  </si>
  <si>
    <r>
      <rPr>
        <b/>
        <sz val="12"/>
        <color theme="1"/>
        <rFont val="Calibri"/>
        <family val="2"/>
        <scheme val="minor"/>
      </rPr>
      <t xml:space="preserve">% of budget </t>
    </r>
    <r>
      <rPr>
        <sz val="12"/>
        <color theme="1"/>
        <rFont val="Calibri"/>
        <family val="2"/>
        <scheme val="minor"/>
      </rPr>
      <t xml:space="preserve">per activity allocated to </t>
    </r>
    <r>
      <rPr>
        <b/>
        <sz val="12"/>
        <color theme="1"/>
        <rFont val="Calibri"/>
        <family val="2"/>
        <scheme val="minor"/>
      </rPr>
      <t xml:space="preserve">Gender Equality and Women's Empowerment (GEWE) </t>
    </r>
    <r>
      <rPr>
        <sz val="12"/>
        <color theme="1"/>
        <rFont val="Calibri"/>
        <family val="2"/>
        <scheme val="minor"/>
      </rPr>
      <t>(if any):</t>
    </r>
  </si>
  <si>
    <r>
      <t xml:space="preserve">Current level of </t>
    </r>
    <r>
      <rPr>
        <b/>
        <sz val="12"/>
        <color theme="1"/>
        <rFont val="Calibri"/>
        <family val="2"/>
        <scheme val="minor"/>
      </rPr>
      <t>expenditure/ commitment</t>
    </r>
    <r>
      <rPr>
        <sz val="12"/>
        <color theme="1"/>
        <rFont val="Calibri"/>
        <family val="2"/>
        <scheme val="minor"/>
      </rPr>
      <t xml:space="preserve"> (to be completed at time of project progress reporting) </t>
    </r>
  </si>
  <si>
    <r>
      <rPr>
        <b/>
        <sz val="12"/>
        <color theme="1"/>
        <rFont val="Calibri"/>
        <family val="2"/>
        <scheme val="minor"/>
      </rPr>
      <t xml:space="preserve">GEWE justification </t>
    </r>
    <r>
      <rPr>
        <sz val="12"/>
        <color theme="1"/>
        <rFont val="Calibri"/>
        <family val="2"/>
        <scheme val="minor"/>
      </rPr>
      <t>(e.g. training includes session on gender equality, specific efforts made to ensure equal representation of women and men etc.)</t>
    </r>
  </si>
  <si>
    <t>Revised NCE Budget</t>
  </si>
  <si>
    <t>Diff to Original $</t>
  </si>
  <si>
    <t>Diff to Original in %</t>
  </si>
  <si>
    <t xml:space="preserve">OUTCOME 1: </t>
  </si>
  <si>
    <t>N/A</t>
  </si>
  <si>
    <t>Activity 1.1.3:</t>
  </si>
  <si>
    <t>Activity 1.1.4</t>
  </si>
  <si>
    <t>Activity 1.1.5</t>
  </si>
  <si>
    <t>Activity 1.1.6</t>
  </si>
  <si>
    <t>Activity 1.1.7</t>
  </si>
  <si>
    <t>Activity 1.1.8</t>
  </si>
  <si>
    <t>Output Total</t>
  </si>
  <si>
    <t>Activity 1.2.3</t>
  </si>
  <si>
    <t>Activity 1.2.4</t>
  </si>
  <si>
    <t>Activity 1.2.5</t>
  </si>
  <si>
    <t>Activity 1.2.6</t>
  </si>
  <si>
    <t>Activity 1.2.7</t>
  </si>
  <si>
    <t>Activity 1.2.8</t>
  </si>
  <si>
    <t>Output 1.3:</t>
  </si>
  <si>
    <t>Activity 1.3.1</t>
  </si>
  <si>
    <t>Activity 1.3.2</t>
  </si>
  <si>
    <t>Activity 1.3.3</t>
  </si>
  <si>
    <t>Activity 1.3.4</t>
  </si>
  <si>
    <t>Activity 1.3.5</t>
  </si>
  <si>
    <t>Activity 1.3.6</t>
  </si>
  <si>
    <t>Activity 1.3.7</t>
  </si>
  <si>
    <t>Activity 1.3.8</t>
  </si>
  <si>
    <t>Output 1.4:</t>
  </si>
  <si>
    <t>Activity 1.4.1</t>
  </si>
  <si>
    <t>Activity 1.4.2</t>
  </si>
  <si>
    <t>Activity 1.4.3</t>
  </si>
  <si>
    <t>Activity 1.4.4</t>
  </si>
  <si>
    <t>Activity 1.4.5</t>
  </si>
  <si>
    <t>Activity 1.4.6</t>
  </si>
  <si>
    <t>Activity 1.4.7</t>
  </si>
  <si>
    <t>Activity 1.4.8</t>
  </si>
  <si>
    <t>Activity 2.1.3</t>
  </si>
  <si>
    <t>Activity 2.1.4</t>
  </si>
  <si>
    <t>Activity 2.1.5</t>
  </si>
  <si>
    <t>Activity 2.1.6</t>
  </si>
  <si>
    <t>Activity 2.1.7</t>
  </si>
  <si>
    <t>Activity 2.1.8</t>
  </si>
  <si>
    <t>NA</t>
  </si>
  <si>
    <t>Activity 2.2.4</t>
  </si>
  <si>
    <t>Activity 2.2.5</t>
  </si>
  <si>
    <t>Activity 2.2.6</t>
  </si>
  <si>
    <t>Activity 2.2.7</t>
  </si>
  <si>
    <t>Activity 2.2.8</t>
  </si>
  <si>
    <t>Output 2.3</t>
  </si>
  <si>
    <t>Activity 2.3.1</t>
  </si>
  <si>
    <t>Activity 2.3.2</t>
  </si>
  <si>
    <t>Activity 2.3.3</t>
  </si>
  <si>
    <t>Activity 2.3.4</t>
  </si>
  <si>
    <t>Activity 2.3.5</t>
  </si>
  <si>
    <t>Activity 2.3.6</t>
  </si>
  <si>
    <t>Activity 2.3.7</t>
  </si>
  <si>
    <t>Activity 2.3.8</t>
  </si>
  <si>
    <t>Output 2.4</t>
  </si>
  <si>
    <t>Activity 2.4.1</t>
  </si>
  <si>
    <t>Activity 2.4.2</t>
  </si>
  <si>
    <t>Activity 2.4.3</t>
  </si>
  <si>
    <t>Activity 2.4.4</t>
  </si>
  <si>
    <t>Activity 2.4.5</t>
  </si>
  <si>
    <t>Activity 2.4.6</t>
  </si>
  <si>
    <t>Activity 2.4.7</t>
  </si>
  <si>
    <t>Activity 2.4.8</t>
  </si>
  <si>
    <t>Activity 3.1.4</t>
  </si>
  <si>
    <t>Activity 3.1.5</t>
  </si>
  <si>
    <t>Activity 3.1.6</t>
  </si>
  <si>
    <t>Activity 3.1.7</t>
  </si>
  <si>
    <t>Activity 3.1.8</t>
  </si>
  <si>
    <t>Activity 3.2.3</t>
  </si>
  <si>
    <t>Activity 3.2.4</t>
  </si>
  <si>
    <t>Activity 3.2.5</t>
  </si>
  <si>
    <t>Activity 3.2.6</t>
  </si>
  <si>
    <t>Activity 3.2.7</t>
  </si>
  <si>
    <t>Activity 3.2.8</t>
  </si>
  <si>
    <t>Output 3.3</t>
  </si>
  <si>
    <t>Activity 3.3.1</t>
  </si>
  <si>
    <t>Activity 3.3.2</t>
  </si>
  <si>
    <t>Activity 3.3.3</t>
  </si>
  <si>
    <t>Activity 3.3.4</t>
  </si>
  <si>
    <t>Activity 3.3.5</t>
  </si>
  <si>
    <t>Activity 3.3.6</t>
  </si>
  <si>
    <t>Activity 3.3.7</t>
  </si>
  <si>
    <t>Activity 3.3.8</t>
  </si>
  <si>
    <t>Output 3.4</t>
  </si>
  <si>
    <t>Activity 3.4.1</t>
  </si>
  <si>
    <t>Activity 3.4.2</t>
  </si>
  <si>
    <t>Activity 3.4.3</t>
  </si>
  <si>
    <t>Activity 3.4.4</t>
  </si>
  <si>
    <t>Activity 3.4.5</t>
  </si>
  <si>
    <t>Activity 3.4.6</t>
  </si>
  <si>
    <t>Activity 3.4.7</t>
  </si>
  <si>
    <t>Activity 3.4.8</t>
  </si>
  <si>
    <t xml:space="preserve">OUTCOME 4: </t>
  </si>
  <si>
    <t>Output 4.1</t>
  </si>
  <si>
    <t>Activity 4.1.1</t>
  </si>
  <si>
    <t>Activity 4.1.2</t>
  </si>
  <si>
    <t>Activity 4.1.3</t>
  </si>
  <si>
    <t>Activity 4.1.4</t>
  </si>
  <si>
    <t>Activity 4.1.5</t>
  </si>
  <si>
    <t>Activity 4.1.6</t>
  </si>
  <si>
    <t>Activity 4.1.7</t>
  </si>
  <si>
    <t>Activity 4.1.8</t>
  </si>
  <si>
    <t>Output 4.2</t>
  </si>
  <si>
    <t>Activity 4.2.1</t>
  </si>
  <si>
    <t>Activity 4.2.2</t>
  </si>
  <si>
    <t>Activity 4.2.3</t>
  </si>
  <si>
    <t>Activity 4.2.4</t>
  </si>
  <si>
    <t>Activity 4.2.5</t>
  </si>
  <si>
    <t>Activity 4.2.6</t>
  </si>
  <si>
    <t>Activity 4.2.7</t>
  </si>
  <si>
    <t>Activity 4.2.8</t>
  </si>
  <si>
    <t>Output 4.3</t>
  </si>
  <si>
    <t>Activity 4.3.1</t>
  </si>
  <si>
    <t>Activity 4.3.2</t>
  </si>
  <si>
    <t>Activity 4.3.3</t>
  </si>
  <si>
    <t>Activity 4.3.4</t>
  </si>
  <si>
    <t>Activity 4.3.5</t>
  </si>
  <si>
    <t>Activity 4.3.6</t>
  </si>
  <si>
    <t>Activity 4.3.7</t>
  </si>
  <si>
    <t>Activity 4.3.8</t>
  </si>
  <si>
    <t>Output 4.4</t>
  </si>
  <si>
    <t>Activity 4.4.1</t>
  </si>
  <si>
    <t>Activity 4.4.2</t>
  </si>
  <si>
    <t>Activity 4.4.3</t>
  </si>
  <si>
    <t>Activity 4.4.4</t>
  </si>
  <si>
    <t>Activity 4.4.5</t>
  </si>
  <si>
    <t>Activity 4.4.6</t>
  </si>
  <si>
    <t>Activity 4.4.7</t>
  </si>
  <si>
    <t>Activity 4.4.8</t>
  </si>
  <si>
    <t>This M &amp; E line includes ongoing M&amp; E support, ensuring the accountability, regular review meeting including mid-term.</t>
  </si>
  <si>
    <t>Consultancy fees for final independent evaluation</t>
  </si>
  <si>
    <t>Consultancy fees for final independent audit</t>
  </si>
  <si>
    <t>Total Additional Costs</t>
  </si>
  <si>
    <t>Totals</t>
  </si>
  <si>
    <t>Recipient Organization 2</t>
  </si>
  <si>
    <t>Recipient Organization 3</t>
  </si>
  <si>
    <t>Sub-Total Project Budget</t>
  </si>
  <si>
    <t>Indirect support costs (7%):</t>
  </si>
  <si>
    <t>Performance-Based Tranche Breakdown</t>
  </si>
  <si>
    <t>Tranche %</t>
  </si>
  <si>
    <t>First Tranche:</t>
  </si>
  <si>
    <t>Second Tranche:</t>
  </si>
  <si>
    <t>Third Tranche</t>
  </si>
  <si>
    <t>Total:</t>
  </si>
  <si>
    <r>
      <t xml:space="preserve">$ Towards GEWE </t>
    </r>
    <r>
      <rPr>
        <sz val="11"/>
        <color theme="1"/>
        <rFont val="Calibri"/>
        <family val="2"/>
        <scheme val="minor"/>
      </rPr>
      <t>(includes indirect costs)</t>
    </r>
  </si>
  <si>
    <t>Total Expenditure</t>
  </si>
  <si>
    <t>% Towards GEWE</t>
  </si>
  <si>
    <t>Delivery Rate:</t>
  </si>
  <si>
    <r>
      <t xml:space="preserve">$ Towards M&amp;E </t>
    </r>
    <r>
      <rPr>
        <sz val="11"/>
        <color theme="1"/>
        <rFont val="Calibri"/>
        <family val="2"/>
        <scheme val="minor"/>
      </rPr>
      <t>(includes indirect costs)</t>
    </r>
  </si>
  <si>
    <t>% Towards M&amp;E</t>
  </si>
  <si>
    <r>
      <t xml:space="preserve">Note: PBF does not accept projects with less than </t>
    </r>
    <r>
      <rPr>
        <b/>
        <sz val="11"/>
        <color theme="1"/>
        <rFont val="Calibri"/>
        <family val="2"/>
        <scheme val="minor"/>
      </rPr>
      <t>5%</t>
    </r>
    <r>
      <rPr>
        <sz val="11"/>
        <color theme="1"/>
        <rFont val="Calibri"/>
        <family val="2"/>
        <scheme val="minor"/>
      </rPr>
      <t xml:space="preserve"> towards M&amp;E and less than </t>
    </r>
    <r>
      <rPr>
        <b/>
        <sz val="11"/>
        <color theme="1"/>
        <rFont val="Calibri"/>
        <family val="2"/>
        <scheme val="minor"/>
      </rPr>
      <t xml:space="preserve">15% </t>
    </r>
    <r>
      <rPr>
        <sz val="11"/>
        <color theme="1"/>
        <rFont val="Calibri"/>
        <family val="2"/>
        <scheme val="minor"/>
      </rPr>
      <t xml:space="preserve">towards GEWE. These figures will show as </t>
    </r>
    <r>
      <rPr>
        <sz val="11"/>
        <color rgb="FFFF0000"/>
        <rFont val="Calibri"/>
        <family val="2"/>
        <scheme val="minor"/>
      </rPr>
      <t xml:space="preserve">red </t>
    </r>
    <r>
      <rPr>
        <sz val="11"/>
        <color theme="1"/>
        <rFont val="Calibri"/>
        <family val="2"/>
        <scheme val="minor"/>
      </rPr>
      <t xml:space="preserve">if this minimum threshold is not met.  </t>
    </r>
  </si>
  <si>
    <t>Annex D - PBF Project Budget</t>
  </si>
  <si>
    <t>Table 2 - Output breakdown by UN budget categories</t>
  </si>
  <si>
    <t>Recipient Agency 2</t>
  </si>
  <si>
    <t>Recipient Agency 3</t>
  </si>
  <si>
    <t>Diff to Original in $</t>
  </si>
  <si>
    <t>OUTCOME 1</t>
  </si>
  <si>
    <t>Output 1.1</t>
  </si>
  <si>
    <t>Output Total from Table 1</t>
  </si>
  <si>
    <t>2. Supplies, Commodities, Materials</t>
  </si>
  <si>
    <t xml:space="preserve">Total </t>
  </si>
  <si>
    <t>Output 1.2</t>
  </si>
  <si>
    <t>Output 1.3</t>
  </si>
  <si>
    <t>Output 1.4</t>
  </si>
  <si>
    <t>OUTCOME 2</t>
  </si>
  <si>
    <t>Output 2.1</t>
  </si>
  <si>
    <t>OUTCOME 3</t>
  </si>
  <si>
    <t>Output 3.2</t>
  </si>
  <si>
    <t>OUTCOME 4</t>
  </si>
  <si>
    <t>Additional Costs</t>
  </si>
  <si>
    <t>Additional Cost Totals from Table 1</t>
  </si>
  <si>
    <t>7% Indirect Costs</t>
  </si>
  <si>
    <t>Original Budget</t>
  </si>
  <si>
    <t>NEW REVISED BUDGET(A)</t>
  </si>
  <si>
    <t>Revised NCE Budget(B)</t>
  </si>
  <si>
    <t>Diff to Original $ (A-B)</t>
  </si>
  <si>
    <r>
      <t xml:space="preserve">Current level of </t>
    </r>
    <r>
      <rPr>
        <b/>
        <sz val="12"/>
        <color theme="1"/>
        <rFont val="Calibri"/>
        <family val="2"/>
        <scheme val="minor"/>
      </rPr>
      <t xml:space="preserve">expenditure/ </t>
    </r>
    <r>
      <rPr>
        <sz val="12"/>
        <color theme="1"/>
        <rFont val="Calibri"/>
        <family val="2"/>
        <scheme val="minor"/>
      </rPr>
      <t xml:space="preserve"> (to be completed at time of project progress reporting) </t>
    </r>
  </si>
  <si>
    <t>%GEWE</t>
  </si>
  <si>
    <t xml:space="preserve"> NCE Budget</t>
  </si>
  <si>
    <t>BALANCE</t>
  </si>
  <si>
    <t>Annex 1: MPTFO Guidance on UN Cost Categories</t>
  </si>
  <si>
    <r>
      <rPr>
        <b/>
        <sz val="11"/>
        <color theme="1"/>
        <rFont val="Calibri"/>
        <family val="2"/>
        <scheme val="minor"/>
      </rPr>
      <t xml:space="preserve">1. Staff and other personnel costs: </t>
    </r>
    <r>
      <rPr>
        <sz val="11"/>
        <color theme="1"/>
        <rFont val="Calibri"/>
        <family val="2"/>
        <scheme val="minor"/>
      </rPr>
      <t>Includes all related staff and temporary staff costs including base salary, post adjustment and all staff entitlements.</t>
    </r>
  </si>
  <si>
    <r>
      <rPr>
        <b/>
        <sz val="11"/>
        <color theme="1"/>
        <rFont val="Calibri"/>
        <family val="2"/>
        <scheme val="minor"/>
      </rPr>
      <t>2. Supplies, Commodities, Materials:</t>
    </r>
    <r>
      <rPr>
        <sz val="11"/>
        <color theme="1"/>
        <rFont val="Calibri"/>
        <family val="2"/>
        <scheme val="minor"/>
      </rPr>
      <t xml:space="preserve"> Includes all direct and indirect costs (e.g. freight, transport, delivery, distribution) associated with procurement of supplies, commodities and materials. Office supplies should be reported as "General Operating".</t>
    </r>
  </si>
  <si>
    <r>
      <rPr>
        <b/>
        <sz val="11"/>
        <color theme="1"/>
        <rFont val="Calibri"/>
        <family val="2"/>
        <scheme val="minor"/>
      </rPr>
      <t xml:space="preserve">3. Equipment, Vehicles and Furniture including Depreciation: </t>
    </r>
    <r>
      <rPr>
        <sz val="11"/>
        <color theme="1"/>
        <rFont val="Calibri"/>
        <family val="2"/>
        <scheme val="minor"/>
      </rPr>
      <t>For those reporting assets on UNSAS or modified UNSAS basis (i.e. expense up front) this would relate to all costs to put asset into service. For those who do donor reports according to IPSAS this would equal depreciation for period.</t>
    </r>
  </si>
  <si>
    <r>
      <rPr>
        <b/>
        <sz val="11"/>
        <color theme="1"/>
        <rFont val="Calibri"/>
        <family val="2"/>
        <scheme val="minor"/>
      </rPr>
      <t>4. Contractual Services:</t>
    </r>
    <r>
      <rPr>
        <sz val="11"/>
        <color theme="1"/>
        <rFont val="Calibri"/>
        <family val="2"/>
        <scheme val="minor"/>
      </rPr>
      <t xml:space="preserve"> Services contracted by an organization which follow the normal procurement processes. In IPSAS terminology this would be similar to exchange transactions. This could include contracts given to NGOs if they are more similar to procurement of services than a grant transfer.</t>
    </r>
  </si>
  <si>
    <r>
      <rPr>
        <b/>
        <sz val="11"/>
        <color theme="1"/>
        <rFont val="Calibri"/>
        <family val="2"/>
        <scheme val="minor"/>
      </rPr>
      <t>5. Travel:</t>
    </r>
    <r>
      <rPr>
        <sz val="11"/>
        <color theme="1"/>
        <rFont val="Calibri"/>
        <family val="2"/>
        <scheme val="minor"/>
      </rPr>
      <t xml:space="preserve"> Includes staff and non-staff travel paid for by the organization directly related to a project.</t>
    </r>
  </si>
  <si>
    <r>
      <rPr>
        <b/>
        <sz val="11"/>
        <color theme="1"/>
        <rFont val="Calibri"/>
        <family val="2"/>
        <scheme val="minor"/>
      </rPr>
      <t>6. Transfers and Grants to Counterparts:</t>
    </r>
    <r>
      <rPr>
        <sz val="11"/>
        <color theme="1"/>
        <rFont val="Calibri"/>
        <family val="2"/>
        <scheme val="minor"/>
      </rPr>
      <t xml:space="preserve"> Includes transfers to national counterparts and any other transfers given to an implementing partner (e.g. NGO) which is not similar to a commercial service contract as per above. In IPSAS terms this would be more similar to non-exchange transactions.</t>
    </r>
  </si>
  <si>
    <r>
      <rPr>
        <b/>
        <sz val="11"/>
        <color theme="1"/>
        <rFont val="Calibri"/>
        <family val="2"/>
        <scheme val="minor"/>
      </rPr>
      <t>7. General Operating and Other Direct Costs:</t>
    </r>
    <r>
      <rPr>
        <sz val="11"/>
        <color theme="1"/>
        <rFont val="Calibri"/>
        <family val="2"/>
        <scheme val="minor"/>
      </rPr>
      <t xml:space="preserve"> Includes all general operating costs for running an office. Examples include telecommunication, rents, finance charges and other costs which cannot be mapped to other expense categories.</t>
    </r>
  </si>
  <si>
    <t>For MPTFO Use</t>
  </si>
  <si>
    <t xml:space="preserve">Sub-total </t>
  </si>
  <si>
    <t>Recip Agency 2</t>
  </si>
  <si>
    <t>Recip Agency 3</t>
  </si>
  <si>
    <t>Third Tranche:</t>
  </si>
  <si>
    <t>The institutional capacity of 13 local returnee, IDP and host women -led organizations is stregthened to effectively operate and manage their associations</t>
  </si>
  <si>
    <t>13 networks of women led organizations are well coordinated resourced and accountable to each other</t>
  </si>
  <si>
    <t xml:space="preserve"> Consultative mapping of women-led associations, engaging communities, leaders and civil society</t>
  </si>
  <si>
    <t>Conduct inclusive, capacity needs assessment of 5 community-based women’s networks</t>
  </si>
  <si>
    <t>Establish 8 new women-led networks made up of 5 to 10 community-led women’s associations engaged in social cohesion, community and economic development</t>
  </si>
  <si>
    <t>Capacity strengthening training modules developed and delivered with 13 women-led networks: financial management, organizational governance, M&amp;E, grantmaking, accountability, gender-transformative budgeting </t>
  </si>
  <si>
    <t>13 women's network implement strategic social cohesion plans in support of women's political participation</t>
  </si>
  <si>
    <t>Strategic plans (SP) for 13 networks developed to enhance women’s activism and political participation using social cohesion approaches</t>
  </si>
  <si>
    <t>Develop innovation micro-fund to support 13 women (2x13 commune) groups to implement their strategic plans (maximum of $10,000/network/year). Building momentum from 1.1.1</t>
  </si>
  <si>
    <t>Organize 10 peer learning forums with all 13 networks to capitalize on and share lessons learned and good practices from the most effective women-led strategies (linking 1.2.2).</t>
  </si>
  <si>
    <t>9,642 individuals (2.535 returnee ad 465 IDP women 2,652 young women and men) have increased their participation in political spaces at local, regional and national to strengthen insitutional gender equality</t>
  </si>
  <si>
    <t>Women-led networks advocacy to promote women's political participation</t>
  </si>
  <si>
    <t xml:space="preserve">14 Advocacy training (province and national level) with 13 women organizations, how to constructively address gender equality and transformative policy-making. </t>
  </si>
  <si>
    <t xml:space="preserve">Advocacy design workshops with 13 women-led networks at commune and national levels profiling women’s needs </t>
  </si>
  <si>
    <t xml:space="preserve">13 communal Community Development Plans (CDPs) are gender transformative </t>
  </si>
  <si>
    <t>Technical support provided to 260 provincial and commune administrative officials on gender-transformative budgeting and planning to inform CDPs </t>
  </si>
  <si>
    <t>Organize 6 sessions per commune over two years for 260 women, engaging powerholders on priority issues for women’s empowerment and gender equality,</t>
  </si>
  <si>
    <t>Women-led CSO tracker developed to monitor implementation.</t>
  </si>
  <si>
    <t>1,008 female political candidates are provided with mentoring and coaching programs on leadership skills and resouce mobilixation</t>
  </si>
  <si>
    <t>Provision of care support for women with children participating in training, addressing women's participation gap, due to domestic responsibilities</t>
  </si>
  <si>
    <t xml:space="preserve">39 female politicians and leaders, mentor grassroots women supporting their early political career. </t>
  </si>
  <si>
    <t xml:space="preserve">Design and implement innovative tech training (BujaHub) and support to women (networks, leaders and prospective political candidates) to leverage social media as a political space for campaign and communication strategies, ahead of 2025 elections (pre-trend tech-strategy). </t>
  </si>
  <si>
    <t xml:space="preserve">3-day training for 1,008 aspiring women politicians on political leadership, negotiation, financial management and resource mobilization </t>
  </si>
  <si>
    <t xml:space="preserve">12,480 people (6,240 women, 4,368 women over 35 years, 1,872 young women aged 18-35 years, and 6,240  men over 35 years, 3,570 returne men and women, 624 IDP men and women and 2,496 youth aged 18-35 years old) challenge harmful social gender norms within their households and promote new approaches for gender equality </t>
  </si>
  <si>
    <t xml:space="preserve">Publication of a report hightlighting the root causes of gender inequality and VAWG in Burundi. </t>
  </si>
  <si>
    <t>Conduct policy-relevant, evidence-based analysis of the root causes of gender inequality that sustain violence against women and girls</t>
  </si>
  <si>
    <t>Lead community consultations with female leaders, vulnerable and marginalized women, capturing the experience of women, supporting 3.1.1</t>
  </si>
  <si>
    <t xml:space="preserve">Publication of a final report using 3.1.1 and 3.1.2 evidence, making recommendations for cultural and gender norm transformation. </t>
  </si>
  <si>
    <t>13 community action plans are developed tackling the root causes of gender inequality highlighted in output 3.1</t>
  </si>
  <si>
    <t>Develop 13 Community-led action plans tackling cultural/institutional barriers to women (linked to 3.1.3), leveraging traditional platforms (Bashingantahe and colline councils)</t>
  </si>
  <si>
    <t xml:space="preserve">Support women’s networks strategic engagement with government ministries and regional bodies (EAC), disseminating 3.1.3. </t>
  </si>
  <si>
    <t xml:space="preserve">12,480 individuals (3.744 returnees and 624 IDPs, 2,496 youth (18-35 years) promote new gender equal norms within their individuals, 390 women and 390 men), through cascade reach additional 11,700 individuals using the faithful model couples' approach </t>
  </si>
  <si>
    <t>Organize 13 trainings sessions targeting 390 couples (780 individuals, 390 women and 390 men), through the cascade reach additional 11,700 individuals, using the faithful house model couples’ approach</t>
  </si>
  <si>
    <t>Produce 10 radio programs supporting women’s political rights that sensitize approximately 117,000 people indirectly in 13 communes</t>
  </si>
  <si>
    <t xml:space="preserve">The activity is focused on identifying women associations to be part of the networks for purpose of capacity stregthening  and support </t>
  </si>
  <si>
    <t>The project will identify capacity gaps for exisitng women networks in Ruyigi and develop a capacity stregthening plan and modules</t>
  </si>
  <si>
    <t xml:space="preserve">The activity is focused on identifying women associations to be part of the 8 networks that will be estabilished in Rutana and Ruyigi for purpose of building solidarity chains and capacity enhanncement to make them have collective voice and accoutable </t>
  </si>
  <si>
    <t>The training modules developed will be used for capacity strengthening of women network members. The whole activity is aimed at empowering women to be more engaged at management levels</t>
  </si>
  <si>
    <t xml:space="preserve">The plans are all for women networks and is aimed at making them have clear focus and vision for delivery of their strategies </t>
  </si>
  <si>
    <t>The funds will be given to women networks that will subgrant to their associations which are mostly women and will deliver on their strategic plans</t>
  </si>
  <si>
    <t xml:space="preserve">The learning forums and exchanges will be between the differen women networks and member associations at the province level to learn and strengthen their networks </t>
  </si>
  <si>
    <r>
      <t xml:space="preserve">Any other </t>
    </r>
    <r>
      <rPr>
        <b/>
        <sz val="12"/>
        <color rgb="FFFF0000"/>
        <rFont val="Calibri"/>
        <family val="2"/>
        <scheme val="minor"/>
      </rPr>
      <t>remarks</t>
    </r>
    <r>
      <rPr>
        <sz val="12"/>
        <color rgb="FFFF0000"/>
        <rFont val="Calibri"/>
        <family val="2"/>
        <scheme val="minor"/>
      </rPr>
      <t xml:space="preserve"> (e.g. on types of inputs provided or budget justification, esp. for TA or travel costs)</t>
    </r>
  </si>
  <si>
    <t xml:space="preserve">The training is aimed at equipping women with necessary advocay and lobbying skills to see more engagement at province, commune and national levels </t>
  </si>
  <si>
    <t xml:space="preserve">The workshops will bring together women and key women stakeholders to a workshop that will see their engagement in advoacy </t>
  </si>
  <si>
    <t xml:space="preserve">The support to the commune and provincial officials is to help them work on key elements of budgeting and planning that will ensure gender and inclusion of women is consider in the process </t>
  </si>
  <si>
    <t xml:space="preserve">The activity wil mostly use women and other pro- women activist to lobby women issues with key powerholders at provincial and national levels </t>
  </si>
  <si>
    <t xml:space="preserve">The trackers is aimed at helping women networks to track performance of their networks in ensuring that key Government and CSO groups are delivering on women issues as they committed  </t>
  </si>
  <si>
    <t>This activity direclty aims to provide space for women to engage more in spaces such workshops - lobby by providing necessary caregiving support during those sessions for women with children that require care</t>
  </si>
  <si>
    <t>The training and coaching is for women politicians and aspirants delivered by women</t>
  </si>
  <si>
    <t xml:space="preserve">The digital training is fully designed for women and to be used by the women networks </t>
  </si>
  <si>
    <t xml:space="preserve">All the 1,008 individual to be trained in this will be all women and aimed at increasng women representaiton,  participation and engagement on commune and colline counicls </t>
  </si>
  <si>
    <t>The research is aimed at identifying retrogressive and harmful cultural norms and practices and proposing for alternative progressive practice and norms in the communities that are women friendly and looks at all dimension of gender equality</t>
  </si>
  <si>
    <t>The consultation will mostly be for female leaders but also collect information from men to have a very informed idea of how to promote progressive practices in communities that will be pro gender equality</t>
  </si>
  <si>
    <t xml:space="preserve">The report is mainly around equal gender practicies that are not discriminatory to women </t>
  </si>
  <si>
    <t xml:space="preserve">The action plans will be develped by the women networks and will focus on promotion of agreed on progressive practices in the communities </t>
  </si>
  <si>
    <t xml:space="preserve">This highlevel engagement will bring together different groups of people at different levels </t>
  </si>
  <si>
    <t xml:space="preserve">This activity will bring together couples to promote good practices and behaviors that are gender sensitive and transformative in the communities  </t>
  </si>
  <si>
    <t>Although the programs will bring together men and women, it will be fully focused on promoting positive and progressive gender ideas that is aimed at minimizing the tensions of the groups</t>
  </si>
  <si>
    <t>S.1.1</t>
  </si>
  <si>
    <t>S.1.2</t>
  </si>
  <si>
    <t>S.1.3</t>
  </si>
  <si>
    <t>S.1.4</t>
  </si>
  <si>
    <t>S.1.5</t>
  </si>
  <si>
    <t>S.1.6</t>
  </si>
  <si>
    <t>S.2.1</t>
  </si>
  <si>
    <t>S.2.2</t>
  </si>
  <si>
    <t>S.2.3</t>
  </si>
  <si>
    <t>S.2.4</t>
  </si>
  <si>
    <t>S.2.5</t>
  </si>
  <si>
    <t>S.2.6</t>
  </si>
  <si>
    <t>S.3.1</t>
  </si>
  <si>
    <t>S.3.2</t>
  </si>
  <si>
    <t>S.3.3</t>
  </si>
  <si>
    <t>S.3.4</t>
  </si>
  <si>
    <t>S.3.5</t>
  </si>
  <si>
    <t>S.3.6</t>
  </si>
  <si>
    <t>O.1.1</t>
  </si>
  <si>
    <t>O.1.2</t>
  </si>
  <si>
    <t>Printer</t>
  </si>
  <si>
    <t>O.1.3</t>
  </si>
  <si>
    <t>O.1.4</t>
  </si>
  <si>
    <t>O.1.5</t>
  </si>
  <si>
    <t>O.1.7</t>
  </si>
  <si>
    <t>O.1.8</t>
  </si>
  <si>
    <t>Office supplies</t>
  </si>
  <si>
    <t>O.1.9</t>
  </si>
  <si>
    <t>O.1.11</t>
  </si>
  <si>
    <t>O.2.1</t>
  </si>
  <si>
    <t>Laptop</t>
  </si>
  <si>
    <t>O.2.3</t>
  </si>
  <si>
    <t>O.2.4</t>
  </si>
  <si>
    <t>Water and electricity</t>
  </si>
  <si>
    <t>O.2.7</t>
  </si>
  <si>
    <t>O.3.3</t>
  </si>
  <si>
    <t>O.3.4</t>
  </si>
  <si>
    <t>O.3.5</t>
  </si>
  <si>
    <t>O.3.6</t>
  </si>
  <si>
    <t>O.3.7</t>
  </si>
  <si>
    <t>O.3.8</t>
  </si>
  <si>
    <t>O.3.10</t>
  </si>
  <si>
    <t>O.3.12</t>
  </si>
  <si>
    <t>O.4.6</t>
  </si>
  <si>
    <t>COCAFEM</t>
  </si>
  <si>
    <t>RFP</t>
  </si>
  <si>
    <t>YELI</t>
  </si>
  <si>
    <t>A.1.1.1</t>
  </si>
  <si>
    <t xml:space="preserve"> Communal FP communication costs</t>
  </si>
  <si>
    <t xml:space="preserve"> Communal PF travel expenses</t>
  </si>
  <si>
    <t>Mission expenses of the DH YELI and RFP team</t>
  </si>
  <si>
    <t>Car rent</t>
  </si>
  <si>
    <t>Representation expenses of the administration and CDFC</t>
  </si>
  <si>
    <t>Total Output 2.3</t>
  </si>
  <si>
    <t>Total Output 3.3</t>
  </si>
  <si>
    <t>%</t>
  </si>
  <si>
    <t>Travel</t>
  </si>
  <si>
    <t>Consultative mapping of women-led associations, engaging communities, leaders and civil society</t>
  </si>
  <si>
    <t>Total Output  1.1</t>
  </si>
  <si>
    <t>Total - Output 1.2</t>
  </si>
  <si>
    <t>Total Output 2.1</t>
  </si>
  <si>
    <t>Organize 6 sessions per commune over two years for 260 women, engaging powerholders on priority issues for women’s empowerment and gender equality, linking 2.1.2</t>
  </si>
  <si>
    <t>Total Output 2.2</t>
  </si>
  <si>
    <t xml:space="preserve">3-day training for 1,020 aspiring women politicians on political leadership, negotiation, financial management and resource mobilization </t>
  </si>
  <si>
    <t>Total - Output  3.1</t>
  </si>
  <si>
    <t>Total- Output 3.2</t>
  </si>
  <si>
    <t>ICR</t>
  </si>
  <si>
    <t>PARTNER ACTIVITIES</t>
  </si>
  <si>
    <t>PARTNER SALARIES</t>
  </si>
  <si>
    <t>PARTNER OPERATIONS</t>
  </si>
  <si>
    <t>CA SALARIES</t>
  </si>
  <si>
    <t>CA OPERATIONS</t>
  </si>
  <si>
    <t>Act 1.1.1</t>
  </si>
  <si>
    <t>total</t>
  </si>
  <si>
    <r>
      <t xml:space="preserve">Any other </t>
    </r>
    <r>
      <rPr>
        <b/>
        <sz val="12"/>
        <color theme="1"/>
        <rFont val="Calibri"/>
        <family val="2"/>
        <scheme val="minor"/>
      </rPr>
      <t>remarks</t>
    </r>
    <r>
      <rPr>
        <sz val="12"/>
        <color theme="1"/>
        <rFont val="Calibri"/>
        <family val="2"/>
        <scheme val="minor"/>
      </rPr>
      <t xml:space="preserve"> (e.g. on types of inputs provided or budget justification, esp. for TA or travel costs)</t>
    </r>
  </si>
  <si>
    <t>Transaction Reference</t>
  </si>
  <si>
    <t>Journal  
Number</t>
  </si>
  <si>
    <t>Accounting  
Period</t>
  </si>
  <si>
    <t>Transaction  Date</t>
  </si>
  <si>
    <t>Account  Code</t>
  </si>
  <si>
    <t>Activity Line code</t>
  </si>
  <si>
    <t>Line Description</t>
  </si>
  <si>
    <t>DR / CR</t>
  </si>
  <si>
    <t xml:space="preserve"> Amount in BIF</t>
  </si>
  <si>
    <t>Transaction 
 Currency</t>
  </si>
  <si>
    <t>USD exchange rate</t>
  </si>
  <si>
    <t>Reporting /Amount in USD</t>
  </si>
  <si>
    <t>Reporting Currency</t>
  </si>
  <si>
    <t>Activity 1.1.4:</t>
  </si>
  <si>
    <t>Funding</t>
  </si>
  <si>
    <t>Partner Name</t>
  </si>
  <si>
    <t>B CHQ00003043</t>
  </si>
  <si>
    <t>Avril 2023</t>
  </si>
  <si>
    <t>D</t>
  </si>
  <si>
    <t>BIF</t>
  </si>
  <si>
    <t>USD</t>
  </si>
  <si>
    <t>9UN1085</t>
  </si>
  <si>
    <t>DUSHIREHAMWE</t>
  </si>
  <si>
    <t>9UN1086</t>
  </si>
  <si>
    <t>9UN1087</t>
  </si>
  <si>
    <t>9UN1088</t>
  </si>
  <si>
    <t>9UN1089</t>
  </si>
  <si>
    <t>2023/012</t>
  </si>
  <si>
    <t>PYT office equipments_UNPBF project</t>
  </si>
  <si>
    <t>Christian Aid</t>
  </si>
  <si>
    <t>I2281</t>
  </si>
  <si>
    <t>FHA</t>
  </si>
  <si>
    <t>TKA</t>
  </si>
  <si>
    <t>B CV948</t>
  </si>
  <si>
    <t>Office Supplies</t>
  </si>
  <si>
    <t>DND</t>
  </si>
  <si>
    <t>Cost Centre</t>
  </si>
  <si>
    <t>Employee</t>
  </si>
  <si>
    <t>Journal Source</t>
  </si>
  <si>
    <t>Orignated Date</t>
  </si>
  <si>
    <t>Journal Posting Date</t>
  </si>
  <si>
    <t>Permanently Posted by</t>
  </si>
  <si>
    <t>B CV954</t>
  </si>
  <si>
    <t>Office supply</t>
  </si>
  <si>
    <t>B CV958</t>
  </si>
  <si>
    <t>Airtime for Fabrice_March 2023</t>
  </si>
  <si>
    <t>Airtime for Zephirin_March 2023</t>
  </si>
  <si>
    <t>B FACT1687/20230301</t>
  </si>
  <si>
    <t>03.02.09.UN_PYT internet March 2023</t>
  </si>
  <si>
    <t>B FACT95</t>
  </si>
  <si>
    <t>battery for inverter</t>
  </si>
  <si>
    <t>B GB_003_01_2023</t>
  </si>
  <si>
    <t>04.01.03.UN_PYt Life Insurance _Zephirin</t>
  </si>
  <si>
    <t>B GB_003_02_2023</t>
  </si>
  <si>
    <t>04.01.01.UN_PYT life insurance_Fiacre</t>
  </si>
  <si>
    <t>B GMDB00001292023</t>
  </si>
  <si>
    <t>04.01.03.UN_PYT Medical insurance_Zephirin</t>
  </si>
  <si>
    <t>B GMDB00001402023</t>
  </si>
  <si>
    <t>04.01.01.UN_PYT Medical insurance Fiacre</t>
  </si>
  <si>
    <t>B GMDB00001462023</t>
  </si>
  <si>
    <t>04.01.02.UN_PYT Medical insucrance Fabrice&amp;Dep.</t>
  </si>
  <si>
    <t>BUR_SAL_2023/012</t>
  </si>
  <si>
    <t>Salary</t>
  </si>
  <si>
    <t>INSS</t>
  </si>
  <si>
    <t>CPF ERS</t>
  </si>
  <si>
    <t>B CV967</t>
  </si>
  <si>
    <t>2024/001</t>
  </si>
  <si>
    <t>03.02.06.UN Office supplies</t>
  </si>
  <si>
    <t>B INV002/2023</t>
  </si>
  <si>
    <t>03.02.04.UN.Office Rent_April to June 2023</t>
  </si>
  <si>
    <t>BUR_SAL_2024/001</t>
  </si>
  <si>
    <t>CFR03_04 2023</t>
  </si>
  <si>
    <t>03.02.14.UN_Bk Charge on GBR Fund Transfer</t>
  </si>
  <si>
    <t>CHQ0003060</t>
  </si>
  <si>
    <t>03.02.09.UN_PYT Staff Airtime_Zephirin_April_2023</t>
  </si>
  <si>
    <t>03.02.09.UN_PYT Staff Airtime_Fabrice_April_2023</t>
  </si>
  <si>
    <t>FACT002/2023</t>
  </si>
  <si>
    <t>03.02.05.UN.PYT CD House Rent_Apr_June 2023</t>
  </si>
  <si>
    <t>FACT1687/2023001</t>
  </si>
  <si>
    <t>03.02.09.UN.PYT internet April 2023</t>
  </si>
  <si>
    <t>FACT3034456_3038794_3043208</t>
  </si>
  <si>
    <t>03.02.09.UN_PYT Office Telephone invoice_March 23</t>
  </si>
  <si>
    <t>B Bank Charges_BIF Account</t>
  </si>
  <si>
    <t>2024/002</t>
  </si>
  <si>
    <t>03.02.14.UN Bank charges_BIF_May 2023</t>
  </si>
  <si>
    <t>B CV1001</t>
  </si>
  <si>
    <t>03.02.06.UN-Office Supplies</t>
  </si>
  <si>
    <t>B CV986</t>
  </si>
  <si>
    <t>B CV987</t>
  </si>
  <si>
    <t>03.02.06.UN Purchase of Notebooks</t>
  </si>
  <si>
    <t>B CV991</t>
  </si>
  <si>
    <t>03.02.06.UN Zephirin's key for Office</t>
  </si>
  <si>
    <t>B FACT1687/20230501</t>
  </si>
  <si>
    <t>03.02.09.UN-Internet subscription_INVOICE_May23</t>
  </si>
  <si>
    <t>B FACT3047642</t>
  </si>
  <si>
    <t>03.02.09.UN-Invoice for Landline payment_April23</t>
  </si>
  <si>
    <t>BUR_SAL_2024/002</t>
  </si>
  <si>
    <t>CHQ0003099</t>
  </si>
  <si>
    <t>03.02.09.UN April2023 Landline Phone - Buj office</t>
  </si>
  <si>
    <t>CBU</t>
  </si>
  <si>
    <t>03.02.09.UN April 2023 Landline Phone-Buj office</t>
  </si>
  <si>
    <t>C</t>
  </si>
  <si>
    <t>GMDB00002402023/Med.insurance</t>
  </si>
  <si>
    <t>Medical insurance_Philip Mato Galg_May23 toApril24</t>
  </si>
  <si>
    <t>Medical insurance_Beatrice Nij._May23 toApril24</t>
  </si>
  <si>
    <t>Medical insurance_Fiacre Havy._May23 toApril24</t>
  </si>
  <si>
    <t>Medical insurance_Colombe Ishimwe_May23 toJune24</t>
  </si>
  <si>
    <t>Medical insurance_Thyve Kaneza_May23 to Nov23</t>
  </si>
  <si>
    <t>Medical insurance_Zephirin Ndikum_May23 to March24</t>
  </si>
  <si>
    <t>Medical insurance_Fabrice NINGANZ_May23 to March24</t>
  </si>
  <si>
    <t>OP0003159</t>
  </si>
  <si>
    <t>Pyt May23 Internet subscription- Buj office</t>
  </si>
  <si>
    <t>OP0003159/REVERSAL</t>
  </si>
  <si>
    <t>Pyt May23 Internet subscription-Buj office/REVERS.</t>
  </si>
  <si>
    <t>OP0003250</t>
  </si>
  <si>
    <t>03.02.06.UN- Purchase 2cartidges for printer</t>
  </si>
  <si>
    <t>REF JLICB/NBJ/YWT/96/2023</t>
  </si>
  <si>
    <t>PYt Life Insurance _Philip_May 23_Apr 24</t>
  </si>
  <si>
    <t>PYt Life Insurance _Thyve_May 23_Nov 23</t>
  </si>
  <si>
    <t>PYt Life Insurance _Beatrice_May 23_Apr 24</t>
  </si>
  <si>
    <t>PYt Life Insurance _Colombe_May 23_June 24</t>
  </si>
  <si>
    <t>PYt Life Insurance _Zephirin_May 23_Apr 24</t>
  </si>
  <si>
    <t>PYt Life Insurance _Fabrice_May 23_Apr 24</t>
  </si>
  <si>
    <t>PYt Life Insurance _Fiacre_May 23_Apr 24</t>
  </si>
  <si>
    <t>B CV949</t>
  </si>
  <si>
    <t>Repr.fees_Permanent secretary of Min.Solidarity</t>
  </si>
  <si>
    <t>B FACT16_17_03_2023</t>
  </si>
  <si>
    <t>PYT Planning workshop_UNPBF</t>
  </si>
  <si>
    <t>B OP0002936</t>
  </si>
  <si>
    <t>PYT Start up workshop_UNPBF</t>
  </si>
  <si>
    <t>B TAR10-04-2023</t>
  </si>
  <si>
    <t>M.4.1.UNPBF Launch Preparation in Rutana&amp;Ruyigi</t>
  </si>
  <si>
    <t>B TICKET0081606191</t>
  </si>
  <si>
    <t>03.02.11.UN Fuel vehicle C 787A IT- 60L</t>
  </si>
  <si>
    <t>CHQ0003075</t>
  </si>
  <si>
    <t>03.02.11.UN_PYT Fuel 54.34L_Vehicle E 613 AIT</t>
  </si>
  <si>
    <t>03.02.11.UN_PYT Fuel 54.34L_Vehicle E 787 AIT</t>
  </si>
  <si>
    <t>OP0003237</t>
  </si>
  <si>
    <t>02.03.10.UN_PYT advert for UNPBF Project  Baseline</t>
  </si>
  <si>
    <t>B CV988</t>
  </si>
  <si>
    <t>03.02.06 UNLunch for procuremnt comittee_UNPBFBids</t>
  </si>
  <si>
    <t>B CV995</t>
  </si>
  <si>
    <t>M.4.1 Temporary driver fees_UNPBF Launch</t>
  </si>
  <si>
    <t>B TAR26-04-2023</t>
  </si>
  <si>
    <t>M.4.1.UNPBF Launch in Ruyigi and Rutana</t>
  </si>
  <si>
    <t>B TICKET0080602060</t>
  </si>
  <si>
    <t>03.02.11.UN.Fuel vehicle A418 A IT- 42.50L</t>
  </si>
  <si>
    <t>CHQ0003091</t>
  </si>
  <si>
    <t>M.4.1 Launch UNPBF Ruy-Rutna Honorary 3 daya</t>
  </si>
  <si>
    <t>OP0003151</t>
  </si>
  <si>
    <t>UNPBF launch in Ruyigi</t>
  </si>
  <si>
    <t>OP0003161</t>
  </si>
  <si>
    <t>UNPBF- Launch in Rutana</t>
  </si>
  <si>
    <t>OP139363, OP 139364, OP139365 et OP139361</t>
  </si>
  <si>
    <t>January</t>
  </si>
  <si>
    <t>Executive Secretary's salary for the month of January 2023</t>
  </si>
  <si>
    <t>Human Resources and Administration Officer's salary for the month of January 2023</t>
  </si>
  <si>
    <t>Finance Officer's salary for the month of January  2023</t>
  </si>
  <si>
    <t>Administrative and Financial Assistant's salary for the month of January  2023</t>
  </si>
  <si>
    <t>Driver's salary for January  2023</t>
  </si>
  <si>
    <t>OP 139367, OP 139368,OP139369 et OP 139366</t>
  </si>
  <si>
    <t>February</t>
  </si>
  <si>
    <t>Executive Secretary's salary for the month of February 2023</t>
  </si>
  <si>
    <t>Human Resources and Administration Officer's salary for the month of February 2023</t>
  </si>
  <si>
    <t>Finance Officer's salary for the month of February 2023</t>
  </si>
  <si>
    <t>Administrative and Financial Assistant's salary for the month of February 2023</t>
  </si>
  <si>
    <t>Driver's salary for February 2023</t>
  </si>
  <si>
    <t>OP139371,OP139372,OP139373 et OP139370</t>
  </si>
  <si>
    <t>March</t>
  </si>
  <si>
    <t>Executive Secretary's salary for the month of March 2023</t>
  </si>
  <si>
    <t>Human Resources and Administration Officer's salary for the month of March</t>
  </si>
  <si>
    <t>Finance Officer's salary for the month of March  2023</t>
  </si>
  <si>
    <t>Administrative and Financial Assistant's salary for the month of March  2023</t>
  </si>
  <si>
    <t>Driver's salary for March  2023</t>
  </si>
  <si>
    <t xml:space="preserve">OP139371,OP139372,OP139373 </t>
  </si>
  <si>
    <t>Project coordinator's salary for March  2023</t>
  </si>
  <si>
    <t>OP 139326, OP 139327,OP139328 et OP 139374</t>
  </si>
  <si>
    <t>April</t>
  </si>
  <si>
    <t>Executive Secretary's salary for the month of April 2023</t>
  </si>
  <si>
    <t>Human Resources and Administration Officer's salary for the month of April 2023</t>
  </si>
  <si>
    <t>Finance Officer's salary for the month of April 2023</t>
  </si>
  <si>
    <t>Administrative and Financial Assistant's salary for the month of April 2023</t>
  </si>
  <si>
    <t>Driver's salary for April  2023</t>
  </si>
  <si>
    <t>Project coordinator's salary for April  2023</t>
  </si>
  <si>
    <t>OP139330,OP139331,OP139332et OP 139329</t>
  </si>
  <si>
    <t>May</t>
  </si>
  <si>
    <t>Executive Secretary's salary for the month of May 2023</t>
  </si>
  <si>
    <t>Human Resources and Administration Officer's salary for the month of May 2023</t>
  </si>
  <si>
    <t>Finance Officer's salary for the month of May 2023</t>
  </si>
  <si>
    <t>Administrative and Financial Assistant's salary for the month of May 2023</t>
  </si>
  <si>
    <t>Driver's salary for May  2023</t>
  </si>
  <si>
    <t>Project coordinator's salary for May  2023</t>
  </si>
  <si>
    <t>OP139304</t>
  </si>
  <si>
    <t>Internet for January 2023</t>
  </si>
  <si>
    <t>OP139306</t>
  </si>
  <si>
    <t>Bujumbura office rent for January 2023</t>
  </si>
  <si>
    <t>Maintenance equipments for January 2023</t>
  </si>
  <si>
    <t>OP139307</t>
  </si>
  <si>
    <t>Guards Bujumbura office for January 2023</t>
  </si>
  <si>
    <t>OP139308</t>
  </si>
  <si>
    <t>Telephone fixed  communication for January 2023</t>
  </si>
  <si>
    <t>OP139309</t>
  </si>
  <si>
    <t>Bujumbura office rent for February 2023</t>
  </si>
  <si>
    <t>OP139311</t>
  </si>
  <si>
    <t>Internet for February 2023</t>
  </si>
  <si>
    <t>OP139312</t>
  </si>
  <si>
    <t>Guards Bujumbura office for February 2023</t>
  </si>
  <si>
    <t>OP139313</t>
  </si>
  <si>
    <t>Maintenance equipments for February 2023</t>
  </si>
  <si>
    <t>OP139314</t>
  </si>
  <si>
    <t>Internet for March 2023</t>
  </si>
  <si>
    <t>Telephone fixed  communication for February 2023</t>
  </si>
  <si>
    <t>OP139320</t>
  </si>
  <si>
    <t>Internet for April 2023</t>
  </si>
  <si>
    <t>Telephone fixed  communication for March 2023</t>
  </si>
  <si>
    <t>OP139315</t>
  </si>
  <si>
    <t>Bujumbura office rent for March 2023</t>
  </si>
  <si>
    <t>OP139316</t>
  </si>
  <si>
    <t>Guards Bujumbura office for March 2023</t>
  </si>
  <si>
    <t>OP139318</t>
  </si>
  <si>
    <t>Maintenance equipments for March 2023</t>
  </si>
  <si>
    <t>OP139322</t>
  </si>
  <si>
    <t>Bujumbura office rent for April 2023</t>
  </si>
  <si>
    <t>Maintenance equipments for April 2023</t>
  </si>
  <si>
    <t>OP139323</t>
  </si>
  <si>
    <t>Telephone fixed  communication for April 2023</t>
  </si>
  <si>
    <t>OP139324</t>
  </si>
  <si>
    <t>Internet for May 2023</t>
  </si>
  <si>
    <t>Bujumbura office rent for May 2023</t>
  </si>
  <si>
    <t>Chq 0000717</t>
  </si>
  <si>
    <t>Mission expenses for two persons and 2 nights</t>
  </si>
  <si>
    <t xml:space="preserve">Fuel </t>
  </si>
  <si>
    <t>OP 0000783</t>
  </si>
  <si>
    <t>Chq 0000801</t>
  </si>
  <si>
    <t>Mission expenses for three persons and 2 nights</t>
  </si>
  <si>
    <t>Communication fees for the provincial representative of DUSHIREHAMWE at Ruyigi</t>
  </si>
  <si>
    <t>OP 0000785</t>
  </si>
  <si>
    <t>Chq 0000804</t>
  </si>
  <si>
    <t>Purchase of the billboard of Ruyigi Office</t>
  </si>
  <si>
    <t>CHQ0000230</t>
  </si>
  <si>
    <t>CHQ0000231</t>
  </si>
  <si>
    <t>Mai 2023</t>
  </si>
  <si>
    <t>CHQ0002341</t>
  </si>
  <si>
    <t>Frais attestation identite bancaire</t>
  </si>
  <si>
    <t>TOTAL out put</t>
  </si>
  <si>
    <t>Subtotal  Salaries and Operations costs</t>
  </si>
  <si>
    <t>B Bank Charges_USD Account</t>
  </si>
  <si>
    <t>B CHQ0003137</t>
  </si>
  <si>
    <t>B CV1010</t>
  </si>
  <si>
    <t>B FACT3052066</t>
  </si>
  <si>
    <t>B OV0003181</t>
  </si>
  <si>
    <t>B TICKET0081608653</t>
  </si>
  <si>
    <t>BUR_SAL_2024/003</t>
  </si>
  <si>
    <t>2024/003</t>
  </si>
  <si>
    <t>03.02.14.UN-Bank charges _ USD Account_June23</t>
  </si>
  <si>
    <t>03.02.09.UN-Airtime for Zephirin&amp;Fabrice_May2023</t>
  </si>
  <si>
    <t>04.01.01.UN.Reimbursmnt on eye care costs</t>
  </si>
  <si>
    <t>03.02.09.UN-Landline Payment_May2023</t>
  </si>
  <si>
    <t>03.02.06.UN Purchase of catridges</t>
  </si>
  <si>
    <t>03.02.11.UN-Fuel vehicle A418 A IT- 44.72L</t>
  </si>
  <si>
    <t>2nd Base amount GBP</t>
  </si>
  <si>
    <t>Consult Agreement_01_06_2023</t>
  </si>
  <si>
    <t>02.03.1.UN_Base line UNPBF_Consultancy fees_June23</t>
  </si>
  <si>
    <t>CHQ1615423</t>
  </si>
  <si>
    <t>CHQ1615422</t>
  </si>
  <si>
    <t>Water and electricity January 2023</t>
  </si>
  <si>
    <t>Water and electricity February 2023</t>
  </si>
  <si>
    <t>Water and electricity March 2023</t>
  </si>
  <si>
    <t>Water and electricity April 2023</t>
  </si>
  <si>
    <t>Water and electricity May 2023</t>
  </si>
  <si>
    <t>34/06/PB/2023</t>
  </si>
  <si>
    <t>Salary of the project coordinator January 2023</t>
  </si>
  <si>
    <t>Salary of the project coordinator February 2023</t>
  </si>
  <si>
    <t>Salary of the project coordinator March 2023</t>
  </si>
  <si>
    <t>Salary of the project coordinator April 2023</t>
  </si>
  <si>
    <t>Salary of the project coordinator May 2023</t>
  </si>
  <si>
    <t>42/06/PB/2023</t>
  </si>
  <si>
    <t>Salary of the guard Buja January 2023</t>
  </si>
  <si>
    <t>Salary of the guard Buja February 2023</t>
  </si>
  <si>
    <t>Salary of the guard Buja March 2023</t>
  </si>
  <si>
    <t>Salary of the guard Buja April 2023</t>
  </si>
  <si>
    <t>Salary of the guard Buja May 2023</t>
  </si>
  <si>
    <t>Salary of the country representative January 2023</t>
  </si>
  <si>
    <t>Salary of the country representative February 2023</t>
  </si>
  <si>
    <t>Salary of the country representative March 2023</t>
  </si>
  <si>
    <t>Salary of the country representative April 2023</t>
  </si>
  <si>
    <t>Salary of the country representative May 2023</t>
  </si>
  <si>
    <t>Salary of the cleaner January 2023</t>
  </si>
  <si>
    <t>Salary of the cleaner February 2023</t>
  </si>
  <si>
    <t>Salary of the cleaner March 2023</t>
  </si>
  <si>
    <t>Salary of the cleaner April 2023</t>
  </si>
  <si>
    <t>Salary of the cleaner May 2023</t>
  </si>
  <si>
    <t>Salary of the communication officer January 2023</t>
  </si>
  <si>
    <t>Salary of the communication officer February 2023</t>
  </si>
  <si>
    <t>Salary of the communication officer March 2023</t>
  </si>
  <si>
    <t>Salary of the communication officer April 2023</t>
  </si>
  <si>
    <t>Salary of the communication officer May 2023</t>
  </si>
  <si>
    <t>Salary of the accounts secretary January 2023</t>
  </si>
  <si>
    <t>Salary of the accounts secretary February 2023</t>
  </si>
  <si>
    <t>Salary of the accounts secretary March 2023</t>
  </si>
  <si>
    <t>Salary of the accounts secretary April 2023</t>
  </si>
  <si>
    <t>Salary of the accounts secretary May 2023</t>
  </si>
  <si>
    <t>Salary of the accountant January 2023</t>
  </si>
  <si>
    <t>Salary of the accountant February 2023</t>
  </si>
  <si>
    <t>Salary of the accountant March 2023</t>
  </si>
  <si>
    <t>Salary of the accountant April 2023</t>
  </si>
  <si>
    <t>Salary of the accountant May 2023</t>
  </si>
  <si>
    <t>CHQ1615428</t>
  </si>
  <si>
    <t>Office supplies Jan- April 2023</t>
  </si>
  <si>
    <t>43/06/PB/2023</t>
  </si>
  <si>
    <t>Salary of the project coordinator June 2023</t>
  </si>
  <si>
    <t>Salary of the guard Buja June 2023</t>
  </si>
  <si>
    <t>Salary of the country representative June 2023</t>
  </si>
  <si>
    <t>Salary of the cleaner June 2023</t>
  </si>
  <si>
    <t>Salary of the communication officer June 2023</t>
  </si>
  <si>
    <t>Salary of the accounts secretary June 2023</t>
  </si>
  <si>
    <t>Salary of the accountant June 2023</t>
  </si>
  <si>
    <t>CHQ1615429</t>
  </si>
  <si>
    <t>Office supplies_May 2023</t>
  </si>
  <si>
    <t>CHQ1615431</t>
  </si>
  <si>
    <t>Internet Jan-May 2023</t>
  </si>
  <si>
    <t>CHQ1615430</t>
  </si>
  <si>
    <t>Office supplies_June 2023</t>
  </si>
  <si>
    <t>CHQ1615426</t>
  </si>
  <si>
    <t>CHQ1615433</t>
  </si>
  <si>
    <t>CHQ1615432</t>
  </si>
  <si>
    <t>43/07/PB/2023</t>
  </si>
  <si>
    <t>Rutana Office rent and advance_May 2023</t>
  </si>
  <si>
    <t>44/07/PB/2023</t>
  </si>
  <si>
    <t>Rutana Office rent_June 2023</t>
  </si>
  <si>
    <t>CHQ1615424</t>
  </si>
  <si>
    <t>CHQ1615425</t>
  </si>
  <si>
    <t xml:space="preserve">Buja  Office rent  june 2023 </t>
  </si>
  <si>
    <t>CHQ1615427</t>
  </si>
  <si>
    <t>Car rentals</t>
  </si>
  <si>
    <t>CHQ1615421</t>
  </si>
  <si>
    <t>Fuel rented vehicles</t>
  </si>
  <si>
    <t>OP 166978</t>
  </si>
  <si>
    <t>June</t>
  </si>
  <si>
    <t>Executive Secretary's salary for the month of june  2023</t>
  </si>
  <si>
    <t>Human Resources and Administration Officer's salary for the month of June 2023</t>
  </si>
  <si>
    <t>Finance Officer's salary for the month of June 2023</t>
  </si>
  <si>
    <t>Administrative and Financial Assistant's salary for the month of June 2023</t>
  </si>
  <si>
    <t>Driver's salary for June  2023</t>
  </si>
  <si>
    <t>Project coordinator's salary for June  2023</t>
  </si>
  <si>
    <t>OP 150953</t>
  </si>
  <si>
    <t>Telephone fixed  communication for May 2023</t>
  </si>
  <si>
    <t>OP 166979</t>
  </si>
  <si>
    <t>RUYIGI office rent for March-June 2023</t>
  </si>
  <si>
    <t>OP 166983</t>
  </si>
  <si>
    <t>Bujumbura office rent for June 2023</t>
  </si>
  <si>
    <t>Internet for June 2023</t>
  </si>
  <si>
    <t>Maintenance equipments for June 2023</t>
  </si>
  <si>
    <t>Guards Bujumbura office for June 2023</t>
  </si>
  <si>
    <t>OP 139325</t>
  </si>
  <si>
    <t>Maintenance equipments for May 2023</t>
  </si>
  <si>
    <t>OP 150957</t>
  </si>
  <si>
    <t>Guards Bujumbura office for April 2023</t>
  </si>
  <si>
    <t>OP 150956</t>
  </si>
  <si>
    <t>Guards Bujumbura office for May 2023</t>
  </si>
  <si>
    <t>OP 166932</t>
  </si>
  <si>
    <t>Office supplies ( printing purchase order books)</t>
  </si>
  <si>
    <t>bank statement</t>
  </si>
  <si>
    <t>Bank Charges ( BRB )</t>
  </si>
  <si>
    <t>Bank Charges ( BANCOBU )</t>
  </si>
  <si>
    <t>30/6/2023</t>
  </si>
  <si>
    <t>chq 8880780</t>
  </si>
  <si>
    <t>Vehicle fuel H 2676 A</t>
  </si>
  <si>
    <t>Vehicle fuel H 5904 A</t>
  </si>
  <si>
    <t>Vehicle fuel  E 6758 A</t>
  </si>
  <si>
    <t>Vehicle fuel  E 6044 A</t>
  </si>
  <si>
    <t>Fees for photocopies</t>
  </si>
  <si>
    <t>OP166985</t>
  </si>
  <si>
    <t>Car rent H2676A</t>
  </si>
  <si>
    <t>Car rent H 5904 A</t>
  </si>
  <si>
    <t>Car rent E6758A</t>
  </si>
  <si>
    <t>Car rent E 6044 A</t>
  </si>
  <si>
    <t>CHQ 8904410</t>
  </si>
  <si>
    <t>Communication(telephone fixe)</t>
  </si>
  <si>
    <t>CHQ 8904411</t>
  </si>
  <si>
    <t>CHQ8904412</t>
  </si>
  <si>
    <t>Office rent Janvier -juin 2023</t>
  </si>
  <si>
    <t>CHQ8904413</t>
  </si>
  <si>
    <t>Laptop HP</t>
  </si>
  <si>
    <t>OV 017</t>
  </si>
  <si>
    <t>Executive Director( Salaire janvier 2023)</t>
  </si>
  <si>
    <t>OV018</t>
  </si>
  <si>
    <t>Executive Director( salaire fevrier2023)</t>
  </si>
  <si>
    <t>OV 019</t>
  </si>
  <si>
    <t>Executive Director(salaire Mars 2023)</t>
  </si>
  <si>
    <t>OV 020</t>
  </si>
  <si>
    <t>Executive Director( salaire avril 2023)</t>
  </si>
  <si>
    <t>OV 021</t>
  </si>
  <si>
    <t>Executive Director( salaire Mai 2023)</t>
  </si>
  <si>
    <t>OV 022</t>
  </si>
  <si>
    <t>Executive Director(salaire juin 2023)</t>
  </si>
  <si>
    <t>Financial and Administrative Manager( Salaire janvier 2023)</t>
  </si>
  <si>
    <t>Financial and Administrative Manager(salaire fevrier2023)</t>
  </si>
  <si>
    <t>Financial and Administrative Manager (salaire Mars 2023)</t>
  </si>
  <si>
    <t>Financial and Administrative Manager ( salaire avril 2023)</t>
  </si>
  <si>
    <t>Financial and Administrative Manager ( salaire Mai 2023)</t>
  </si>
  <si>
    <t>Financial and Administrative Manager (salaire juin 2023)</t>
  </si>
  <si>
    <t>Monitoring and Evaluation (salaire janvier 2023)</t>
  </si>
  <si>
    <t>Monitoring and Evaluation(salaire fevrier  2023)</t>
  </si>
  <si>
    <t>Monitoring and Evaluation( salaire mars 2023</t>
  </si>
  <si>
    <t>Monitoring and Evaluation( salaire avril 2023)</t>
  </si>
  <si>
    <t>Monitoring and Evaluation(salaire mai 2023)</t>
  </si>
  <si>
    <t>Monitoring and Evaluation( salaire juin 2023)</t>
  </si>
  <si>
    <t>Project Manager(salaire janvier 2023)</t>
  </si>
  <si>
    <t>Project Manager(salaire fevrier  2023)</t>
  </si>
  <si>
    <t>Project Manager( salaire mars 2023</t>
  </si>
  <si>
    <t>Project Manager( salaire avril 2023)</t>
  </si>
  <si>
    <t>Project Manager(salaire mai 2023)</t>
  </si>
  <si>
    <t>Project Manager( salaire juin 2023)</t>
  </si>
  <si>
    <t>Capacity building  Officer(salaire janvier 2023)</t>
  </si>
  <si>
    <t>Capacity building  Officer(salaire fevrier  2023)</t>
  </si>
  <si>
    <t>Capacity building  Officer( salaire mars 2023</t>
  </si>
  <si>
    <t>Capacity building  Officer( salaire avril 2023)</t>
  </si>
  <si>
    <t>Capacity building  Officer(salaire mai 2023)</t>
  </si>
  <si>
    <t>Capacity building  Officer( salaire juin 2023)</t>
  </si>
  <si>
    <t>Accoutant(salaire janvier 2023)</t>
  </si>
  <si>
    <t>Accoutant(salaire fevrier  2023)</t>
  </si>
  <si>
    <t>Accoutant( salaire mars 2023)</t>
  </si>
  <si>
    <t>Accoutant( salaire avril 2023)</t>
  </si>
  <si>
    <t>Accoutant(salaire mai 2023)</t>
  </si>
  <si>
    <t>Accoutant( salaire juin 2023)</t>
  </si>
  <si>
    <t>ov016</t>
  </si>
  <si>
    <t>communal PF communication cost</t>
  </si>
  <si>
    <t>OV016</t>
  </si>
  <si>
    <t>Communal PF travel expenses</t>
  </si>
  <si>
    <t>OV016,CHQ8904408</t>
  </si>
  <si>
    <t>Mission expenses of the Yeli team</t>
  </si>
  <si>
    <t>Mission team communication cost</t>
  </si>
  <si>
    <t>30/06/2023</t>
  </si>
  <si>
    <t>Fuel launch at national level</t>
  </si>
  <si>
    <t>Team mission expenses</t>
  </si>
  <si>
    <t>Communication fees for team mission</t>
  </si>
  <si>
    <t>Provincial Focal Point travel expenses</t>
  </si>
  <si>
    <t xml:space="preserve">Car rental Launch at the national level </t>
  </si>
  <si>
    <r>
      <t xml:space="preserve">Final level of expenditure/ </t>
    </r>
    <r>
      <rPr>
        <sz val="12"/>
        <rFont val="Calibri"/>
        <family val="2"/>
        <scheme val="minor"/>
      </rPr>
      <t xml:space="preserve"> </t>
    </r>
  </si>
  <si>
    <t xml:space="preserve">Telephone jan-june 2023 </t>
  </si>
  <si>
    <t>Internet June 2023</t>
  </si>
  <si>
    <t>Buja  Office rent jan-May 2023</t>
  </si>
  <si>
    <t>Bank charges BIF</t>
  </si>
  <si>
    <t>Historique BIF</t>
  </si>
  <si>
    <t>Historique USD</t>
  </si>
  <si>
    <t>Bank charges USD</t>
  </si>
  <si>
    <t>RFB/925845943-R1</t>
  </si>
  <si>
    <t>1-B</t>
  </si>
  <si>
    <t>O.4.7</t>
  </si>
  <si>
    <t>Frais Bancaires USD</t>
  </si>
  <si>
    <t>OV 843252</t>
  </si>
  <si>
    <t>Aout-23</t>
  </si>
  <si>
    <t>O.4.2</t>
  </si>
  <si>
    <t>Frais de communication Jan- Juillet 2023</t>
  </si>
  <si>
    <t>OV843256</t>
  </si>
  <si>
    <t xml:space="preserve">PYT office supplies </t>
  </si>
  <si>
    <t>CHQ843257</t>
  </si>
  <si>
    <t>O.4.5</t>
  </si>
  <si>
    <t>PYT office equipments</t>
  </si>
  <si>
    <t>OV843251</t>
  </si>
  <si>
    <t>O.4.3</t>
  </si>
  <si>
    <t>Contribution Loyer (Jan-Aout 2023)</t>
  </si>
  <si>
    <t>OV843259</t>
  </si>
  <si>
    <t>A.3.1.2</t>
  </si>
  <si>
    <t xml:space="preserve"> Deplacement participant/Mission... RUYIGI</t>
  </si>
  <si>
    <t>OV843260</t>
  </si>
  <si>
    <t>Frais Deplacement participant... RUTANA</t>
  </si>
  <si>
    <t>OV 843254</t>
  </si>
  <si>
    <t xml:space="preserve">Carburant </t>
  </si>
  <si>
    <t>Prise en charge staff et hebergement</t>
  </si>
  <si>
    <t>Communication</t>
  </si>
  <si>
    <t>OV843255</t>
  </si>
  <si>
    <t>PYT Vehicle rent</t>
  </si>
  <si>
    <t>Extrait bancaire BRB</t>
  </si>
  <si>
    <t>Juilet 2023</t>
  </si>
  <si>
    <t>O.2.8</t>
  </si>
  <si>
    <t>Bank charges in dollars</t>
  </si>
  <si>
    <t>juillet</t>
  </si>
  <si>
    <t>Extrait bancaire BANCOBU</t>
  </si>
  <si>
    <t>Juillet 2023</t>
  </si>
  <si>
    <t>Bank charges in BIF</t>
  </si>
  <si>
    <t>Ov025</t>
  </si>
  <si>
    <t>Payment Office rent juillet 2023</t>
  </si>
  <si>
    <t>CH8904418</t>
  </si>
  <si>
    <t>Payment IPR  juin of Executive Director</t>
  </si>
  <si>
    <t>Payment IPR juin of Monitoring and evaluation</t>
  </si>
  <si>
    <t>Payment IPR  juin Project Manager</t>
  </si>
  <si>
    <t>Payment IPR  jun Capaciy building Officer</t>
  </si>
  <si>
    <t>OV 023</t>
  </si>
  <si>
    <t>Executive Director( Salaire Juillet 2023)</t>
  </si>
  <si>
    <t>Financial and Administrative Manager( Salaire Juillet 2023)</t>
  </si>
  <si>
    <t>Monitoring and Evaluation( salaire juillet 2023)</t>
  </si>
  <si>
    <t>Project Manager(salaire Juillet 2023)</t>
  </si>
  <si>
    <t>Capacity building  Officer( salaire Juillet 2023)</t>
  </si>
  <si>
    <t>Accoutant( salaire juillet 2023)</t>
  </si>
  <si>
    <t>OV024</t>
  </si>
  <si>
    <t>Régularisation salaire Executive Director Janvier 2023</t>
  </si>
  <si>
    <t>Régularisation  salaire Executive Director Fevrier 2023</t>
  </si>
  <si>
    <t>Régularisation salaire Executive Director  Mars 2023</t>
  </si>
  <si>
    <t>Régularisation  salaire Executive Director  Avril 2023</t>
  </si>
  <si>
    <t>Régularisation  salaire Executive Director  Mai 2023</t>
  </si>
  <si>
    <t>Régularisation  salaire Executive Director Juin 2023</t>
  </si>
  <si>
    <t>Régularisation salaire Financial  Admin Manager  janvier 2023</t>
  </si>
  <si>
    <t>Régularisation salaire Financial Admin Manager  Fevrier 2023</t>
  </si>
  <si>
    <t>Régularisation salaire Financial Admin Manager Mars 2023</t>
  </si>
  <si>
    <t>Régularisation  salaire Financial  Admin Manager Avril 2023</t>
  </si>
  <si>
    <t>Régularisation salaire Financial Admin Manager Mai 2023</t>
  </si>
  <si>
    <t>Régularisation salaire Financial Admin Manager  juin 2023</t>
  </si>
  <si>
    <t>Régularisation salaire  ME janvier 2023</t>
  </si>
  <si>
    <t>Régularisation salaire  ME Fevrier 2023)</t>
  </si>
  <si>
    <t>Régularisation salaire  ME Mars 2023)</t>
  </si>
  <si>
    <t>Régularisation salaire  ME Avril 2023)</t>
  </si>
  <si>
    <t>Régularisation salaire  ME Mai 2023)</t>
  </si>
  <si>
    <t>Régularisation salaire  ME Juin 2023)</t>
  </si>
  <si>
    <t>Régularisation Project Manager(salaire janvier 2023)</t>
  </si>
  <si>
    <t>Régularisation Project Manager(salaire Fevrier 2023)</t>
  </si>
  <si>
    <t>Régularisation Project Manager(salaire Mars 2023)</t>
  </si>
  <si>
    <t>Régularisation Project Manager(salaire Avril 2023)</t>
  </si>
  <si>
    <t>Régularisation Project Manager(salaire Mair 2023)</t>
  </si>
  <si>
    <t>Régularisation Project Manager(salaire juin 2023)</t>
  </si>
  <si>
    <t>Régularisation Capacity building  Officer( salaire juin 2023)</t>
  </si>
  <si>
    <t>Régularisation Capacity building  Officer( salaire Fevrier 2023)</t>
  </si>
  <si>
    <t>Régularisation Capacity building  Officer( salaire Mars 2023)</t>
  </si>
  <si>
    <t>Régularisation Capacity building  Officer( salaire Avril 2023)</t>
  </si>
  <si>
    <t>Régularisation Capacity building  Officer( salaire Mai 2023)</t>
  </si>
  <si>
    <t>Régularisation Accoutant(salaire janvier 2023)</t>
  </si>
  <si>
    <t>Régularisation Accoutant(salaire Fevrier 2023)</t>
  </si>
  <si>
    <t>Régularisation Accoutant(salaire Mars 2023)</t>
  </si>
  <si>
    <t>Régularisation Accoutant(salaire Avril 2023)</t>
  </si>
  <si>
    <t>Régularisation Accoutant(salaire Mai 2023)</t>
  </si>
  <si>
    <t>Régularisation Accoutant(salaire Juin 2023)</t>
  </si>
  <si>
    <t>CH8904420</t>
  </si>
  <si>
    <t>Payment IPR Executive Director (Janv 2023)</t>
  </si>
  <si>
    <t>Payment IPR Executive Director (Febr 2023)</t>
  </si>
  <si>
    <t>Payment IPR Executive Director (Mach 2023)</t>
  </si>
  <si>
    <t>Payment IPR Executive Director (April 2023)</t>
  </si>
  <si>
    <t>Payment IPR Executive Director (May 2023)</t>
  </si>
  <si>
    <t>Payment IPR Monitorig and Evaluation (Janv 2023)</t>
  </si>
  <si>
    <t>Payment IPR Monitorig and Evaluation (Febr 2023)</t>
  </si>
  <si>
    <t>Payment IPR Monitorig and Evaluation (Mach 2023)</t>
  </si>
  <si>
    <t>Payment IPRMonitorig and Evaluation (April 2023)</t>
  </si>
  <si>
    <t>Payment IPR Monitorig and Evaluation (May 2023)</t>
  </si>
  <si>
    <t>Payment IPR Project Manager (Janv 2023)</t>
  </si>
  <si>
    <t>Payment IPR Project Manager (Febr 2023)</t>
  </si>
  <si>
    <t>Payment IPR Project Manager (Mach 2023)</t>
  </si>
  <si>
    <t>Payment IPRProject Manager (April 2023)</t>
  </si>
  <si>
    <t>Payment IPR Project Manager (May 2023)</t>
  </si>
  <si>
    <t>Payment IPR Capacity builiding Officer (Janv 2023)</t>
  </si>
  <si>
    <t>Payment IPR Capacity builiding Officer (Febr 2023)</t>
  </si>
  <si>
    <t>Payment IPR Capacity builiding Officer (Mach 2023)</t>
  </si>
  <si>
    <t>Payment IPRCapacity builiding Officer (April 2023)</t>
  </si>
  <si>
    <t>Payment IPR Capacity builiding Officer (May 2023)</t>
  </si>
  <si>
    <t>CH8904419</t>
  </si>
  <si>
    <t>Rectification IPR Executive Director (Janv 2023)</t>
  </si>
  <si>
    <t>Rectification IPR Executive Director (Febr 2023)</t>
  </si>
  <si>
    <t>Rectification IPR Executive Director (Mach 2023)</t>
  </si>
  <si>
    <t>Rectification IPR Executive Director (April 2023)</t>
  </si>
  <si>
    <t>Rectification IPR Executive Director (May 2023)</t>
  </si>
  <si>
    <t>Rectification IPR Monitorig and Evaluation (Janv 2023)</t>
  </si>
  <si>
    <t>Rectification IPR Monitorig and Evaluation (Febr 2023)</t>
  </si>
  <si>
    <t>Rectification IPR Monitorig and Evaluation (Mach 2023)</t>
  </si>
  <si>
    <t>Rectification IPRMonitorig and Evaluation (April 2023)</t>
  </si>
  <si>
    <t>Rectification IPR Monitorig and Evaluation (May 2023)</t>
  </si>
  <si>
    <t>Rectification IPR Project Manager (Janv 2023)</t>
  </si>
  <si>
    <t>Rectification IPR Project Manager (Febr 2023)</t>
  </si>
  <si>
    <t>Rectification IPR Project Manager (Mach 2023)</t>
  </si>
  <si>
    <t>Rectification IPRProject Manager (April 2023)</t>
  </si>
  <si>
    <t>Rectification IPR Project Manager (May 2023)</t>
  </si>
  <si>
    <t>Rectification IPR Capacity builiding Officer (Janv 2023)</t>
  </si>
  <si>
    <t>Rectification IPR Capacity builiding Officer (Febr 2023)</t>
  </si>
  <si>
    <t>Rectification IPR Capacity builiding Officer (Mach 2023)</t>
  </si>
  <si>
    <t>Rectification IPRCapacity builiding Officer (April 2023)</t>
  </si>
  <si>
    <t>Rectification IPR Capacity builiding Officer (May 2023)</t>
  </si>
  <si>
    <t>CH8904421</t>
  </si>
  <si>
    <t>Rectification IPR Executive Director (Jun 2023)</t>
  </si>
  <si>
    <t>Rectification IPR Monitorig and Evaluation (Jun 2023)</t>
  </si>
  <si>
    <t>Rectification IPR Project Manager (Jun2023)</t>
  </si>
  <si>
    <t>Rectification IPR Capacity builiding Officer (Jun 2023)</t>
  </si>
  <si>
    <t>OV 028</t>
  </si>
  <si>
    <t>Aout</t>
  </si>
  <si>
    <t>Executive Director( Salaire Aout 2023)</t>
  </si>
  <si>
    <t>Financial and Administrative Manager( Salaire Aout 2023)</t>
  </si>
  <si>
    <t>Monitoring and Evaluation( salaire Aout 2023)</t>
  </si>
  <si>
    <t>Project Manager(salaire Aout 2023)</t>
  </si>
  <si>
    <t>Capacity building  Officer( salaire Aout 2023)</t>
  </si>
  <si>
    <t>Accoutant( salaire Aout 2023)</t>
  </si>
  <si>
    <t>CH 8998688</t>
  </si>
  <si>
    <t>Payment IPR de juillet Director executive</t>
  </si>
  <si>
    <t>Payment IPR de juillet Monitoring and evaluation</t>
  </si>
  <si>
    <t>Payment IPR de juillet Project Manager</t>
  </si>
  <si>
    <t>Payment IPR de juillet Capacity building officer</t>
  </si>
  <si>
    <t>CH8998692</t>
  </si>
  <si>
    <t>Payement fees of telepone fixe</t>
  </si>
  <si>
    <t>CH8998703</t>
  </si>
  <si>
    <t>Septembre</t>
  </si>
  <si>
    <t>O.2.2</t>
  </si>
  <si>
    <t>Payment internet fees Jan_Aout 2023</t>
  </si>
  <si>
    <t>CH8998705</t>
  </si>
  <si>
    <t>Payment communication fees</t>
  </si>
  <si>
    <t>OV 033</t>
  </si>
  <si>
    <t>Payment executive Director( Salary September 2023)</t>
  </si>
  <si>
    <t>Payment Financial and Adlinistrative Manager(salary september 2023)</t>
  </si>
  <si>
    <t>Payment Monitoring and Evaluation(salary september 2023)</t>
  </si>
  <si>
    <t>Payement Project Manager(salary september 2923)</t>
  </si>
  <si>
    <t>Payement Capacity building Officer(salary september 2923)</t>
  </si>
  <si>
    <t>Payment Accountant(salairy september 2023)</t>
  </si>
  <si>
    <t>DR 023090213340</t>
  </si>
  <si>
    <t>15/09/2023</t>
  </si>
  <si>
    <t>Payment  IRE executive Director(Aout 2023)</t>
  </si>
  <si>
    <t>Payment  IRE M Evaluation(Aout 2023)</t>
  </si>
  <si>
    <t>Payement IRE Project Manager(Aout  2023)</t>
  </si>
  <si>
    <t>Payement IRE Capacity building Officer(Aout 2023)</t>
  </si>
  <si>
    <t>OV 017-018-109-020-021</t>
  </si>
  <si>
    <t>30/09/2023</t>
  </si>
  <si>
    <t>Correction  executive Director salaire janvier 2023</t>
  </si>
  <si>
    <t>Correction Financial and Adlinistrative Manager salaire janvier 2023</t>
  </si>
  <si>
    <t>Correction Monitoring and Evaluation salaire janvier 2023</t>
  </si>
  <si>
    <t>Correction Project Manager salaire janvier 2023</t>
  </si>
  <si>
    <t>Correction Capacity building Officer salaire janvier 2023</t>
  </si>
  <si>
    <t>Correction  Accountant  salaire janvier 2023</t>
  </si>
  <si>
    <t xml:space="preserve">CHQ 8998696,8998695  8998699 </t>
  </si>
  <si>
    <t>August</t>
  </si>
  <si>
    <t>22/08/2023</t>
  </si>
  <si>
    <t>A.1.1.2</t>
  </si>
  <si>
    <t>CHQ 8998696,8998695  8998700</t>
  </si>
  <si>
    <t>22-25/08/2023</t>
  </si>
  <si>
    <t>fuel</t>
  </si>
  <si>
    <t>CHQ 8998696,8998695  8998701</t>
  </si>
  <si>
    <t>room rental</t>
  </si>
  <si>
    <t>CHQ 8998696,8998695  8998702</t>
  </si>
  <si>
    <t>mission expenses of the YELI team</t>
  </si>
  <si>
    <t>CHQ 8998696,8998695  8998703</t>
  </si>
  <si>
    <t>participant travel cost</t>
  </si>
  <si>
    <t>CHQ 8998696,8998695  8998704</t>
  </si>
  <si>
    <t>focal point transpot</t>
  </si>
  <si>
    <t>CHQ 8998696,8998695  8998705</t>
  </si>
  <si>
    <t>focal point communication cost</t>
  </si>
  <si>
    <t>CHQ 8998696,8998695  8998706</t>
  </si>
  <si>
    <t>representation expenses of administration and CDFC</t>
  </si>
  <si>
    <t>CHQ 8998696,8998695  8998707</t>
  </si>
  <si>
    <t>Coffee break</t>
  </si>
  <si>
    <t>CHQ 8998696,8998695  8998708</t>
  </si>
  <si>
    <t>eau mineral</t>
  </si>
  <si>
    <t xml:space="preserve">mission team communication cost </t>
  </si>
  <si>
    <t>banner</t>
  </si>
  <si>
    <t>CHQ 8998696,8998695  8998709</t>
  </si>
  <si>
    <t>Eau minerale pour la formation</t>
  </si>
  <si>
    <t>CH8998700,8998697,8998698</t>
  </si>
  <si>
    <t>28- 31/08/2023</t>
  </si>
  <si>
    <t>car rent</t>
  </si>
  <si>
    <t>focal point transport</t>
  </si>
  <si>
    <t>CHQ8998707</t>
  </si>
  <si>
    <t>29/09/2023</t>
  </si>
  <si>
    <t>PYT traitement des donnees /Evaluation besoins</t>
  </si>
  <si>
    <t>CHQ8998710</t>
  </si>
  <si>
    <t>CHQ8998708</t>
  </si>
  <si>
    <t>CHQ8998711</t>
  </si>
  <si>
    <t>CHQ8998709</t>
  </si>
  <si>
    <t>CHQ8998706</t>
  </si>
  <si>
    <t>PYT Materials /Evaluation besoins</t>
  </si>
  <si>
    <t>CHQ 8904426</t>
  </si>
  <si>
    <t>15/08/2023</t>
  </si>
  <si>
    <t>A.1.1.3</t>
  </si>
  <si>
    <t>Car rental _Rutana</t>
  </si>
  <si>
    <t>CHQ 8998694</t>
  </si>
  <si>
    <t>21/08/2023</t>
  </si>
  <si>
    <t>Car rental Ruyigi-Rutana</t>
  </si>
  <si>
    <t>CHQ 8998693</t>
  </si>
  <si>
    <t>Car rental _Ruyigi</t>
  </si>
  <si>
    <t>CHQ 8904422</t>
  </si>
  <si>
    <t xml:space="preserve"> PY Carburant, FM et communication</t>
  </si>
  <si>
    <t>CHQ 8998689</t>
  </si>
  <si>
    <t>16/8/2023</t>
  </si>
  <si>
    <t>PYT carburant, FM, et communication</t>
  </si>
  <si>
    <t>CHQ 8998687</t>
  </si>
  <si>
    <t>CHQ 8904424</t>
  </si>
  <si>
    <t>CH8904425</t>
  </si>
  <si>
    <t>A.1.1.4</t>
  </si>
  <si>
    <t>PYT advert. consultant for supporting platforms Intercontact</t>
  </si>
  <si>
    <t xml:space="preserve"> CH8998690</t>
  </si>
  <si>
    <t xml:space="preserve">PYT advert Consultant Job in Burundi </t>
  </si>
  <si>
    <t>CH 6898691</t>
  </si>
  <si>
    <t>PYT  advert consultant  Plateforme Esoko</t>
  </si>
  <si>
    <t xml:space="preserve">Correction Buja  Office rent  june 2023 </t>
  </si>
  <si>
    <t>Correction Buja  Office rent jan-May  10%</t>
  </si>
  <si>
    <t>Buja  Office rent jan-May  10%</t>
  </si>
  <si>
    <t>48/07/PB/2023</t>
  </si>
  <si>
    <t>Jul-023</t>
  </si>
  <si>
    <t>28/7/2023</t>
  </si>
  <si>
    <t>Salary of the project coordinator July 2023</t>
  </si>
  <si>
    <t>Salary of the guard Buja July 2023</t>
  </si>
  <si>
    <t>Salary of the country representative July 2023</t>
  </si>
  <si>
    <t>Salary of the cleaner July 2023</t>
  </si>
  <si>
    <t>Salary of the communication officer July 2023</t>
  </si>
  <si>
    <t>Salary of the accounts secretary July 2023</t>
  </si>
  <si>
    <t>Salary of the accountant July 2023</t>
  </si>
  <si>
    <t>CHQ1615440</t>
  </si>
  <si>
    <t>29/07/2023</t>
  </si>
  <si>
    <t>CHQ1637421</t>
  </si>
  <si>
    <t>O.1.10</t>
  </si>
  <si>
    <t>Equipment and Maintenance</t>
  </si>
  <si>
    <t>CHQ1615434</t>
  </si>
  <si>
    <t>13/07/2023</t>
  </si>
  <si>
    <t>IRE Janvier 2023_Project coordinator</t>
  </si>
  <si>
    <t>IRE Janvier 2023_Executive  Director</t>
  </si>
  <si>
    <t>IRE Janvier 2023_Accountant</t>
  </si>
  <si>
    <t>IRE Fevrier  2023_Project coordinator</t>
  </si>
  <si>
    <t>IRE Fevrier 2023_Executive  Director</t>
  </si>
  <si>
    <t>IRE Fevrier 2023_Accountant</t>
  </si>
  <si>
    <t>IRE Mars  2023_Project coordinator</t>
  </si>
  <si>
    <t>IRE Mars 2023_Executive  Director</t>
  </si>
  <si>
    <t>IRE Mars 2023_Accountant</t>
  </si>
  <si>
    <t>IRE Avril  2023_Project coordinator</t>
  </si>
  <si>
    <t>IRE Avril 2023_Executive  Director</t>
  </si>
  <si>
    <t>IRE Avril 2023_Accountant</t>
  </si>
  <si>
    <t>IRE Mai 2023_Project coordinator</t>
  </si>
  <si>
    <t>IRE Mai 2023_Executive  Director</t>
  </si>
  <si>
    <t>IRE Mai 2023_Accountant</t>
  </si>
  <si>
    <t>IRE Juin 2023_Project coordinator</t>
  </si>
  <si>
    <t>IRE Juin 2023_Executive  Director</t>
  </si>
  <si>
    <t>IRE Juin 2023_Accountant</t>
  </si>
  <si>
    <t>CHQ1615435</t>
  </si>
  <si>
    <t>33-B</t>
  </si>
  <si>
    <t>Internet July 2023</t>
  </si>
  <si>
    <t>Communication July 2023</t>
  </si>
  <si>
    <t>DV 58/08/EN/023</t>
  </si>
  <si>
    <t>Aug-023</t>
  </si>
  <si>
    <t>07/08/023</t>
  </si>
  <si>
    <t>Office rent Rutana</t>
  </si>
  <si>
    <t>DV 56/08/EN/023</t>
  </si>
  <si>
    <t>21/08/023</t>
  </si>
  <si>
    <t>Chq 1637442</t>
  </si>
  <si>
    <t>Téléphone</t>
  </si>
  <si>
    <t>Internet</t>
  </si>
  <si>
    <t>DV 59/08/EN/023</t>
  </si>
  <si>
    <t>28/08/023</t>
  </si>
  <si>
    <t>DV 60/08/EN/024</t>
  </si>
  <si>
    <t>Relevé bancaire</t>
  </si>
  <si>
    <t>31/08/023</t>
  </si>
  <si>
    <t>Supplies (bank charge)</t>
  </si>
  <si>
    <t>DV 57/08/EN/025</t>
  </si>
  <si>
    <t>29/08/023</t>
  </si>
  <si>
    <t>Salary of country representative Aug-023</t>
  </si>
  <si>
    <t>DV 57/08/EN/026</t>
  </si>
  <si>
    <t>Salary of  project coordinator Aug-023</t>
  </si>
  <si>
    <t>DV 57/08/EN/027</t>
  </si>
  <si>
    <t>Salary of  accountant  Aug-023</t>
  </si>
  <si>
    <t>DV 57/08/EN/028</t>
  </si>
  <si>
    <t>Salary of  accountant secretary Aug-023</t>
  </si>
  <si>
    <t>Salary of  communication officer Aug-023</t>
  </si>
  <si>
    <t>Salary of the cleaner Aug-023</t>
  </si>
  <si>
    <t>Salary of the guard Buja Aug-023</t>
  </si>
  <si>
    <t>O.1.6</t>
  </si>
  <si>
    <t>Salary of the guard Rutana Aug-023</t>
  </si>
  <si>
    <t>Chq 1637445</t>
  </si>
  <si>
    <t>Supplies</t>
  </si>
  <si>
    <t>CHQ1637432</t>
  </si>
  <si>
    <t>Tax  country representative July-2023</t>
  </si>
  <si>
    <t>Tax project coordinator July-2023</t>
  </si>
  <si>
    <t>Tax Account July-2023</t>
  </si>
  <si>
    <t>DV no 68/09/EN/2023</t>
  </si>
  <si>
    <t>Sept-023</t>
  </si>
  <si>
    <t>20/09/2023</t>
  </si>
  <si>
    <t xml:space="preserve">Rutana Office rent </t>
  </si>
  <si>
    <t>Chq 1637460</t>
  </si>
  <si>
    <t>Telephone , sept-023</t>
  </si>
  <si>
    <t>Internet, sept-023</t>
  </si>
  <si>
    <t>Chq 1637459</t>
  </si>
  <si>
    <t>DV no 69/09/EN/2023</t>
  </si>
  <si>
    <t>DV no 72/09/EN/2023</t>
  </si>
  <si>
    <t>27/09/2023</t>
  </si>
  <si>
    <t>Salary of country representative sept-023</t>
  </si>
  <si>
    <t>Salary of  project coordinator sept-023</t>
  </si>
  <si>
    <t>Salary of  accountant sept-023</t>
  </si>
  <si>
    <t>Salary of  accountant secretary sept-023</t>
  </si>
  <si>
    <t>Salary of  communication officer sept-023</t>
  </si>
  <si>
    <t>Salary of the cleaner sept-023</t>
  </si>
  <si>
    <t>Salary of the guard Buja sept-023</t>
  </si>
  <si>
    <t>Salary of the guard Rutana sept-023</t>
  </si>
  <si>
    <t>Tax  country representative Aug-2023</t>
  </si>
  <si>
    <t>Tax project coordinator Aug-2023</t>
  </si>
  <si>
    <t>Tax Account Aug-2023</t>
  </si>
  <si>
    <t>Relevé bancaire (Frais)</t>
  </si>
  <si>
    <t>Office supplies (bank charge)</t>
  </si>
  <si>
    <t>Chq 1637427</t>
  </si>
  <si>
    <t>08/08/023</t>
  </si>
  <si>
    <t>Communication costs of the comm focal points</t>
  </si>
  <si>
    <t>Comm FP travel expenses</t>
  </si>
  <si>
    <t>Participant travel costs</t>
  </si>
  <si>
    <t>Chq 1637429</t>
  </si>
  <si>
    <t xml:space="preserve">Training materials </t>
  </si>
  <si>
    <t>Chq 1637430</t>
  </si>
  <si>
    <t>Fuel</t>
  </si>
  <si>
    <t>Chq 1637431</t>
  </si>
  <si>
    <t xml:space="preserve"> RFP team mission expenses</t>
  </si>
  <si>
    <t>Chq 1637433</t>
  </si>
  <si>
    <t>Room rental( Comm.Bukemba)</t>
  </si>
  <si>
    <t>Coffee break( Comm.Bukemba)</t>
  </si>
  <si>
    <t>Lunch break (Comm.Bukemba)</t>
  </si>
  <si>
    <t>Chq 1637434</t>
  </si>
  <si>
    <t>10/08/023</t>
  </si>
  <si>
    <t>Room rental (Comm.Giharo )</t>
  </si>
  <si>
    <t>Coffee break (Comm.Giharo)</t>
  </si>
  <si>
    <t>Lunch break (Comm.Giharo)</t>
  </si>
  <si>
    <t>Chq 1637435</t>
  </si>
  <si>
    <t>11/08/023</t>
  </si>
  <si>
    <t>Room rental (Comm.Gitanga )</t>
  </si>
  <si>
    <t>Coffee break (Comm.Gitanga)</t>
  </si>
  <si>
    <t>Lunch break (Comm.Gitanga)</t>
  </si>
  <si>
    <t>Chq 1637436</t>
  </si>
  <si>
    <t>18/08/023</t>
  </si>
  <si>
    <t>Achat carburant</t>
  </si>
  <si>
    <t>Chq 1637437</t>
  </si>
  <si>
    <t>16/08/023</t>
  </si>
  <si>
    <t>Chq 1637438</t>
  </si>
  <si>
    <t>17/08/023</t>
  </si>
  <si>
    <t>Room rental (Comm.Musongati )</t>
  </si>
  <si>
    <t>Coffee break (Comm.Musongati)</t>
  </si>
  <si>
    <t>Lunch break (Comm.Musongati)</t>
  </si>
  <si>
    <t>Chq 1637439</t>
  </si>
  <si>
    <t>Room rental (Comm.Rutana )</t>
  </si>
  <si>
    <t>Coffee break (Comm.Rutana)</t>
  </si>
  <si>
    <t>Lunch break (Comm.Rutana)</t>
  </si>
  <si>
    <t>Chq 1637440</t>
  </si>
  <si>
    <t>Chq 1637441</t>
  </si>
  <si>
    <t>Chq 1637443</t>
  </si>
  <si>
    <t>30/08/023</t>
  </si>
  <si>
    <t>Chq 1637444</t>
  </si>
  <si>
    <t>Chq 1637446</t>
  </si>
  <si>
    <t>Banner</t>
  </si>
  <si>
    <t>chq no 1637447</t>
  </si>
  <si>
    <t>11/09/023</t>
  </si>
  <si>
    <t>A.3.3.1</t>
  </si>
  <si>
    <t>Mission expenses</t>
  </si>
  <si>
    <t>DV no 65/09/EN/023</t>
  </si>
  <si>
    <t>Participants travel costs</t>
  </si>
  <si>
    <t>chq no 1637458</t>
  </si>
  <si>
    <t>13/09/023</t>
  </si>
  <si>
    <t>Representation expenses of the Admin</t>
  </si>
  <si>
    <t>Representation expenses of the CDFC</t>
  </si>
  <si>
    <t>FP communication costs</t>
  </si>
  <si>
    <t>Project coordinator communication costs</t>
  </si>
  <si>
    <t>chq no 1637450</t>
  </si>
  <si>
    <t>Mission expenses for consultants</t>
  </si>
  <si>
    <t>Chq no 1637450</t>
  </si>
  <si>
    <t>RFP team mission expenses</t>
  </si>
  <si>
    <t>chq no 1637449</t>
  </si>
  <si>
    <t>chq no 1637448</t>
  </si>
  <si>
    <t>Notebooks</t>
  </si>
  <si>
    <t>Pen</t>
  </si>
  <si>
    <t>Felt</t>
  </si>
  <si>
    <t>Scotch</t>
  </si>
  <si>
    <t>Flip Chart</t>
  </si>
  <si>
    <t>Ream</t>
  </si>
  <si>
    <t>chq no 1637451</t>
  </si>
  <si>
    <t>14/09/023</t>
  </si>
  <si>
    <t>Room rent</t>
  </si>
  <si>
    <t>Minerval water</t>
  </si>
  <si>
    <t>Lunch break</t>
  </si>
  <si>
    <t>chq no 1637456</t>
  </si>
  <si>
    <t>chq no 1637454</t>
  </si>
  <si>
    <t>15/09/023</t>
  </si>
  <si>
    <t>DV no 70/09/EN/023</t>
  </si>
  <si>
    <t>GASCOREC consultance honorarium</t>
  </si>
  <si>
    <t>Chq no 1637453</t>
  </si>
  <si>
    <t>DV no 71/09/EN/023</t>
  </si>
  <si>
    <t>20/09/023</t>
  </si>
  <si>
    <t>Cars rent</t>
  </si>
  <si>
    <t>chq no 1693944</t>
  </si>
  <si>
    <t>21/09/023</t>
  </si>
  <si>
    <t>Isanganiro team mission expens</t>
  </si>
  <si>
    <t>FP mission expenses</t>
  </si>
  <si>
    <t>chq no 1693943</t>
  </si>
  <si>
    <t>Fuel for the activity</t>
  </si>
  <si>
    <t>Chq no 1693942</t>
  </si>
  <si>
    <t>Clothes (pagnes)</t>
  </si>
  <si>
    <t>Buckets</t>
  </si>
  <si>
    <t>Soaps</t>
  </si>
  <si>
    <t>Hooks</t>
  </si>
  <si>
    <t>Telephone</t>
  </si>
  <si>
    <t>Tent</t>
  </si>
  <si>
    <t>Chq no  1693945</t>
  </si>
  <si>
    <t xml:space="preserve"> Comm FP Communication costs</t>
  </si>
  <si>
    <t>Project coordin.communic costs</t>
  </si>
  <si>
    <t>FP Travel expenses</t>
  </si>
  <si>
    <t>Gitanga network travel expenses</t>
  </si>
  <si>
    <t>Representation expenses of the Admin.</t>
  </si>
  <si>
    <t>chq no 1637455</t>
  </si>
  <si>
    <t>25/09/023</t>
  </si>
  <si>
    <t>chq no 1637457</t>
  </si>
  <si>
    <t>26/09/023</t>
  </si>
  <si>
    <t>DV no 74/09/EN/2023</t>
  </si>
  <si>
    <t>27/09/023</t>
  </si>
  <si>
    <t>CHQ1615436</t>
  </si>
  <si>
    <t>A.3.3.2</t>
  </si>
  <si>
    <t>T-SHIRT for Staff and Communities-Project Roll up_Banner</t>
  </si>
  <si>
    <t>CHQ1637422</t>
  </si>
  <si>
    <t>Payment workshop panel exchange on cultural norms</t>
  </si>
  <si>
    <t>CHQ1615439</t>
  </si>
  <si>
    <t>Flip chart and papers</t>
  </si>
  <si>
    <t>CHQ1615437</t>
  </si>
  <si>
    <t>Travel cost of participants</t>
  </si>
  <si>
    <t>CHQ1637423</t>
  </si>
  <si>
    <t>PYT meals and room rental</t>
  </si>
  <si>
    <t>CHQ1637424</t>
  </si>
  <si>
    <t>CHQ1637425</t>
  </si>
  <si>
    <t>PYT publireportage_RTNB</t>
  </si>
  <si>
    <t>DV no 73/09/EN/2023</t>
  </si>
  <si>
    <t>chq no 1693946</t>
  </si>
  <si>
    <t>PYT Frais de facilitation</t>
  </si>
  <si>
    <t>OP 166997</t>
  </si>
  <si>
    <t>July</t>
  </si>
  <si>
    <t>Executive Secretary's salary for the month of July  2023</t>
  </si>
  <si>
    <t>Human Resources and Administration Officer's salary for the month of July 2023</t>
  </si>
  <si>
    <t>Finance Officer's salary for the month of July 2023</t>
  </si>
  <si>
    <t>Administrative and Financial Assistant's salary for the month of July 2023</t>
  </si>
  <si>
    <t>Driver's salary for July  2023</t>
  </si>
  <si>
    <t>Project coordinator's salary for July  2023</t>
  </si>
  <si>
    <t>OP166990</t>
  </si>
  <si>
    <t>O.3.1</t>
  </si>
  <si>
    <t>Laptops</t>
  </si>
  <si>
    <t>OP166991</t>
  </si>
  <si>
    <t>O.3.2</t>
  </si>
  <si>
    <t>OP166987</t>
  </si>
  <si>
    <t>Bujumbura office rent for July 2023</t>
  </si>
  <si>
    <t>Telephone fixed  communication for june 2023</t>
  </si>
  <si>
    <t>Internet for July 2023</t>
  </si>
  <si>
    <t>Maintenance equipments for July 2023</t>
  </si>
  <si>
    <t>Guards Bujumbura office for July 2023</t>
  </si>
  <si>
    <t>Chq 8880783</t>
  </si>
  <si>
    <t>O.3.11</t>
  </si>
  <si>
    <t>Water</t>
  </si>
  <si>
    <t>OP 166994</t>
  </si>
  <si>
    <t>Office Ruyigi</t>
  </si>
  <si>
    <t>Bank Charges</t>
  </si>
  <si>
    <t>OP157954</t>
  </si>
  <si>
    <t>Executive Secretary's salary for the month of August  2023</t>
  </si>
  <si>
    <t>Human Resources and Administration Officer's salary for the month of August  2023</t>
  </si>
  <si>
    <t>Finance Officer's salary for the month of August 2023</t>
  </si>
  <si>
    <t>Administrative and Financial Assistant's salary for the month of August  2023</t>
  </si>
  <si>
    <t>Driver's salary for August   2023</t>
  </si>
  <si>
    <t>Project coordinator's salary for August   2023</t>
  </si>
  <si>
    <t>OP157955</t>
  </si>
  <si>
    <t>Bujumbura office rent for August 2023</t>
  </si>
  <si>
    <t>Telephone fixed  communication for July 2023</t>
  </si>
  <si>
    <t>Internet for August  2023</t>
  </si>
  <si>
    <t>Maintenance equipments for August  2023</t>
  </si>
  <si>
    <t>Guards Bujumbura office for August  2023</t>
  </si>
  <si>
    <t>OP157953</t>
  </si>
  <si>
    <t>OP157957</t>
  </si>
  <si>
    <t>O.3.9</t>
  </si>
  <si>
    <t>Guards Ruyigi</t>
  </si>
  <si>
    <t>OP157958</t>
  </si>
  <si>
    <t>OP157974</t>
  </si>
  <si>
    <t>September</t>
  </si>
  <si>
    <t>Executive Secretary's salary for the month of September  2023</t>
  </si>
  <si>
    <t>Human Resources and Administration Officer's salary for the month of September  2023</t>
  </si>
  <si>
    <t>Finance Officer's salary for the month of September 2023</t>
  </si>
  <si>
    <t>Administrative and Financial Assistant's salary for the month of September  2023</t>
  </si>
  <si>
    <t>Driver's salary for September   2023</t>
  </si>
  <si>
    <t>Project coordinator's salary for September   2023</t>
  </si>
  <si>
    <t>OP157964</t>
  </si>
  <si>
    <t>Bujumbura office rent for September 2023</t>
  </si>
  <si>
    <t>Telephone fixed  communication for August 2023</t>
  </si>
  <si>
    <t>Internet for September  2023</t>
  </si>
  <si>
    <t>Maintenance equipments for September  2023</t>
  </si>
  <si>
    <t>Guards Bujumbura office for September  2023</t>
  </si>
  <si>
    <t>CHQ 8880792</t>
  </si>
  <si>
    <t>CHQ 8880794</t>
  </si>
  <si>
    <t>OP157975</t>
  </si>
  <si>
    <t>Office Ruyigi for September  2023</t>
  </si>
  <si>
    <t>OP170851</t>
  </si>
  <si>
    <t>Guards Ruyigi for September  2023</t>
  </si>
  <si>
    <t>OP170852</t>
  </si>
  <si>
    <t>OP170853</t>
  </si>
  <si>
    <t>OP 8880782</t>
  </si>
  <si>
    <t xml:space="preserve">Mission expenses of the DH </t>
  </si>
  <si>
    <t>Chq 8880791</t>
  </si>
  <si>
    <t>Communication fees</t>
  </si>
  <si>
    <t xml:space="preserve">Mission expenses </t>
  </si>
  <si>
    <t>OP 157951</t>
  </si>
  <si>
    <t>Room rental at RUYIGI</t>
  </si>
  <si>
    <t>Coffee break  at RUYIGI</t>
  </si>
  <si>
    <t>Lunch break at RUYIGI</t>
  </si>
  <si>
    <t>Mineral water  at RUYIGI</t>
  </si>
  <si>
    <t>OP 1157952</t>
  </si>
  <si>
    <t>Room rental at NYABITSINDA</t>
  </si>
  <si>
    <t>Coffee break  at NYABITSINDA</t>
  </si>
  <si>
    <t>Lunch break at NYABITSINDA</t>
  </si>
  <si>
    <t>Mineral water  at NYABITSINDA</t>
  </si>
  <si>
    <t>OP 166998</t>
  </si>
  <si>
    <t>OP 166999</t>
  </si>
  <si>
    <t>Notebook</t>
  </si>
  <si>
    <t>flip cat</t>
  </si>
  <si>
    <t>ream of papers</t>
  </si>
  <si>
    <t>OP 167000</t>
  </si>
  <si>
    <t>Room rental at GISURU</t>
  </si>
  <si>
    <t>Coffee break  at GISURU</t>
  </si>
  <si>
    <t>Lunch break at GISURU</t>
  </si>
  <si>
    <t>Mineral water  at GISURU</t>
  </si>
  <si>
    <t>OP157956</t>
  </si>
  <si>
    <t>OP157961</t>
  </si>
  <si>
    <t>CHQ 8880790</t>
  </si>
  <si>
    <t>Focal point  travel expenses</t>
  </si>
  <si>
    <t>GISURU participant travel costs</t>
  </si>
  <si>
    <t>KINYINYA  participant travel costs</t>
  </si>
  <si>
    <t>NYABITSINDA  participant travel costs</t>
  </si>
  <si>
    <t>OP 166992</t>
  </si>
  <si>
    <t>A.1.2.2</t>
  </si>
  <si>
    <t>Consultant fees</t>
  </si>
  <si>
    <t>OP157959</t>
  </si>
  <si>
    <t>OP157960</t>
  </si>
  <si>
    <t>Trainer fees</t>
  </si>
  <si>
    <t>OP157970</t>
  </si>
  <si>
    <t>CHQ 8880793</t>
  </si>
  <si>
    <t>Mission expenses for the DH  and the consultant</t>
  </si>
  <si>
    <t>Photocopy</t>
  </si>
  <si>
    <t>OP157963</t>
  </si>
  <si>
    <t>OP157965</t>
  </si>
  <si>
    <t>Room rental,Coffee break and Lunch break</t>
  </si>
  <si>
    <t>OP157962</t>
  </si>
  <si>
    <t>CHQ 8880795</t>
  </si>
  <si>
    <t>Vehicle fuel A3907A</t>
  </si>
  <si>
    <t>Vehicle fuel I 58987 A</t>
  </si>
  <si>
    <t>Vehicle fuel I 6271 A</t>
  </si>
  <si>
    <t>Vehicle fuel C 4215 A</t>
  </si>
  <si>
    <t>OP157966</t>
  </si>
  <si>
    <t>OP157968</t>
  </si>
  <si>
    <t>OP157971</t>
  </si>
  <si>
    <t>OP157967</t>
  </si>
  <si>
    <t>Chèque 8880784</t>
  </si>
  <si>
    <t>OP 166995</t>
  </si>
  <si>
    <t>programme production and broadcasting</t>
  </si>
  <si>
    <t>Chèque 8880788</t>
  </si>
  <si>
    <t>Panellist fees</t>
  </si>
  <si>
    <t>Chèque 8880789</t>
  </si>
  <si>
    <t>OP 166996</t>
  </si>
  <si>
    <t>Tax on panellist fees</t>
  </si>
  <si>
    <t>CHQ 8880796</t>
  </si>
  <si>
    <t>Travel expenses for journalists and municipal focal points</t>
  </si>
  <si>
    <t xml:space="preserve">Representation expenses of the administration </t>
  </si>
  <si>
    <t xml:space="preserve">Vehicle fuel </t>
  </si>
  <si>
    <t>CHQ 8880797</t>
  </si>
  <si>
    <t>Facilitation fees</t>
  </si>
  <si>
    <t>OP157969</t>
  </si>
  <si>
    <t>OP157972</t>
  </si>
  <si>
    <t>OP157973</t>
  </si>
  <si>
    <t>M.4</t>
  </si>
  <si>
    <r>
      <t xml:space="preserve">Production TV </t>
    </r>
    <r>
      <rPr>
        <sz val="11"/>
        <rFont val="Sylfaen"/>
        <family val="1"/>
      </rPr>
      <t>"</t>
    </r>
    <r>
      <rPr>
        <sz val="11"/>
        <rFont val="Calibri"/>
        <family val="2"/>
      </rPr>
      <t>Barushe nguhere</t>
    </r>
    <r>
      <rPr>
        <sz val="11"/>
        <rFont val="Sylfaen"/>
        <family val="1"/>
      </rPr>
      <t>"</t>
    </r>
  </si>
  <si>
    <r>
      <t xml:space="preserve">Diffusion TV </t>
    </r>
    <r>
      <rPr>
        <sz val="11"/>
        <rFont val="Sylfaen"/>
        <family val="1"/>
      </rPr>
      <t xml:space="preserve">"Barushe nguhere" </t>
    </r>
  </si>
  <si>
    <r>
      <t xml:space="preserve">Production Radio </t>
    </r>
    <r>
      <rPr>
        <sz val="11"/>
        <rFont val="Sylfaen"/>
        <family val="1"/>
      </rPr>
      <t>"</t>
    </r>
    <r>
      <rPr>
        <sz val="11"/>
        <rFont val="Calibri"/>
        <family val="2"/>
      </rPr>
      <t>Barushe nguhere</t>
    </r>
    <r>
      <rPr>
        <sz val="11"/>
        <rFont val="Sylfaen"/>
        <family val="1"/>
      </rPr>
      <t>"</t>
    </r>
  </si>
  <si>
    <r>
      <t xml:space="preserve">Diffusion Radio </t>
    </r>
    <r>
      <rPr>
        <sz val="11"/>
        <rFont val="Sylfaen"/>
        <family val="1"/>
      </rPr>
      <t xml:space="preserve">"Barushe nguhere" </t>
    </r>
  </si>
  <si>
    <t>B  FACT3056504</t>
  </si>
  <si>
    <t>2024/004</t>
  </si>
  <si>
    <t>03.02.09.UNLandline Payment_June2023</t>
  </si>
  <si>
    <t>03.02.14.UNBank charges _ BIF Account_July23</t>
  </si>
  <si>
    <t>B CHQ0003288</t>
  </si>
  <si>
    <t>03.02.09.UN-Airtime for Zephirin&amp;Fabrice_June2023</t>
  </si>
  <si>
    <t>B CHQ0003289</t>
  </si>
  <si>
    <t>03.02.09.UN-Airtime for Zephirin&amp;Fabrice_July2023</t>
  </si>
  <si>
    <t>B CHQ0003302/0003303</t>
  </si>
  <si>
    <t>03.02.11.UN-Fuel Vehicle E613AIT_107.15L</t>
  </si>
  <si>
    <t>03.02.11.UN-Fuel Vehicle E707AIT_39L</t>
  </si>
  <si>
    <t>B CHQ0003356</t>
  </si>
  <si>
    <t>03.02.08.UN-office supplies</t>
  </si>
  <si>
    <t>B CV1037</t>
  </si>
  <si>
    <t>03.02.06.UNOffice supplies</t>
  </si>
  <si>
    <t>B CV1050</t>
  </si>
  <si>
    <t>03.02.10.UNLabor fees_Toilets Repairs</t>
  </si>
  <si>
    <t>B CV1053</t>
  </si>
  <si>
    <t>B CV1055</t>
  </si>
  <si>
    <t>A.3.1.1.Aiport levy_pick of Kara's lost luggage</t>
  </si>
  <si>
    <t>B CV1060</t>
  </si>
  <si>
    <t>03.02.11.UNVehicle wash_C787A IT</t>
  </si>
  <si>
    <t>B CV1073</t>
  </si>
  <si>
    <t>03.02.08.UNReimbursmnt_transp.for a vehicle pickUp</t>
  </si>
  <si>
    <t>B TAR07-07-2023</t>
  </si>
  <si>
    <t>03.02.11.UNFuel vehicle E613A IT- 107.86L</t>
  </si>
  <si>
    <t>BUR_SAL_2024/004</t>
  </si>
  <si>
    <t>CHQ0003210</t>
  </si>
  <si>
    <t>Debit Note no_DR230319</t>
  </si>
  <si>
    <t>PYt Medical Insurance _Colombe_Jul 23-Apr 24</t>
  </si>
  <si>
    <t>Debit Note no_DR230350</t>
  </si>
  <si>
    <t>PYt Medical Insurance stany' spouse_July 23_Apr 24</t>
  </si>
  <si>
    <t>FACT.52/19/07/2023</t>
  </si>
  <si>
    <t>A.3.1.1.PYT Meal&amp;Confroom Gender Wrkshp UNPBF_Day3</t>
  </si>
  <si>
    <t>FACT50/17/07/2023</t>
  </si>
  <si>
    <t>A.3.1.PYT Meals&amp;Conf room Gender normsWrkshp _Day1</t>
  </si>
  <si>
    <t>FACT51/18/07/2023</t>
  </si>
  <si>
    <t>A.3.1.1.PYT Meals&amp;Confroom GenderWrkshp UNPBF_Day2</t>
  </si>
  <si>
    <t>FLOAT_28_07_2023</t>
  </si>
  <si>
    <t>A.3.1.1.PYTTranspAcomod_PerdiemGender norms wrkshp</t>
  </si>
  <si>
    <t xml:space="preserve"> B FACT04/2023</t>
  </si>
  <si>
    <t>2024/005</t>
  </si>
  <si>
    <t>03.02.05.UN-CD Rent_july to sept23</t>
  </si>
  <si>
    <t>03.02.14.UN-Bank charges _ BIF Account_August2023</t>
  </si>
  <si>
    <t>03.02.14.UN-Bank Charges_USD Account_August2023</t>
  </si>
  <si>
    <t>B CHQ0003321</t>
  </si>
  <si>
    <t>03.02.09.UNLandline Payment_July2023</t>
  </si>
  <si>
    <t>B CHQ0003338</t>
  </si>
  <si>
    <t>02.03.01.UN-Fuel vehicle E707AIT-70.06L</t>
  </si>
  <si>
    <t>B CV1083</t>
  </si>
  <si>
    <t>03.02.06.UN-Office supplies</t>
  </si>
  <si>
    <t>B CV1084</t>
  </si>
  <si>
    <t>B CV1086</t>
  </si>
  <si>
    <t>03.02.11.UN-Vehicle wash_E613A IT</t>
  </si>
  <si>
    <t>B CV1087</t>
  </si>
  <si>
    <t>B CV1092</t>
  </si>
  <si>
    <t>02.03.01.UN.Materials_Community Account. Assess</t>
  </si>
  <si>
    <t>B FACT Internet4561/4552</t>
  </si>
  <si>
    <t>03.02.09.UNInternet subscription_Aug23</t>
  </si>
  <si>
    <t>B OFFICE RENT</t>
  </si>
  <si>
    <t>03.02.04.UNOffice Rent_July to Aug23</t>
  </si>
  <si>
    <t>BUR_SAL_2024/005</t>
  </si>
  <si>
    <t>CHQ0003328</t>
  </si>
  <si>
    <t>02.03.11.UN_Fuel Vehicle A 613 AIT_88.51L</t>
  </si>
  <si>
    <t>FACT No 126/2023</t>
  </si>
  <si>
    <t>A.3.1.1.PYT accom &amp;meals,conf Gender norms wrkshop</t>
  </si>
  <si>
    <t>OP0003375</t>
  </si>
  <si>
    <t>A.3.1.1.PYT Translation fees_Gender norms wrkshp</t>
  </si>
  <si>
    <t>OP003383</t>
  </si>
  <si>
    <t>TAR_30_08_2023</t>
  </si>
  <si>
    <t>02.03.11.PYT_Perdiem fee Support Base line UNPBF</t>
  </si>
  <si>
    <t>TAR_31_08_2023</t>
  </si>
  <si>
    <t>02.03.01.UN_Community Account Assessment_UNPBF</t>
  </si>
  <si>
    <t>2024/006</t>
  </si>
  <si>
    <t>03.02.14.UN-Bank Charges_USD Account_Sept 2023</t>
  </si>
  <si>
    <t>B CHQ0003339</t>
  </si>
  <si>
    <t>03.02.08.UN-Cash Power_Sept23</t>
  </si>
  <si>
    <t>B CV1104</t>
  </si>
  <si>
    <t>03.02.06.UNOffice Supplies</t>
  </si>
  <si>
    <t>B CV1109</t>
  </si>
  <si>
    <t>03.02.06.UN-Office supply</t>
  </si>
  <si>
    <t>B CV1118</t>
  </si>
  <si>
    <t>03.02.09.UN-Purchase of 10sim cards for Routers</t>
  </si>
  <si>
    <t>B CV1120</t>
  </si>
  <si>
    <t>03.02.06.UNPurchase of a Lamp torch+cylinder locks</t>
  </si>
  <si>
    <t>B CV1122</t>
  </si>
  <si>
    <t>03.02.06.UN-purchase of an extension for Fiacre</t>
  </si>
  <si>
    <t>B CV1124</t>
  </si>
  <si>
    <t>B FACT3065416</t>
  </si>
  <si>
    <t>03.02.09.UN-Landline_Aug23</t>
  </si>
  <si>
    <t>B FACTN860W671874/FN239/2023</t>
  </si>
  <si>
    <t>03.02.01.UN-Screens/keyboard&amp;Mouse</t>
  </si>
  <si>
    <t>B OFFICE RENT_SEPT23</t>
  </si>
  <si>
    <t>03.02.04.UN_Office Rent_Sept23</t>
  </si>
  <si>
    <t>B OV0003424</t>
  </si>
  <si>
    <t>03.02.11.UN-Vehicle maintenance_E707AIT</t>
  </si>
  <si>
    <t>B TICKET0080605517</t>
  </si>
  <si>
    <t>03.02.11.UN-Fuel vehicle E 613 AIT- 106.93L</t>
  </si>
  <si>
    <t>BUR_SAL_2024/006</t>
  </si>
  <si>
    <t>Bank Charges_BIF</t>
  </si>
  <si>
    <t>03.02.14.UN-Bank charges _ BIF Account_Sept2023</t>
  </si>
  <si>
    <t>CHQ0003439</t>
  </si>
  <si>
    <t>02.02.01.UN PYT vehicle rent _com acc assessment</t>
  </si>
  <si>
    <t>FACT55_57</t>
  </si>
  <si>
    <t>02.02.04.UN.PYT Meals_Budget review meeting</t>
  </si>
  <si>
    <t>TAR_14_09_2023</t>
  </si>
  <si>
    <t>02.02.04.UN.PYT perdiem_Budget review meeting</t>
  </si>
  <si>
    <t>A.3.1.1</t>
  </si>
  <si>
    <t>CHQ8904414</t>
  </si>
  <si>
    <t>Roll up</t>
  </si>
  <si>
    <t>CHQ8904415</t>
  </si>
  <si>
    <t>T-shirts for staff and communities</t>
  </si>
  <si>
    <t>CHQ8904416</t>
  </si>
  <si>
    <t>Roll- banner</t>
  </si>
  <si>
    <t>UNPBF Category code</t>
  </si>
  <si>
    <t>0</t>
  </si>
  <si>
    <t>Row Labels</t>
  </si>
  <si>
    <t>Grand Total</t>
  </si>
  <si>
    <t>Sum of Reporting /Amount in USD</t>
  </si>
  <si>
    <t>ME</t>
  </si>
  <si>
    <t>OP170867</t>
  </si>
  <si>
    <t>OP170855</t>
  </si>
  <si>
    <t>CHQ 8880807</t>
  </si>
  <si>
    <t>OP170870</t>
  </si>
  <si>
    <t>OP170864</t>
  </si>
  <si>
    <t>OP170865</t>
  </si>
  <si>
    <t>OP170866</t>
  </si>
  <si>
    <t>Executive Secretary's salary for the month of October  2023</t>
  </si>
  <si>
    <t>Bujumbura office rent for October 2023</t>
  </si>
  <si>
    <t>Telephone fixed  communication for october 2023</t>
  </si>
  <si>
    <t>Internet for October 2023</t>
  </si>
  <si>
    <t>Maintenance equipments for October  2023</t>
  </si>
  <si>
    <t>Guards Bujumbura office for October 2023</t>
  </si>
  <si>
    <t>Office Ruyigi for October  2023</t>
  </si>
  <si>
    <t>Guards Ruyigi for October  2023</t>
  </si>
  <si>
    <t>Bank Charges for October 2023</t>
  </si>
  <si>
    <t>Bank statement</t>
  </si>
  <si>
    <t>CHQ8880798</t>
  </si>
  <si>
    <t>OP170857</t>
  </si>
  <si>
    <t>OP170860</t>
  </si>
  <si>
    <t>OP170856</t>
  </si>
  <si>
    <t>OP170869</t>
  </si>
  <si>
    <t>OP170854</t>
  </si>
  <si>
    <t>OP170863</t>
  </si>
  <si>
    <t>A.1.2.1</t>
  </si>
  <si>
    <t>Mission expenses for  the consultant</t>
  </si>
  <si>
    <t>Representation expenses of the administration and DPDFS</t>
  </si>
  <si>
    <t>Focal point communication costs</t>
  </si>
  <si>
    <t>Letters</t>
  </si>
  <si>
    <t>training materials</t>
  </si>
  <si>
    <t>Room rental</t>
  </si>
  <si>
    <t>Mineral water</t>
  </si>
  <si>
    <t>CHQ 8880801</t>
  </si>
  <si>
    <t>CHQ 8880800</t>
  </si>
  <si>
    <t>OP 170858</t>
  </si>
  <si>
    <t>OP 170859</t>
  </si>
  <si>
    <t>OP 170861</t>
  </si>
  <si>
    <t>OP 170862</t>
  </si>
  <si>
    <t>OP 170871</t>
  </si>
  <si>
    <t>A.2.1.1</t>
  </si>
  <si>
    <t>Focal point travel costs</t>
  </si>
  <si>
    <t>CHQ 8880803</t>
  </si>
  <si>
    <t>OP 170868</t>
  </si>
  <si>
    <t xml:space="preserve">Communication fees </t>
  </si>
  <si>
    <t>Accomodation  of participants</t>
  </si>
  <si>
    <t>Accomodation of participants</t>
  </si>
  <si>
    <t>CH8998718</t>
  </si>
  <si>
    <t>OV 038</t>
  </si>
  <si>
    <t>CHOV 37</t>
  </si>
  <si>
    <t>30/10/2023</t>
  </si>
  <si>
    <t>Paiement frais de télephone fixe septembre</t>
  </si>
  <si>
    <t>Executive Director salaire Octobre 2023</t>
  </si>
  <si>
    <t xml:space="preserve"> Financial and Administrative Manager salaire Octobre 2023</t>
  </si>
  <si>
    <t xml:space="preserve"> Monitoring and Evaluation salaire octobre 2023</t>
  </si>
  <si>
    <t xml:space="preserve"> Project Manager salaire octobre 2023</t>
  </si>
  <si>
    <t xml:space="preserve"> Capacity building Officer salaire octobre 2023</t>
  </si>
  <si>
    <t xml:space="preserve"> Accountant  salaire octobre 2023</t>
  </si>
  <si>
    <t>Payment FPC du M&amp;E septembre 2023</t>
  </si>
  <si>
    <t xml:space="preserve"> Payment FPC of Project Manager  Fevrier2023 </t>
  </si>
  <si>
    <t xml:space="preserve"> Payment FPC of Project Manager  Mars2023 </t>
  </si>
  <si>
    <t xml:space="preserve"> Payment FPC of Project Manager  Avril2023 </t>
  </si>
  <si>
    <t xml:space="preserve"> Payment FPC of Project Manager  Mai 2023 </t>
  </si>
  <si>
    <t xml:space="preserve"> Payment FPC of Project Manager  Juin 2023 </t>
  </si>
  <si>
    <t xml:space="preserve"> Payment FPC of Project Manager Juillet2023 </t>
  </si>
  <si>
    <t xml:space="preserve"> Payment FPC of Project Manager  Aout2023 </t>
  </si>
  <si>
    <t xml:space="preserve"> Payment FPC of Project Manager  Septembre2023 </t>
  </si>
  <si>
    <t>Payment FPC  Capacity building Officer salaire Septembe 2023</t>
  </si>
  <si>
    <t>Correction  executive Director salaire Additionnel  janvier 2023</t>
  </si>
  <si>
    <t>Correction Financial and Adlinistrative Manager salaire Additionnel  janvier 2023</t>
  </si>
  <si>
    <t>Correction Monitoring and Evaluation salaire Additionnel janvier 2023</t>
  </si>
  <si>
    <t>Correction Project Manager salaire  Additionnel janvier 2023</t>
  </si>
  <si>
    <t>Correction Capacity building Officer salaire Additionnel  janvier 2023</t>
  </si>
  <si>
    <t>Correction  Accountant  salaire Additionnel janvier 2023</t>
  </si>
  <si>
    <t>CH8998715</t>
  </si>
  <si>
    <t>CH8998714</t>
  </si>
  <si>
    <t>CH8998716</t>
  </si>
  <si>
    <t>OV 036</t>
  </si>
  <si>
    <t>CH8998720</t>
  </si>
  <si>
    <t>CH8998723</t>
  </si>
  <si>
    <t>CH8998721</t>
  </si>
  <si>
    <t>Frais de facilitation Validation des modules</t>
  </si>
  <si>
    <t>Frais de transport des participants Validation des modules</t>
  </si>
  <si>
    <t>Frais de représentation Validation des modules</t>
  </si>
  <si>
    <t>Frais de communication pour Validation des modules</t>
  </si>
  <si>
    <t>Paiement achats matériels Validation des modules</t>
  </si>
  <si>
    <t xml:space="preserve"> Location salle </t>
  </si>
  <si>
    <t>Pause café</t>
  </si>
  <si>
    <t>Pause déjeuner</t>
  </si>
  <si>
    <t>Eau mirale</t>
  </si>
  <si>
    <t>Frais de translation des documents</t>
  </si>
  <si>
    <t>Frais de consultance</t>
  </si>
  <si>
    <t>Achats matériels  pour formation des formateurs</t>
  </si>
  <si>
    <t>Frais de deplacements des participants</t>
  </si>
  <si>
    <t>Frais de mission</t>
  </si>
  <si>
    <t>Frais de communication</t>
  </si>
  <si>
    <t>Paiement location salle</t>
  </si>
  <si>
    <t>Eau minérale</t>
  </si>
  <si>
    <t>CH8998713</t>
  </si>
  <si>
    <t>CH8998717</t>
  </si>
  <si>
    <t xml:space="preserve">Frais de mission :Atélier de developpement des plans strategiques à RUTANA </t>
  </si>
  <si>
    <t>Frais de mission :Atélier de developpement des plans strategiques à RUYIGI</t>
  </si>
  <si>
    <t>A.2.2.1</t>
  </si>
  <si>
    <t>Quitt OBR no 23100747839</t>
  </si>
  <si>
    <t>Relevé bancaire G435918</t>
  </si>
  <si>
    <t xml:space="preserve">Chq 1693955 </t>
  </si>
  <si>
    <t>2023/18/10</t>
  </si>
  <si>
    <t xml:space="preserve">Chq 1693956 </t>
  </si>
  <si>
    <t xml:space="preserve">Chq 1693960 </t>
  </si>
  <si>
    <t>DV 82/10/EN/2023</t>
  </si>
  <si>
    <t>2023/26/10</t>
  </si>
  <si>
    <t xml:space="preserve">DV 82/10/EN/2023 </t>
  </si>
  <si>
    <t xml:space="preserve">DV 83/10/EN/2023 </t>
  </si>
  <si>
    <t>DV 84/10/EN/2023 pr Eau et Electr</t>
  </si>
  <si>
    <t>2023/27/10</t>
  </si>
  <si>
    <t>Relevé bancaire  G 541686</t>
  </si>
  <si>
    <t xml:space="preserve">Relevé bancaire  </t>
  </si>
  <si>
    <t>2023/30/10</t>
  </si>
  <si>
    <t>Tax on Sal of country repres Sept-023</t>
  </si>
  <si>
    <t>Tax on Sal of Project coord Sept-023</t>
  </si>
  <si>
    <t>Tax on Sal of Accountant Sept-023</t>
  </si>
  <si>
    <t>Sal of Accountant  Oct-023</t>
  </si>
  <si>
    <t>Sal of secretary account Oct-023</t>
  </si>
  <si>
    <t>Sal of Communic Officer  Oct-023</t>
  </si>
  <si>
    <t>Sal of the Cleaner Oct-023</t>
  </si>
  <si>
    <t>Sal of guard Bujumbura Oct-023</t>
  </si>
  <si>
    <t>Sal of guard Rutana Oct-023</t>
  </si>
  <si>
    <t>Rutana office rent</t>
  </si>
  <si>
    <t>Office supplies(bank charge)</t>
  </si>
  <si>
    <t>chq 1693948</t>
  </si>
  <si>
    <t>18/10/2023</t>
  </si>
  <si>
    <t>chq 1693949</t>
  </si>
  <si>
    <t>chq 1693951</t>
  </si>
  <si>
    <t>chq 1693952</t>
  </si>
  <si>
    <t>chq 1693953</t>
  </si>
  <si>
    <t>chq 1693954</t>
  </si>
  <si>
    <t>chq 1693957</t>
  </si>
  <si>
    <t>chq 1693930</t>
  </si>
  <si>
    <t>Participants expenses</t>
  </si>
  <si>
    <t>Project Manager communication costs</t>
  </si>
  <si>
    <t>Focal Points communic costs **</t>
  </si>
  <si>
    <t>Admin &amp; DPDFS represent expenses</t>
  </si>
  <si>
    <t>RFP Team mission expenses</t>
  </si>
  <si>
    <t>Consultants expenses</t>
  </si>
  <si>
    <t>Participants travel expenses</t>
  </si>
  <si>
    <t>Fuel rented cars **</t>
  </si>
  <si>
    <t>Conference room rent (Motel aux 3 M)</t>
  </si>
  <si>
    <t>Coffee break(Motel aux 3 M)</t>
  </si>
  <si>
    <t>Lunch break (Motel aux 3 M)</t>
  </si>
  <si>
    <t>Mineral Water(Motel aux 3 M)</t>
  </si>
  <si>
    <t>Radio advert for Consultants&amp; Facilit</t>
  </si>
  <si>
    <t>Training  supplies</t>
  </si>
  <si>
    <t>Chq 1693921</t>
  </si>
  <si>
    <t>26/10/2023</t>
  </si>
  <si>
    <t>chq 1693922</t>
  </si>
  <si>
    <t>chq 1693923</t>
  </si>
  <si>
    <t>chq 1693924</t>
  </si>
  <si>
    <t>chq 1693925</t>
  </si>
  <si>
    <t>chq 1693926</t>
  </si>
  <si>
    <t>Consultants mission expenses</t>
  </si>
  <si>
    <t>scotch</t>
  </si>
  <si>
    <t>Feutre</t>
  </si>
  <si>
    <t>Pens</t>
  </si>
  <si>
    <t>Bloc notes</t>
  </si>
  <si>
    <t>Focal Points communic costs</t>
  </si>
  <si>
    <t>Project Manager communic costs</t>
  </si>
  <si>
    <t>Representation of Adm &amp; DPDFS exp.</t>
  </si>
  <si>
    <t>Chq 1693947</t>
  </si>
  <si>
    <t>Purchase of  50 umbrellas to award</t>
  </si>
  <si>
    <t>chq 1693958</t>
  </si>
  <si>
    <t>23/10/2023</t>
  </si>
  <si>
    <t>Chq 1693959</t>
  </si>
  <si>
    <t>chq 1693929</t>
  </si>
  <si>
    <t>31/10/2023</t>
  </si>
  <si>
    <t>B CHQ0003598</t>
  </si>
  <si>
    <t>B CHQ0003629</t>
  </si>
  <si>
    <t>B CV1136</t>
  </si>
  <si>
    <t>B CV1139</t>
  </si>
  <si>
    <t>B CV1141</t>
  </si>
  <si>
    <t>B CV1144</t>
  </si>
  <si>
    <t>B CV1148</t>
  </si>
  <si>
    <t>B CV1153</t>
  </si>
  <si>
    <t>B FACT003/2023</t>
  </si>
  <si>
    <t>B FACT0479/MS-CA</t>
  </si>
  <si>
    <t>B FACT1830</t>
  </si>
  <si>
    <t>B FACT28-09-2023</t>
  </si>
  <si>
    <t>2024/007</t>
  </si>
  <si>
    <t>03.02.14.UN-Bank charges _ BIF Account_Oct2023</t>
  </si>
  <si>
    <t>03.02.08.UN-Cash Power_Oct23</t>
  </si>
  <si>
    <t>03.02.11.UN-Fuel vehicle A 418 IT-51.12L</t>
  </si>
  <si>
    <t>03.02.06.UN-Transport fees_Fiacre Havyarimana</t>
  </si>
  <si>
    <t>03.02.06.UN-Purchase of a Tube&amp;starter</t>
  </si>
  <si>
    <t>03.02.11.UNPincage de 2 vehicules_E613AIT&amp;E707A IT</t>
  </si>
  <si>
    <t>03.02.06.UN-Gardening fees</t>
  </si>
  <si>
    <t>03.02.05.UN-CD Rent_Oct to Dec23</t>
  </si>
  <si>
    <t>03.02.11.UN-Vehicle maintenance_C787AIT</t>
  </si>
  <si>
    <t>03.02.07.UN-Security fees_Oct23</t>
  </si>
  <si>
    <t>03.02.10.UN-Maintenance of I.T Equipment</t>
  </si>
  <si>
    <t>B FACT502230900543731</t>
  </si>
  <si>
    <t>B OV0003491</t>
  </si>
  <si>
    <t>B OV0003506</t>
  </si>
  <si>
    <t>BUR_SAL_2024/007</t>
  </si>
  <si>
    <t>03.02.08.UN-Invoice for water_Sept23</t>
  </si>
  <si>
    <t>03.02.09.UN-Office Internet_October 2023</t>
  </si>
  <si>
    <t>CHQ0003612</t>
  </si>
  <si>
    <t>OP0003516</t>
  </si>
  <si>
    <t>TAR 30 10 2023</t>
  </si>
  <si>
    <t>TAR 31 10 2023</t>
  </si>
  <si>
    <t>02.01.02.UN.PYT vehicl rent _Bnefciary registratio</t>
  </si>
  <si>
    <t>02.01.02.UN_PYT Meals Train enum.Benef Registratio</t>
  </si>
  <si>
    <t>02.02.04.UN PYT Perdiem _Fuel_Quarterly review M</t>
  </si>
  <si>
    <t>02.01.02.UN_PYT Perdiem_.Benef Registratio</t>
  </si>
  <si>
    <t>03.02.10.UN_Maintenance of I.T Equipment</t>
  </si>
  <si>
    <t>FINANCIAL REPORT FROM JANUARY 2023 TO OCTOBER 2023</t>
  </si>
  <si>
    <t>Production TV "Barushe nguhere"</t>
  </si>
  <si>
    <t xml:space="preserve">Diffusion TV "Barushe nguhere" </t>
  </si>
  <si>
    <t>Production Radio "Barushe nguhere"</t>
  </si>
  <si>
    <t xml:space="preserve">Diffusion Radio "Barushe nguhere" </t>
  </si>
  <si>
    <t>Salary-OP cost</t>
  </si>
  <si>
    <t>Act cost</t>
  </si>
  <si>
    <t>Tot</t>
  </si>
  <si>
    <t>Sal of country repres Oct-023</t>
  </si>
  <si>
    <t>Sal of Project Coordin Oct-023</t>
  </si>
  <si>
    <t>Accomodation  of participants expenses</t>
  </si>
  <si>
    <t>Partner Burn Rate</t>
  </si>
  <si>
    <t>CA Burundi Burn Rate</t>
  </si>
  <si>
    <t>Project allocations</t>
  </si>
  <si>
    <t>Burn rate Global</t>
  </si>
  <si>
    <t>Total Spend to Date</t>
  </si>
  <si>
    <t>Commitments to Partners</t>
  </si>
  <si>
    <t>Received 03/02/2023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</si>
</sst>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164" formatCode="_-&quot;£&quot;* #,##0_-;\-&quot;£&quot;* #,##0_-;_-&quot;£&quot;* &quot;-&quot;_-;_-@_-"/>
    <numFmt numFmtId="165" formatCode="_-&quot;£&quot;* #,##0.00_-;\-&quot;£&quot;* #,##0.00_-;_-&quot;£&quot;* &quot;-&quot;??_-;_-@_-"/>
    <numFmt numFmtId="166" formatCode="_(* #,##0_);_(* \(#,##0\);_(* &quot;-&quot;_);_(@_)"/>
    <numFmt numFmtId="167" formatCode="_(&quot;$&quot;* #,##0.00_);_(&quot;$&quot;* \(#,##0.00\);_(&quot;$&quot;* &quot;-&quot;??_);_(@_)"/>
    <numFmt numFmtId="168" formatCode="_(* #,##0.00_);_(* \(#,##0.00\);_(* &quot;-&quot;??_);_(@_)"/>
    <numFmt numFmtId="169" formatCode="_-* #,##0_-;\-* #,##0_-;_-* &quot;-&quot;??_-;_-@_-"/>
    <numFmt numFmtId="170" formatCode="_-* #,##0.00\ _F_-;\-* #,##0.00\ _F_-;_-* &quot;-&quot;??\ _F_-;_-@_-"/>
    <numFmt numFmtId="171" formatCode="_-* #,##0.00\ _€_-;\-* #,##0.00\ _€_-;_-* &quot;-&quot;??\ _€_-;_-@_-"/>
    <numFmt numFmtId="172" formatCode="_ * #,##0.00_ ;_ * \-#,##0.00_ ;_ * &quot;-&quot;??_ ;_ @_ "/>
    <numFmt numFmtId="173" formatCode="_-* #,##0.00_€_-;\-* #,##0.00_€_-;_-* &quot;-&quot;??_€_-;_-@_-"/>
    <numFmt numFmtId="174" formatCode="&quot;L.&quot;\ #,##0.00;[Red]&quot;L.&quot;\ \-#,##0.00"/>
    <numFmt numFmtId="175" formatCode="&quot;€&quot;#,##0;\-&quot;€&quot;#,##0"/>
    <numFmt numFmtId="176" formatCode="_-* #,##0.00\ _F_B_-;\-* #,##0.00\ _F_B_-;_-* &quot;-&quot;??\ _F_B_-;_-@_-"/>
    <numFmt numFmtId="177" formatCode="_(&quot;$&quot;\ * #,##0.00_);_(&quot;$&quot;\ * \(#,##0.00\);_(&quot;$&quot;\ * &quot;-&quot;??_);_(@_)"/>
    <numFmt numFmtId="178" formatCode="_(&quot;$&quot;* #,##0_);_(&quot;$&quot;* \(#,##0\);_(&quot;$&quot;* &quot;-&quot;??_);_(@_)"/>
    <numFmt numFmtId="179" formatCode="_-[$$-409]* #,##0.00_ ;_-[$$-409]* \-#,##0.00\ ;_-[$$-409]* &quot;-&quot;??_ ;_-@_ "/>
    <numFmt numFmtId="180" formatCode="_(* #,##0_);_(* \(#,##0\);_(* &quot;-&quot;??_);_(@_)"/>
    <numFmt numFmtId="181" formatCode="_-* #,##0\ _€_-;\-* #,##0\ _€_-;_-* &quot;-&quot;??\ _€_-;_-@_-"/>
    <numFmt numFmtId="182" formatCode="#,##0.00;[Red]\(#,##0.00\)"/>
    <numFmt numFmtId="183" formatCode="0_ "/>
    <numFmt numFmtId="184" formatCode="yyyy/m/d;@"/>
    <numFmt numFmtId="185" formatCode="0.00_ "/>
    <numFmt numFmtId="186" formatCode="_-* #,##0.00\ _F_B_u_-;\-* #,##0.00\ _F_B_u_-;_-* &quot;-&quot;??\ _F_B_u_-;_-@_-"/>
    <numFmt numFmtId="187" formatCode="_(* #,##0.0_);_(* \(#,##0.0\);_(* &quot;-&quot;??_);_(@_)"/>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2"/>
      <color theme="1"/>
      <name val="Calibri"/>
      <family val="2"/>
    </font>
    <font>
      <sz val="12"/>
      <color rgb="FFFF0000"/>
      <name val="Calibri"/>
      <family val="2"/>
      <scheme val="minor"/>
    </font>
    <font>
      <sz val="11"/>
      <name val="Calibri"/>
      <family val="2"/>
      <scheme val="minor"/>
    </font>
    <font>
      <sz val="14"/>
      <color theme="1"/>
      <name val="Calibri"/>
      <family val="2"/>
      <scheme val="minor"/>
    </font>
    <font>
      <b/>
      <sz val="14"/>
      <color theme="1"/>
      <name val="Calibri"/>
      <family val="2"/>
      <scheme val="minor"/>
    </font>
    <font>
      <sz val="12"/>
      <name val="Calibri"/>
      <family val="2"/>
      <scheme val="minor"/>
    </font>
    <font>
      <b/>
      <sz val="13"/>
      <name val="Calibri"/>
      <family val="2"/>
      <scheme val="minor"/>
    </font>
    <font>
      <sz val="10"/>
      <name val="Times New Roman"/>
      <family val="1"/>
    </font>
    <font>
      <sz val="10"/>
      <name val="Arial"/>
      <family val="2"/>
    </font>
    <font>
      <b/>
      <sz val="11"/>
      <name val="Calibri"/>
      <family val="2"/>
      <scheme val="minor"/>
    </font>
    <font>
      <sz val="11"/>
      <color indexed="8"/>
      <name val="Calibri"/>
      <family val="2"/>
    </font>
    <font>
      <b/>
      <sz val="12"/>
      <name val="Calibri"/>
      <family val="2"/>
      <scheme val="minor"/>
    </font>
    <font>
      <sz val="11"/>
      <color theme="1"/>
      <name val="Arial"/>
      <family val="2"/>
    </font>
    <font>
      <sz val="10"/>
      <color indexed="8"/>
      <name val="Arial"/>
      <family val="2"/>
    </font>
    <font>
      <sz val="12"/>
      <name val="Calibri"/>
      <family val="2"/>
    </font>
    <font>
      <sz val="8"/>
      <name val="Calibri"/>
      <family val="2"/>
      <scheme val="minor"/>
    </font>
    <font>
      <b/>
      <sz val="12"/>
      <color rgb="FFFF0000"/>
      <name val="Calibri"/>
      <family val="2"/>
      <scheme val="minor"/>
    </font>
    <font>
      <b/>
      <sz val="24"/>
      <color rgb="FF00B0F0"/>
      <name val="Calibri"/>
      <family val="2"/>
      <scheme val="minor"/>
    </font>
    <font>
      <b/>
      <sz val="12"/>
      <color rgb="FF00B0F0"/>
      <name val="Calibri"/>
      <family val="2"/>
      <scheme val="minor"/>
    </font>
    <font>
      <b/>
      <sz val="14"/>
      <color rgb="FF0070C0"/>
      <name val="Calibri"/>
      <family val="2"/>
      <scheme val="minor"/>
    </font>
    <font>
      <sz val="14"/>
      <name val="Calibri"/>
      <family val="2"/>
      <scheme val="minor"/>
    </font>
    <font>
      <sz val="10"/>
      <name val="Calibri"/>
      <family val="2"/>
      <scheme val="minor"/>
    </font>
    <font>
      <b/>
      <sz val="11"/>
      <color rgb="FFFF0000"/>
      <name val="Calibri"/>
      <family val="2"/>
      <scheme val="minor"/>
    </font>
    <font>
      <b/>
      <sz val="14"/>
      <color rgb="FFFF0000"/>
      <name val="Calibri"/>
      <family val="2"/>
      <scheme val="minor"/>
    </font>
    <font>
      <sz val="11"/>
      <name val="Calibri"/>
      <family val="2"/>
    </font>
    <font>
      <b/>
      <sz val="10"/>
      <name val="Arial"/>
      <family val="2"/>
    </font>
    <font>
      <sz val="12"/>
      <name val="Times New Roman"/>
      <family val="1"/>
    </font>
    <font>
      <b/>
      <sz val="24"/>
      <name val="Calibri"/>
      <family val="2"/>
      <scheme val="minor"/>
    </font>
    <font>
      <b/>
      <sz val="36"/>
      <name val="Calibri"/>
      <family val="2"/>
      <scheme val="minor"/>
    </font>
    <font>
      <sz val="36"/>
      <name val="Calibri"/>
      <family val="2"/>
      <scheme val="minor"/>
    </font>
    <font>
      <b/>
      <sz val="14"/>
      <name val="Calibri"/>
      <family val="2"/>
      <scheme val="minor"/>
    </font>
    <font>
      <b/>
      <sz val="12"/>
      <name val="Calibri"/>
      <family val="2"/>
    </font>
    <font>
      <sz val="11"/>
      <name val="Sylfaen"/>
      <family val="1"/>
    </font>
    <font>
      <b/>
      <sz val="10"/>
      <color theme="0"/>
      <name val="Arial"/>
      <family val="2"/>
    </font>
    <font>
      <sz val="11"/>
      <color rgb="FF0070C0"/>
      <name val="Calibri"/>
      <family val="2"/>
      <scheme val="minor"/>
    </font>
    <font>
      <sz val="12"/>
      <color rgb="FF0070C0"/>
      <name val="Calibri"/>
      <family val="2"/>
      <scheme val="minor"/>
    </font>
    <font>
      <sz val="12"/>
      <color rgb="FFC00000"/>
      <name val="Calibri"/>
      <family val="2"/>
      <scheme val="minor"/>
    </font>
    <font>
      <b/>
      <sz val="11"/>
      <name val="Calibri"/>
      <family val="2"/>
    </font>
  </fonts>
  <fills count="2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0000"/>
        <bgColor indexed="64"/>
      </patternFill>
    </fill>
    <fill>
      <patternFill patternType="solid">
        <fgColor rgb="FF1F4E78"/>
        <bgColor indexed="64"/>
      </patternFill>
    </fill>
    <fill>
      <patternFill patternType="solid">
        <fgColor rgb="FFBF8F00"/>
        <bgColor indexed="64"/>
      </patternFill>
    </fill>
    <fill>
      <patternFill patternType="solid">
        <fgColor rgb="FF806000"/>
        <bgColor indexed="64"/>
      </patternFill>
    </fill>
    <fill>
      <patternFill patternType="solid">
        <fgColor rgb="FFD0CECE"/>
        <bgColor indexed="64"/>
      </patternFill>
    </fill>
  </fills>
  <borders count="7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bottom style="medium">
        <color indexed="30"/>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auto="1"/>
      </top>
      <bottom/>
      <diagonal/>
    </border>
    <border>
      <left/>
      <right/>
      <top/>
      <bottom style="medium">
        <color auto="1"/>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s>
  <cellStyleXfs count="73">
    <xf numFmtId="0" fontId="0"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0" fontId="12" fillId="0" borderId="15" applyFont="0"/>
    <xf numFmtId="0" fontId="1" fillId="0" borderId="0"/>
    <xf numFmtId="170" fontId="13" fillId="0" borderId="0" applyFont="0" applyFill="0" applyBorder="0" applyAlignment="0" applyProtection="0"/>
    <xf numFmtId="0" fontId="14" fillId="0" borderId="0"/>
    <xf numFmtId="166"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0" fontId="14" fillId="0" borderId="0"/>
    <xf numFmtId="168" fontId="1" fillId="0" borderId="0" applyFont="0" applyFill="0" applyBorder="0" applyAlignment="0" applyProtection="0"/>
    <xf numFmtId="0" fontId="18" fillId="0" borderId="0"/>
    <xf numFmtId="168" fontId="14" fillId="0" borderId="0" applyFont="0" applyFill="0" applyBorder="0" applyAlignment="0" applyProtection="0"/>
    <xf numFmtId="168" fontId="1" fillId="0" borderId="0" applyFont="0" applyFill="0" applyBorder="0" applyAlignment="0" applyProtection="0"/>
    <xf numFmtId="0" fontId="1" fillId="0" borderId="0"/>
    <xf numFmtId="0" fontId="14" fillId="0" borderId="0"/>
    <xf numFmtId="171" fontId="14" fillId="0" borderId="0" applyFont="0" applyFill="0" applyBorder="0" applyAlignment="0" applyProtection="0"/>
    <xf numFmtId="168" fontId="14" fillId="0" borderId="0" applyFont="0" applyFill="0" applyBorder="0" applyAlignment="0" applyProtection="0"/>
    <xf numFmtId="0" fontId="1" fillId="0" borderId="0"/>
    <xf numFmtId="168" fontId="1" fillId="0" borderId="0" applyFont="0" applyFill="0" applyBorder="0" applyAlignment="0" applyProtection="0"/>
    <xf numFmtId="168" fontId="14" fillId="0" borderId="0" applyFont="0" applyFill="0" applyBorder="0" applyAlignment="0" applyProtection="0"/>
    <xf numFmtId="168" fontId="1" fillId="0" borderId="0" applyFont="0" applyFill="0" applyBorder="0" applyAlignment="0" applyProtection="0"/>
    <xf numFmtId="168" fontId="14" fillId="0" borderId="0" applyFont="0" applyFill="0" applyBorder="0" applyAlignment="0" applyProtection="0"/>
    <xf numFmtId="0" fontId="14" fillId="0" borderId="0"/>
    <xf numFmtId="173" fontId="14" fillId="0" borderId="0" applyFont="0" applyFill="0" applyBorder="0" applyAlignment="0" applyProtection="0"/>
    <xf numFmtId="0" fontId="14" fillId="0" borderId="0" applyFont="0" applyFill="0" applyBorder="0" applyAlignment="0" applyProtection="0"/>
    <xf numFmtId="174" fontId="14" fillId="0" borderId="0" applyFont="0" applyFill="0" applyBorder="0" applyAlignment="0" applyProtection="0"/>
    <xf numFmtId="171" fontId="16" fillId="0" borderId="0" applyFont="0" applyFill="0" applyBorder="0" applyAlignment="0" applyProtection="0"/>
    <xf numFmtId="175" fontId="1" fillId="0" borderId="0" applyFont="0" applyFill="0" applyBorder="0" applyAlignment="0" applyProtection="0"/>
    <xf numFmtId="168" fontId="14" fillId="0" borderId="0" applyFont="0" applyFill="0" applyBorder="0" applyAlignment="0" applyProtection="0"/>
    <xf numFmtId="171" fontId="19" fillId="0" borderId="0" applyFont="0" applyFill="0" applyBorder="0" applyAlignment="0" applyProtection="0"/>
    <xf numFmtId="171" fontId="16" fillId="0" borderId="0" applyFont="0" applyFill="0" applyBorder="0" applyAlignment="0" applyProtection="0"/>
    <xf numFmtId="0" fontId="14" fillId="0" borderId="0"/>
    <xf numFmtId="0" fontId="14" fillId="0" borderId="0"/>
    <xf numFmtId="0" fontId="1" fillId="0" borderId="0"/>
    <xf numFmtId="0" fontId="14" fillId="0" borderId="0"/>
    <xf numFmtId="0" fontId="1" fillId="0" borderId="0"/>
    <xf numFmtId="168" fontId="14" fillId="0" borderId="0" applyFont="0" applyFill="0" applyBorder="0" applyAlignment="0" applyProtection="0"/>
    <xf numFmtId="168" fontId="1" fillId="0" borderId="0" applyFont="0" applyFill="0" applyBorder="0" applyAlignment="0" applyProtection="0"/>
    <xf numFmtId="176" fontId="14" fillId="0" borderId="0" applyFont="0" applyFill="0" applyBorder="0" applyAlignment="0" applyProtection="0"/>
    <xf numFmtId="168" fontId="14" fillId="0" borderId="0" applyFont="0" applyFill="0" applyBorder="0" applyAlignment="0" applyProtection="0"/>
    <xf numFmtId="172"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4" fillId="0" borderId="0" applyFont="0" applyFill="0" applyBorder="0" applyAlignment="0" applyProtection="0"/>
    <xf numFmtId="168" fontId="1"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cellStyleXfs>
  <cellXfs count="722">
    <xf numFmtId="0" fontId="0" fillId="0" borderId="0" xfId="0"/>
    <xf numFmtId="0" fontId="8" fillId="0" borderId="3" xfId="0" applyFont="1" applyBorder="1" applyAlignment="1">
      <alignment vertical="center" wrapText="1"/>
    </xf>
    <xf numFmtId="0" fontId="0" fillId="0" borderId="3" xfId="0" applyBorder="1" applyAlignment="1">
      <alignment wrapText="1"/>
    </xf>
    <xf numFmtId="0" fontId="0" fillId="0" borderId="0" xfId="0" applyAlignment="1">
      <alignment wrapText="1"/>
    </xf>
    <xf numFmtId="167" fontId="5" fillId="2" borderId="3" xfId="3" applyFont="1" applyFill="1" applyBorder="1" applyAlignment="1" applyProtection="1">
      <alignment horizontal="center" vertical="center" wrapText="1"/>
    </xf>
    <xf numFmtId="0" fontId="8" fillId="0" borderId="3" xfId="0" applyFont="1" applyBorder="1" applyAlignment="1">
      <alignment wrapText="1"/>
    </xf>
    <xf numFmtId="0" fontId="2" fillId="0" borderId="0" xfId="0" applyFont="1" applyAlignment="1">
      <alignment wrapText="1"/>
    </xf>
    <xf numFmtId="0" fontId="24" fillId="0" borderId="0" xfId="0" applyFont="1" applyAlignment="1">
      <alignment wrapText="1"/>
    </xf>
    <xf numFmtId="167" fontId="0" fillId="0" borderId="0" xfId="3" applyFont="1" applyBorder="1" applyAlignment="1">
      <alignment wrapText="1"/>
    </xf>
    <xf numFmtId="167" fontId="11" fillId="0" borderId="3" xfId="3" applyFont="1" applyBorder="1" applyAlignment="1" applyProtection="1">
      <alignment horizontal="center" vertical="center" wrapText="1"/>
      <protection locked="0"/>
    </xf>
    <xf numFmtId="167" fontId="4" fillId="0" borderId="3" xfId="3" applyFont="1" applyBorder="1" applyAlignment="1" applyProtection="1">
      <alignment horizontal="center" vertical="center" wrapText="1"/>
      <protection locked="0"/>
    </xf>
    <xf numFmtId="9" fontId="4" fillId="0" borderId="3" xfId="2" applyFont="1" applyBorder="1" applyAlignment="1" applyProtection="1">
      <alignment horizontal="center" vertical="center" wrapText="1"/>
      <protection locked="0"/>
    </xf>
    <xf numFmtId="167" fontId="7" fillId="0" borderId="3" xfId="3" applyFont="1" applyFill="1" applyBorder="1" applyAlignment="1" applyProtection="1">
      <alignment horizontal="center" vertical="center" wrapText="1"/>
    </xf>
    <xf numFmtId="167" fontId="4" fillId="3" borderId="3" xfId="3" applyFont="1" applyFill="1" applyBorder="1" applyAlignment="1" applyProtection="1">
      <alignment horizontal="center" vertical="center" wrapText="1"/>
      <protection locked="0"/>
    </xf>
    <xf numFmtId="9" fontId="4" fillId="3" borderId="3" xfId="2" applyFont="1" applyFill="1" applyBorder="1" applyAlignment="1" applyProtection="1">
      <alignment horizontal="center" vertical="center" wrapText="1"/>
      <protection locked="0"/>
    </xf>
    <xf numFmtId="0" fontId="0" fillId="3" borderId="0" xfId="0" applyFill="1" applyAlignment="1">
      <alignment wrapText="1"/>
    </xf>
    <xf numFmtId="167" fontId="5" fillId="3" borderId="3" xfId="3" applyFont="1" applyFill="1" applyBorder="1" applyAlignment="1" applyProtection="1">
      <alignment horizontal="center" vertical="center" wrapText="1"/>
    </xf>
    <xf numFmtId="167" fontId="7" fillId="0" borderId="3" xfId="3" applyFont="1" applyBorder="1" applyAlignment="1" applyProtection="1">
      <alignment horizontal="center" vertical="center" wrapText="1"/>
      <protection locked="0"/>
    </xf>
    <xf numFmtId="167" fontId="5" fillId="2" borderId="5" xfId="3" applyFont="1" applyFill="1" applyBorder="1" applyAlignment="1" applyProtection="1">
      <alignment horizontal="center" vertical="center" wrapText="1"/>
    </xf>
    <xf numFmtId="167" fontId="22" fillId="0" borderId="3" xfId="3" applyFont="1" applyFill="1" applyBorder="1" applyAlignment="1" applyProtection="1">
      <alignment vertical="center" wrapText="1"/>
    </xf>
    <xf numFmtId="0" fontId="0" fillId="3" borderId="3" xfId="0" applyFill="1" applyBorder="1" applyAlignment="1">
      <alignment wrapText="1"/>
    </xf>
    <xf numFmtId="167" fontId="22" fillId="0" borderId="3" xfId="3" applyFont="1" applyFill="1" applyBorder="1" applyAlignment="1" applyProtection="1">
      <alignment horizontal="center" vertical="center" wrapText="1"/>
    </xf>
    <xf numFmtId="167" fontId="5" fillId="6" borderId="3" xfId="3" applyFont="1" applyFill="1" applyBorder="1" applyAlignment="1" applyProtection="1">
      <alignment horizontal="center" vertical="center" wrapText="1"/>
    </xf>
    <xf numFmtId="0" fontId="5" fillId="3" borderId="0" xfId="0" applyFont="1" applyFill="1" applyAlignment="1">
      <alignment vertical="center" wrapText="1"/>
    </xf>
    <xf numFmtId="167" fontId="4" fillId="3" borderId="3" xfId="3" applyFont="1" applyFill="1" applyBorder="1" applyAlignment="1" applyProtection="1">
      <alignment vertical="center" wrapText="1"/>
      <protection locked="0"/>
    </xf>
    <xf numFmtId="0" fontId="22" fillId="0" borderId="3" xfId="0" applyFont="1" applyBorder="1" applyAlignment="1" applyProtection="1">
      <alignment vertical="center" wrapText="1"/>
      <protection locked="0"/>
    </xf>
    <xf numFmtId="167" fontId="7" fillId="0" borderId="3" xfId="3" applyFont="1" applyFill="1" applyBorder="1" applyAlignment="1" applyProtection="1">
      <alignment vertical="center" wrapText="1"/>
    </xf>
    <xf numFmtId="167" fontId="4" fillId="0" borderId="3" xfId="3" applyFont="1" applyBorder="1" applyAlignment="1" applyProtection="1">
      <alignment vertical="center" wrapText="1"/>
      <protection locked="0"/>
    </xf>
    <xf numFmtId="9" fontId="4" fillId="0" borderId="3" xfId="2" applyFont="1" applyBorder="1" applyAlignment="1" applyProtection="1">
      <alignment vertical="center" wrapText="1"/>
      <protection locked="0"/>
    </xf>
    <xf numFmtId="167" fontId="4" fillId="3" borderId="0" xfId="3" applyFont="1" applyFill="1" applyBorder="1" applyAlignment="1" applyProtection="1">
      <alignment vertical="center" wrapText="1"/>
      <protection locked="0"/>
    </xf>
    <xf numFmtId="0" fontId="22" fillId="3" borderId="0" xfId="0" applyFont="1" applyFill="1" applyAlignment="1" applyProtection="1">
      <alignment vertical="center" wrapText="1"/>
      <protection locked="0"/>
    </xf>
    <xf numFmtId="167" fontId="5" fillId="3" borderId="0" xfId="3" applyFont="1" applyFill="1" applyBorder="1" applyAlignment="1" applyProtection="1">
      <alignment vertical="center" wrapText="1"/>
      <protection locked="0"/>
    </xf>
    <xf numFmtId="167" fontId="5" fillId="2" borderId="2" xfId="3" applyFont="1" applyFill="1" applyBorder="1" applyAlignment="1" applyProtection="1">
      <alignment horizontal="center" vertical="center" wrapText="1"/>
    </xf>
    <xf numFmtId="0" fontId="5" fillId="2" borderId="2" xfId="3" applyNumberFormat="1" applyFont="1" applyFill="1" applyBorder="1" applyAlignment="1" applyProtection="1">
      <alignment vertical="center" wrapText="1"/>
    </xf>
    <xf numFmtId="0" fontId="5" fillId="2" borderId="3" xfId="3" applyNumberFormat="1" applyFont="1" applyFill="1" applyBorder="1" applyAlignment="1" applyProtection="1">
      <alignment vertical="center" wrapText="1"/>
    </xf>
    <xf numFmtId="167" fontId="4" fillId="2" borderId="21" xfId="0" applyNumberFormat="1" applyFont="1" applyFill="1" applyBorder="1" applyAlignment="1">
      <alignment vertical="center" wrapText="1"/>
    </xf>
    <xf numFmtId="167" fontId="4" fillId="7" borderId="21" xfId="0" applyNumberFormat="1" applyFont="1" applyFill="1" applyBorder="1" applyAlignment="1">
      <alignment vertical="center" wrapText="1"/>
    </xf>
    <xf numFmtId="0" fontId="5" fillId="2" borderId="22" xfId="0" applyFont="1" applyFill="1" applyBorder="1" applyAlignment="1">
      <alignment vertical="center" wrapText="1"/>
    </xf>
    <xf numFmtId="0" fontId="7" fillId="0" borderId="0" xfId="0" applyFont="1" applyAlignment="1">
      <alignment vertical="center" wrapText="1"/>
    </xf>
    <xf numFmtId="167" fontId="5" fillId="3" borderId="0" xfId="0" applyNumberFormat="1" applyFont="1" applyFill="1" applyAlignment="1">
      <alignment vertical="center" wrapText="1"/>
    </xf>
    <xf numFmtId="167" fontId="5" fillId="3" borderId="0" xfId="3" applyFont="1" applyFill="1" applyBorder="1" applyAlignment="1">
      <alignment vertical="center" wrapText="1"/>
    </xf>
    <xf numFmtId="0" fontId="7" fillId="3" borderId="0" xfId="0" applyFont="1" applyFill="1" applyAlignment="1">
      <alignment vertical="center" wrapText="1"/>
    </xf>
    <xf numFmtId="167" fontId="5" fillId="3" borderId="0" xfId="3" applyFont="1" applyFill="1" applyBorder="1" applyAlignment="1" applyProtection="1">
      <alignment horizontal="center" vertical="center" wrapText="1"/>
    </xf>
    <xf numFmtId="0" fontId="5" fillId="2" borderId="2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0" xfId="0" applyFont="1" applyFill="1" applyBorder="1" applyAlignment="1">
      <alignment vertical="center" wrapText="1"/>
    </xf>
    <xf numFmtId="167" fontId="5" fillId="2" borderId="4" xfId="3" applyFont="1" applyFill="1" applyBorder="1" applyAlignment="1" applyProtection="1">
      <alignment vertical="center" wrapText="1"/>
    </xf>
    <xf numFmtId="9" fontId="5" fillId="3" borderId="21" xfId="2" applyFont="1" applyFill="1" applyBorder="1" applyAlignment="1" applyProtection="1">
      <alignment vertical="center" wrapText="1"/>
      <protection locked="0"/>
    </xf>
    <xf numFmtId="167" fontId="5" fillId="2" borderId="8" xfId="3" applyFont="1" applyFill="1" applyBorder="1" applyAlignment="1" applyProtection="1">
      <alignment vertical="center" wrapText="1"/>
    </xf>
    <xf numFmtId="9" fontId="5" fillId="3" borderId="46" xfId="2" applyFont="1" applyFill="1" applyBorder="1" applyAlignment="1" applyProtection="1">
      <alignment vertical="center" wrapText="1"/>
      <protection locked="0"/>
    </xf>
    <xf numFmtId="167" fontId="5" fillId="2" borderId="23" xfId="3" applyFont="1" applyFill="1" applyBorder="1" applyAlignment="1" applyProtection="1">
      <alignment vertical="center" wrapText="1"/>
    </xf>
    <xf numFmtId="9" fontId="5" fillId="2" borderId="36" xfId="2" applyFont="1" applyFill="1" applyBorder="1" applyAlignment="1" applyProtection="1">
      <alignment vertical="center" wrapText="1"/>
    </xf>
    <xf numFmtId="167" fontId="5" fillId="3" borderId="0" xfId="3" applyFont="1" applyFill="1" applyBorder="1" applyAlignment="1" applyProtection="1">
      <alignment vertical="center" wrapText="1"/>
    </xf>
    <xf numFmtId="0" fontId="5" fillId="0" borderId="0" xfId="0" applyFont="1" applyAlignment="1">
      <alignment vertical="center" wrapText="1"/>
    </xf>
    <xf numFmtId="167" fontId="5" fillId="0" borderId="0" xfId="0" applyNumberFormat="1" applyFont="1" applyAlignment="1">
      <alignment vertical="center" wrapText="1"/>
    </xf>
    <xf numFmtId="167" fontId="5" fillId="0" borderId="0" xfId="3" applyFont="1" applyFill="1" applyBorder="1" applyAlignment="1">
      <alignment vertical="center" wrapText="1"/>
    </xf>
    <xf numFmtId="167" fontId="0" fillId="0" borderId="0" xfId="3" applyFont="1" applyFill="1" applyBorder="1" applyAlignment="1">
      <alignment vertical="center" wrapText="1"/>
    </xf>
    <xf numFmtId="9" fontId="5" fillId="3" borderId="0" xfId="2" applyFont="1" applyFill="1" applyBorder="1" applyAlignment="1">
      <alignment wrapText="1"/>
    </xf>
    <xf numFmtId="9" fontId="3" fillId="0" borderId="0" xfId="2" applyFont="1" applyFill="1" applyBorder="1" applyAlignment="1">
      <alignment wrapText="1"/>
    </xf>
    <xf numFmtId="0" fontId="3" fillId="3" borderId="0" xfId="0" applyFont="1" applyFill="1" applyAlignment="1">
      <alignment horizontal="center" vertical="center" wrapText="1"/>
    </xf>
    <xf numFmtId="167" fontId="5" fillId="3" borderId="0" xfId="2" applyNumberFormat="1" applyFont="1" applyFill="1" applyBorder="1" applyAlignment="1">
      <alignment wrapText="1"/>
    </xf>
    <xf numFmtId="0" fontId="0" fillId="3" borderId="0" xfId="0" applyFill="1" applyAlignment="1">
      <alignment horizontal="center" vertical="center" wrapText="1"/>
    </xf>
    <xf numFmtId="167" fontId="0" fillId="0" borderId="0" xfId="3" applyFont="1" applyFill="1" applyBorder="1" applyAlignment="1">
      <alignment wrapText="1"/>
    </xf>
    <xf numFmtId="0" fontId="2" fillId="3" borderId="0" xfId="0" applyFont="1" applyFill="1" applyAlignment="1">
      <alignment wrapText="1"/>
    </xf>
    <xf numFmtId="10" fontId="17" fillId="2" borderId="5" xfId="2" applyNumberFormat="1" applyFont="1" applyFill="1" applyBorder="1" applyAlignment="1" applyProtection="1">
      <alignment horizontal="center" vertical="center" wrapText="1"/>
    </xf>
    <xf numFmtId="0" fontId="5" fillId="2" borderId="45" xfId="0" applyFont="1" applyFill="1" applyBorder="1" applyAlignment="1">
      <alignment horizontal="center" wrapText="1"/>
    </xf>
    <xf numFmtId="0" fontId="5" fillId="2" borderId="7" xfId="0" applyFont="1" applyFill="1" applyBorder="1" applyAlignment="1">
      <alignment horizontal="center" wrapText="1"/>
    </xf>
    <xf numFmtId="167" fontId="5" fillId="2" borderId="3" xfId="0" applyNumberFormat="1" applyFont="1" applyFill="1" applyBorder="1" applyAlignment="1">
      <alignment horizontal="center" wrapText="1"/>
    </xf>
    <xf numFmtId="0" fontId="6" fillId="2" borderId="20" xfId="0" applyFont="1" applyFill="1" applyBorder="1" applyAlignment="1">
      <alignment vertical="center" wrapText="1"/>
    </xf>
    <xf numFmtId="167" fontId="4" fillId="2" borderId="7" xfId="0" applyNumberFormat="1" applyFont="1" applyFill="1" applyBorder="1" applyAlignment="1">
      <alignment wrapText="1"/>
    </xf>
    <xf numFmtId="0" fontId="6" fillId="2" borderId="20" xfId="0" applyFont="1" applyFill="1" applyBorder="1" applyAlignment="1" applyProtection="1">
      <alignment vertical="center" wrapText="1"/>
      <protection locked="0"/>
    </xf>
    <xf numFmtId="167" fontId="4" fillId="2" borderId="11" xfId="0" applyNumberFormat="1" applyFont="1" applyFill="1" applyBorder="1" applyAlignment="1">
      <alignment wrapText="1"/>
    </xf>
    <xf numFmtId="167" fontId="4" fillId="2" borderId="37" xfId="0" applyNumberFormat="1" applyFont="1" applyFill="1" applyBorder="1" applyAlignment="1">
      <alignment wrapText="1"/>
    </xf>
    <xf numFmtId="167" fontId="4" fillId="2" borderId="23" xfId="0" applyNumberFormat="1" applyFont="1" applyFill="1" applyBorder="1" applyAlignment="1">
      <alignment wrapText="1"/>
    </xf>
    <xf numFmtId="167" fontId="17" fillId="0" borderId="3" xfId="3" applyFont="1" applyFill="1" applyBorder="1" applyAlignment="1" applyProtection="1">
      <alignment horizontal="center" vertical="center" wrapText="1"/>
    </xf>
    <xf numFmtId="0" fontId="9" fillId="0" borderId="0" xfId="0" applyFont="1" applyAlignment="1">
      <alignment vertical="center" wrapText="1"/>
    </xf>
    <xf numFmtId="0" fontId="9" fillId="3" borderId="0" xfId="0" applyFont="1" applyFill="1" applyAlignment="1">
      <alignment vertical="center" wrapText="1"/>
    </xf>
    <xf numFmtId="9" fontId="0" fillId="0" borderId="0" xfId="2" applyFont="1" applyAlignment="1">
      <alignment wrapText="1"/>
    </xf>
    <xf numFmtId="9" fontId="0" fillId="3" borderId="0" xfId="2" applyFont="1" applyFill="1" applyAlignment="1">
      <alignment wrapText="1"/>
    </xf>
    <xf numFmtId="168" fontId="0" fillId="0" borderId="0" xfId="0" applyNumberFormat="1" applyAlignment="1">
      <alignment wrapText="1"/>
    </xf>
    <xf numFmtId="167" fontId="11" fillId="0" borderId="3" xfId="3" applyFont="1" applyFill="1" applyBorder="1" applyAlignment="1" applyProtection="1">
      <alignment horizontal="center" vertical="center" wrapText="1"/>
    </xf>
    <xf numFmtId="168" fontId="8" fillId="0" borderId="3" xfId="0" applyNumberFormat="1" applyFont="1" applyBorder="1" applyAlignment="1">
      <alignment vertical="center" wrapText="1"/>
    </xf>
    <xf numFmtId="168" fontId="8" fillId="0" borderId="3" xfId="0" applyNumberFormat="1" applyFont="1" applyBorder="1" applyAlignment="1">
      <alignment horizontal="center" vertical="center" wrapText="1"/>
    </xf>
    <xf numFmtId="3" fontId="8" fillId="0" borderId="3" xfId="0" applyNumberFormat="1" applyFont="1" applyBorder="1" applyAlignment="1">
      <alignment horizontal="center" vertical="center" wrapText="1"/>
    </xf>
    <xf numFmtId="169" fontId="8" fillId="0" borderId="3" xfId="1" applyNumberFormat="1" applyFont="1" applyBorder="1" applyAlignment="1">
      <alignment vertical="center" wrapText="1"/>
    </xf>
    <xf numFmtId="0" fontId="26" fillId="0" borderId="3" xfId="0" applyFont="1" applyBorder="1" applyAlignment="1">
      <alignment vertical="center" wrapText="1"/>
    </xf>
    <xf numFmtId="0" fontId="8" fillId="0" borderId="3" xfId="0" applyFont="1" applyBorder="1" applyAlignment="1">
      <alignment horizontal="center" vertical="center" wrapText="1"/>
    </xf>
    <xf numFmtId="168" fontId="8" fillId="0" borderId="3" xfId="0" applyNumberFormat="1" applyFont="1" applyBorder="1" applyAlignment="1">
      <alignment wrapText="1"/>
    </xf>
    <xf numFmtId="0" fontId="17" fillId="2" borderId="3" xfId="0" applyFont="1" applyFill="1" applyBorder="1" applyAlignment="1">
      <alignment vertical="center" wrapText="1"/>
    </xf>
    <xf numFmtId="168" fontId="17" fillId="2" borderId="3" xfId="0" applyNumberFormat="1" applyFont="1" applyFill="1" applyBorder="1" applyAlignment="1">
      <alignment vertical="center" wrapText="1"/>
    </xf>
    <xf numFmtId="3" fontId="17" fillId="2" borderId="3" xfId="0" applyNumberFormat="1" applyFont="1" applyFill="1" applyBorder="1" applyAlignment="1">
      <alignment vertical="center" wrapText="1"/>
    </xf>
    <xf numFmtId="167" fontId="17" fillId="6" borderId="3" xfId="3" applyFont="1" applyFill="1" applyBorder="1" applyAlignment="1" applyProtection="1">
      <alignment horizontal="center" vertical="center" wrapText="1"/>
    </xf>
    <xf numFmtId="3" fontId="8" fillId="0" borderId="3" xfId="0" applyNumberFormat="1" applyFont="1" applyBorder="1" applyAlignment="1">
      <alignment wrapText="1"/>
    </xf>
    <xf numFmtId="167" fontId="11" fillId="0" borderId="3" xfId="3" applyFont="1" applyFill="1" applyBorder="1" applyAlignment="1" applyProtection="1">
      <alignment horizontal="center" wrapText="1"/>
    </xf>
    <xf numFmtId="167" fontId="17" fillId="6" borderId="3" xfId="3" applyFont="1" applyFill="1" applyBorder="1" applyAlignment="1" applyProtection="1">
      <alignment horizontal="center" wrapText="1"/>
    </xf>
    <xf numFmtId="167" fontId="11" fillId="0" borderId="3" xfId="3" applyFont="1" applyFill="1" applyBorder="1" applyAlignment="1" applyProtection="1">
      <alignment vertical="center" wrapText="1"/>
    </xf>
    <xf numFmtId="167" fontId="17" fillId="6" borderId="3" xfId="3" applyFont="1" applyFill="1" applyBorder="1" applyAlignment="1" applyProtection="1">
      <alignment vertical="center" wrapText="1"/>
    </xf>
    <xf numFmtId="9" fontId="11" fillId="0" borderId="3" xfId="2" applyFont="1" applyBorder="1" applyAlignment="1" applyProtection="1">
      <alignment horizontal="center" vertical="center" wrapText="1"/>
      <protection locked="0"/>
    </xf>
    <xf numFmtId="167" fontId="11" fillId="3" borderId="3" xfId="3" applyFont="1" applyFill="1" applyBorder="1" applyAlignment="1" applyProtection="1">
      <alignment horizontal="center" vertical="center" wrapText="1"/>
      <protection locked="0"/>
    </xf>
    <xf numFmtId="9" fontId="11" fillId="3" borderId="3" xfId="2" applyFont="1" applyFill="1" applyBorder="1" applyAlignment="1" applyProtection="1">
      <alignment horizontal="center" vertical="center" wrapText="1"/>
      <protection locked="0"/>
    </xf>
    <xf numFmtId="167" fontId="4" fillId="3" borderId="5" xfId="3" applyFont="1" applyFill="1" applyBorder="1" applyAlignment="1" applyProtection="1">
      <alignment horizontal="center" vertical="center" wrapText="1"/>
      <protection locked="0"/>
    </xf>
    <xf numFmtId="167" fontId="7" fillId="0" borderId="5" xfId="3" applyFont="1" applyFill="1" applyBorder="1" applyAlignment="1" applyProtection="1">
      <alignment horizontal="center" vertical="center" wrapText="1"/>
    </xf>
    <xf numFmtId="0" fontId="0" fillId="0" borderId="5" xfId="0" applyBorder="1" applyAlignment="1">
      <alignment wrapText="1"/>
    </xf>
    <xf numFmtId="167" fontId="11" fillId="0" borderId="3" xfId="3" applyFont="1" applyBorder="1" applyAlignment="1" applyProtection="1">
      <alignment horizontal="center" wrapText="1"/>
      <protection locked="0"/>
    </xf>
    <xf numFmtId="9" fontId="11" fillId="0" borderId="3" xfId="2" applyFont="1" applyBorder="1" applyAlignment="1" applyProtection="1">
      <alignment horizontal="center" wrapText="1"/>
      <protection locked="0"/>
    </xf>
    <xf numFmtId="167" fontId="11" fillId="3" borderId="3" xfId="3" applyFont="1" applyFill="1" applyBorder="1" applyAlignment="1" applyProtection="1">
      <alignment horizontal="center" wrapText="1"/>
      <protection locked="0"/>
    </xf>
    <xf numFmtId="9" fontId="11" fillId="3" borderId="3" xfId="2" applyFont="1" applyFill="1" applyBorder="1" applyAlignment="1" applyProtection="1">
      <alignment horizontal="center" wrapText="1"/>
      <protection locked="0"/>
    </xf>
    <xf numFmtId="0" fontId="26" fillId="0" borderId="3" xfId="0" applyFont="1" applyBorder="1" applyAlignment="1">
      <alignment horizontal="center" vertical="center" wrapText="1"/>
    </xf>
    <xf numFmtId="0" fontId="15" fillId="3" borderId="3"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167" fontId="4" fillId="3" borderId="5" xfId="3"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167" fontId="17" fillId="2" borderId="3" xfId="3" applyFont="1" applyFill="1" applyBorder="1" applyAlignment="1" applyProtection="1">
      <alignment horizontal="center" vertical="center" wrapText="1"/>
    </xf>
    <xf numFmtId="167" fontId="17" fillId="2" borderId="3" xfId="3" applyFont="1" applyFill="1" applyBorder="1" applyAlignment="1" applyProtection="1">
      <alignment horizontal="center" wrapText="1"/>
    </xf>
    <xf numFmtId="0" fontId="8" fillId="0" borderId="3" xfId="0" applyFont="1" applyBorder="1" applyAlignment="1">
      <alignment horizontal="center" wrapText="1"/>
    </xf>
    <xf numFmtId="167" fontId="27" fillId="0" borderId="3" xfId="3" applyFont="1" applyBorder="1" applyAlignment="1" applyProtection="1">
      <alignment horizontal="center" wrapText="1"/>
      <protection locked="0"/>
    </xf>
    <xf numFmtId="0" fontId="26" fillId="0" borderId="3" xfId="0" applyFont="1" applyBorder="1" applyAlignment="1">
      <alignment horizontal="center" wrapText="1"/>
    </xf>
    <xf numFmtId="167" fontId="17" fillId="2" borderId="3" xfId="0" applyNumberFormat="1" applyFont="1" applyFill="1" applyBorder="1" applyAlignment="1">
      <alignment wrapText="1"/>
    </xf>
    <xf numFmtId="10" fontId="17" fillId="2" borderId="3" xfId="2" applyNumberFormat="1" applyFont="1" applyFill="1" applyBorder="1" applyAlignment="1">
      <alignment wrapText="1"/>
    </xf>
    <xf numFmtId="167" fontId="17" fillId="0" borderId="3" xfId="0" applyNumberFormat="1" applyFont="1" applyBorder="1" applyAlignment="1">
      <alignment wrapText="1"/>
    </xf>
    <xf numFmtId="10" fontId="17" fillId="0" borderId="3" xfId="2" applyNumberFormat="1" applyFont="1" applyFill="1" applyBorder="1" applyAlignment="1">
      <alignment wrapText="1"/>
    </xf>
    <xf numFmtId="3" fontId="11" fillId="0" borderId="3" xfId="0" applyNumberFormat="1" applyFont="1" applyBorder="1" applyAlignment="1">
      <alignment wrapText="1"/>
    </xf>
    <xf numFmtId="0" fontId="11" fillId="0" borderId="3" xfId="0" applyFont="1" applyBorder="1" applyAlignment="1">
      <alignment wrapText="1"/>
    </xf>
    <xf numFmtId="3" fontId="17" fillId="8" borderId="3" xfId="0" applyNumberFormat="1" applyFont="1" applyFill="1" applyBorder="1" applyAlignment="1">
      <alignment wrapText="1"/>
    </xf>
    <xf numFmtId="167" fontId="17" fillId="4" borderId="7" xfId="0" applyNumberFormat="1" applyFont="1" applyFill="1" applyBorder="1" applyAlignment="1">
      <alignment wrapText="1"/>
    </xf>
    <xf numFmtId="179" fontId="11" fillId="0" borderId="3" xfId="2" applyNumberFormat="1" applyFont="1" applyBorder="1" applyAlignment="1">
      <alignment wrapText="1"/>
    </xf>
    <xf numFmtId="168" fontId="11" fillId="0" borderId="3" xfId="1" applyFont="1" applyBorder="1" applyAlignment="1">
      <alignment wrapText="1"/>
    </xf>
    <xf numFmtId="10" fontId="11" fillId="0" borderId="3" xfId="2" applyNumberFormat="1" applyFont="1" applyBorder="1" applyAlignment="1">
      <alignment wrapText="1"/>
    </xf>
    <xf numFmtId="10" fontId="11" fillId="4" borderId="3" xfId="2" applyNumberFormat="1" applyFont="1" applyFill="1" applyBorder="1" applyAlignment="1">
      <alignment wrapText="1"/>
    </xf>
    <xf numFmtId="168" fontId="17" fillId="4" borderId="7" xfId="1" applyFont="1" applyFill="1" applyBorder="1" applyAlignment="1">
      <alignment wrapText="1"/>
    </xf>
    <xf numFmtId="10" fontId="17" fillId="4" borderId="7" xfId="2" applyNumberFormat="1" applyFont="1" applyFill="1" applyBorder="1" applyAlignment="1">
      <alignment wrapText="1"/>
    </xf>
    <xf numFmtId="179" fontId="11" fillId="0" borderId="3" xfId="1" applyNumberFormat="1" applyFont="1" applyBorder="1" applyAlignment="1">
      <alignment wrapText="1"/>
    </xf>
    <xf numFmtId="179" fontId="11" fillId="0" borderId="3" xfId="0" applyNumberFormat="1" applyFont="1" applyBorder="1" applyAlignment="1">
      <alignment wrapText="1"/>
    </xf>
    <xf numFmtId="179" fontId="17" fillId="4" borderId="3" xfId="1" applyNumberFormat="1" applyFont="1" applyFill="1" applyBorder="1" applyAlignment="1">
      <alignment wrapText="1"/>
    </xf>
    <xf numFmtId="10" fontId="17" fillId="4" borderId="3" xfId="2" applyNumberFormat="1" applyFont="1" applyFill="1" applyBorder="1" applyAlignment="1">
      <alignment wrapText="1"/>
    </xf>
    <xf numFmtId="168" fontId="17" fillId="4" borderId="3" xfId="1" applyFont="1" applyFill="1" applyBorder="1" applyAlignment="1">
      <alignment wrapText="1"/>
    </xf>
    <xf numFmtId="0" fontId="17" fillId="2" borderId="3" xfId="0" applyFont="1" applyFill="1" applyBorder="1" applyAlignment="1">
      <alignment horizontal="left" wrapText="1"/>
    </xf>
    <xf numFmtId="167" fontId="17" fillId="2" borderId="3" xfId="0" applyNumberFormat="1" applyFont="1" applyFill="1" applyBorder="1" applyAlignment="1">
      <alignment horizontal="center" wrapText="1"/>
    </xf>
    <xf numFmtId="0" fontId="20" fillId="2" borderId="3" xfId="0" applyFont="1" applyFill="1" applyBorder="1" applyAlignment="1">
      <alignment vertical="center" wrapText="1"/>
    </xf>
    <xf numFmtId="167" fontId="11" fillId="0" borderId="3" xfId="0" applyNumberFormat="1" applyFont="1" applyBorder="1" applyAlignment="1" applyProtection="1">
      <alignment wrapText="1"/>
      <protection locked="0"/>
    </xf>
    <xf numFmtId="0" fontId="20" fillId="2" borderId="3" xfId="0" applyFont="1" applyFill="1" applyBorder="1" applyAlignment="1" applyProtection="1">
      <alignment vertical="center" wrapText="1"/>
      <protection locked="0"/>
    </xf>
    <xf numFmtId="167" fontId="17" fillId="4" borderId="3" xfId="3" applyFont="1" applyFill="1" applyBorder="1" applyAlignment="1" applyProtection="1">
      <alignment wrapText="1"/>
    </xf>
    <xf numFmtId="167" fontId="17" fillId="4" borderId="3" xfId="3" applyFont="1" applyFill="1" applyBorder="1" applyAlignment="1">
      <alignment wrapText="1"/>
    </xf>
    <xf numFmtId="168" fontId="11" fillId="0" borderId="3" xfId="1" applyFont="1" applyFill="1" applyBorder="1" applyAlignment="1">
      <alignment wrapText="1"/>
    </xf>
    <xf numFmtId="10" fontId="11" fillId="0" borderId="3" xfId="2" applyNumberFormat="1" applyFont="1" applyFill="1" applyBorder="1" applyAlignment="1">
      <alignment wrapText="1"/>
    </xf>
    <xf numFmtId="168" fontId="11" fillId="0" borderId="7" xfId="1" applyFont="1" applyFill="1" applyBorder="1" applyAlignment="1">
      <alignment wrapText="1"/>
    </xf>
    <xf numFmtId="168" fontId="11" fillId="0" borderId="5" xfId="1" applyFont="1" applyFill="1" applyBorder="1" applyAlignment="1">
      <alignment wrapText="1"/>
    </xf>
    <xf numFmtId="0" fontId="3" fillId="0" borderId="57" xfId="0" applyFont="1" applyBorder="1"/>
    <xf numFmtId="0" fontId="0" fillId="0" borderId="27" xfId="0" applyBorder="1"/>
    <xf numFmtId="0" fontId="0" fillId="0" borderId="28" xfId="0" applyBorder="1" applyAlignment="1">
      <alignment wrapText="1"/>
    </xf>
    <xf numFmtId="0" fontId="0" fillId="0" borderId="30" xfId="0" applyBorder="1" applyAlignment="1">
      <alignment wrapText="1"/>
    </xf>
    <xf numFmtId="0" fontId="4" fillId="0" borderId="0" xfId="0" applyFont="1"/>
    <xf numFmtId="0" fontId="5" fillId="2" borderId="25" xfId="0" applyFont="1" applyFill="1" applyBorder="1" applyAlignment="1">
      <alignment wrapText="1"/>
    </xf>
    <xf numFmtId="0" fontId="5" fillId="2" borderId="11" xfId="0" applyFont="1" applyFill="1" applyBorder="1" applyAlignment="1">
      <alignment horizontal="center" wrapText="1"/>
    </xf>
    <xf numFmtId="167" fontId="5" fillId="2" borderId="2" xfId="0" applyNumberFormat="1" applyFont="1" applyFill="1" applyBorder="1" applyAlignment="1">
      <alignment horizontal="center" wrapText="1"/>
    </xf>
    <xf numFmtId="0" fontId="6" fillId="2" borderId="22" xfId="0" applyFont="1" applyFill="1" applyBorder="1" applyAlignment="1">
      <alignment vertical="center" wrapText="1"/>
    </xf>
    <xf numFmtId="167" fontId="4" fillId="2" borderId="61" xfId="72" applyFont="1" applyFill="1" applyBorder="1" applyAlignment="1" applyProtection="1">
      <alignment wrapText="1"/>
    </xf>
    <xf numFmtId="167" fontId="5" fillId="2" borderId="55" xfId="72" applyFont="1" applyFill="1" applyBorder="1" applyAlignment="1">
      <alignment wrapText="1"/>
    </xf>
    <xf numFmtId="167" fontId="5" fillId="2" borderId="47" xfId="72" applyFont="1" applyFill="1" applyBorder="1" applyAlignment="1">
      <alignment wrapText="1"/>
    </xf>
    <xf numFmtId="167" fontId="4" fillId="2" borderId="20" xfId="72" applyFont="1" applyFill="1" applyBorder="1" applyAlignment="1" applyProtection="1">
      <alignment wrapText="1"/>
    </xf>
    <xf numFmtId="167" fontId="5" fillId="2" borderId="0" xfId="72" applyFont="1" applyFill="1" applyBorder="1" applyAlignment="1">
      <alignment wrapText="1"/>
    </xf>
    <xf numFmtId="167" fontId="5" fillId="2" borderId="22" xfId="72" applyFont="1" applyFill="1" applyBorder="1" applyAlignment="1" applyProtection="1">
      <alignment wrapText="1"/>
    </xf>
    <xf numFmtId="167" fontId="5" fillId="2" borderId="36" xfId="72" applyFont="1" applyFill="1" applyBorder="1" applyAlignment="1">
      <alignment wrapText="1"/>
    </xf>
    <xf numFmtId="0" fontId="5" fillId="2" borderId="21" xfId="0" applyFont="1" applyFill="1" applyBorder="1" applyAlignment="1">
      <alignment horizontal="center" vertical="center" wrapText="1"/>
    </xf>
    <xf numFmtId="167" fontId="4" fillId="2" borderId="3" xfId="72" applyFont="1" applyFill="1" applyBorder="1" applyAlignment="1">
      <alignment vertical="center" wrapText="1"/>
    </xf>
    <xf numFmtId="167" fontId="5" fillId="2" borderId="3" xfId="72" applyFont="1" applyFill="1" applyBorder="1" applyAlignment="1">
      <alignment vertical="center" wrapText="1"/>
    </xf>
    <xf numFmtId="0" fontId="0" fillId="2" borderId="23" xfId="0" applyFill="1" applyBorder="1"/>
    <xf numFmtId="167" fontId="4" fillId="3" borderId="3" xfId="72" applyFont="1" applyFill="1" applyBorder="1" applyAlignment="1" applyProtection="1">
      <alignment horizontal="left" vertical="center" wrapText="1"/>
      <protection locked="0"/>
    </xf>
    <xf numFmtId="167" fontId="7" fillId="2" borderId="3" xfId="3" applyFont="1" applyFill="1" applyBorder="1" applyAlignment="1" applyProtection="1">
      <alignment horizontal="center" vertical="center" wrapText="1"/>
    </xf>
    <xf numFmtId="167" fontId="22" fillId="2" borderId="3" xfId="3" applyFont="1" applyFill="1" applyBorder="1" applyAlignment="1" applyProtection="1">
      <alignment horizontal="center" vertical="center" wrapText="1"/>
    </xf>
    <xf numFmtId="167" fontId="22" fillId="2" borderId="5" xfId="3" applyFont="1" applyFill="1" applyBorder="1" applyAlignment="1" applyProtection="1">
      <alignment horizontal="center" vertical="center" wrapText="1"/>
    </xf>
    <xf numFmtId="167" fontId="7" fillId="3" borderId="5" xfId="3" applyFont="1" applyFill="1" applyBorder="1" applyAlignment="1" applyProtection="1">
      <alignment horizontal="center" vertical="center" wrapText="1"/>
      <protection locked="0"/>
    </xf>
    <xf numFmtId="167" fontId="22" fillId="6" borderId="3" xfId="3" applyFont="1" applyFill="1" applyBorder="1" applyAlignment="1" applyProtection="1">
      <alignment horizontal="center" vertical="center" wrapText="1"/>
    </xf>
    <xf numFmtId="167" fontId="7" fillId="2" borderId="3" xfId="3" applyFont="1" applyFill="1" applyBorder="1" applyAlignment="1" applyProtection="1">
      <alignment horizontal="center" wrapText="1"/>
    </xf>
    <xf numFmtId="167" fontId="22" fillId="2" borderId="3" xfId="3" applyFont="1" applyFill="1" applyBorder="1" applyAlignment="1" applyProtection="1">
      <alignment horizontal="center" wrapText="1"/>
    </xf>
    <xf numFmtId="167" fontId="7" fillId="3" borderId="3" xfId="3" applyFont="1" applyFill="1" applyBorder="1" applyAlignment="1" applyProtection="1">
      <alignment vertical="center" wrapText="1"/>
      <protection locked="0"/>
    </xf>
    <xf numFmtId="167" fontId="7" fillId="3" borderId="0" xfId="3" applyFont="1" applyFill="1" applyBorder="1" applyAlignment="1" applyProtection="1">
      <alignment vertical="center" wrapText="1"/>
      <protection locked="0"/>
    </xf>
    <xf numFmtId="167" fontId="22" fillId="3" borderId="0" xfId="0" applyNumberFormat="1" applyFont="1" applyFill="1" applyAlignment="1">
      <alignment vertical="center" wrapText="1"/>
    </xf>
    <xf numFmtId="167" fontId="22" fillId="2" borderId="4" xfId="3" applyFont="1" applyFill="1" applyBorder="1" applyAlignment="1" applyProtection="1">
      <alignment vertical="center" wrapText="1"/>
    </xf>
    <xf numFmtId="167" fontId="22" fillId="2" borderId="8" xfId="3" applyFont="1" applyFill="1" applyBorder="1" applyAlignment="1" applyProtection="1">
      <alignment vertical="center" wrapText="1"/>
    </xf>
    <xf numFmtId="167" fontId="22" fillId="2" borderId="31" xfId="3" applyFont="1" applyFill="1" applyBorder="1" applyAlignment="1" applyProtection="1">
      <alignment vertical="center" wrapText="1"/>
    </xf>
    <xf numFmtId="167" fontId="22" fillId="0" borderId="0" xfId="0" applyNumberFormat="1" applyFont="1" applyAlignment="1">
      <alignment vertical="center" wrapText="1"/>
    </xf>
    <xf numFmtId="167" fontId="7" fillId="3" borderId="3" xfId="3" applyFont="1" applyFill="1" applyBorder="1" applyAlignment="1" applyProtection="1">
      <alignment horizontal="center" vertical="center" wrapText="1"/>
      <protection locked="0"/>
    </xf>
    <xf numFmtId="167" fontId="7" fillId="0" borderId="3" xfId="3" applyFont="1" applyBorder="1" applyAlignment="1" applyProtection="1">
      <alignment horizontal="center" wrapText="1"/>
      <protection locked="0"/>
    </xf>
    <xf numFmtId="167" fontId="7" fillId="3" borderId="3" xfId="3" applyFont="1" applyFill="1" applyBorder="1" applyAlignment="1" applyProtection="1">
      <alignment horizontal="center" wrapText="1"/>
      <protection locked="0"/>
    </xf>
    <xf numFmtId="167" fontId="22" fillId="2" borderId="3" xfId="3" applyFont="1" applyFill="1" applyBorder="1" applyAlignment="1" applyProtection="1">
      <alignment vertical="center" wrapText="1"/>
    </xf>
    <xf numFmtId="167" fontId="22" fillId="2" borderId="5" xfId="3" applyFont="1" applyFill="1" applyBorder="1" applyAlignment="1" applyProtection="1">
      <alignment vertical="center" wrapText="1"/>
    </xf>
    <xf numFmtId="167" fontId="22" fillId="2" borderId="23" xfId="3" applyFont="1" applyFill="1" applyBorder="1" applyAlignment="1" applyProtection="1">
      <alignment vertical="center" wrapText="1"/>
    </xf>
    <xf numFmtId="167" fontId="22" fillId="2" borderId="19" xfId="0" applyNumberFormat="1" applyFont="1" applyFill="1" applyBorder="1" applyAlignment="1">
      <alignment vertical="center" wrapText="1"/>
    </xf>
    <xf numFmtId="10" fontId="22" fillId="2" borderId="21" xfId="2" applyNumberFormat="1" applyFont="1" applyFill="1" applyBorder="1" applyAlignment="1" applyProtection="1">
      <alignment wrapText="1"/>
    </xf>
    <xf numFmtId="167" fontId="22" fillId="2" borderId="21" xfId="2" applyNumberFormat="1" applyFont="1" applyFill="1" applyBorder="1" applyAlignment="1" applyProtection="1">
      <alignment wrapText="1"/>
    </xf>
    <xf numFmtId="167" fontId="4" fillId="0" borderId="3" xfId="72" applyFont="1" applyBorder="1" applyAlignment="1" applyProtection="1">
      <alignment horizontal="left" vertical="center" wrapText="1"/>
      <protection locked="0"/>
    </xf>
    <xf numFmtId="49" fontId="7" fillId="0" borderId="3" xfId="3" applyNumberFormat="1" applyFont="1" applyBorder="1" applyAlignment="1" applyProtection="1">
      <alignment horizontal="left" vertical="center" wrapText="1"/>
      <protection locked="0"/>
    </xf>
    <xf numFmtId="49" fontId="7" fillId="0" borderId="3" xfId="3" applyNumberFormat="1" applyFont="1" applyBorder="1" applyAlignment="1" applyProtection="1">
      <alignment horizontal="left" wrapText="1"/>
      <protection locked="0"/>
    </xf>
    <xf numFmtId="49" fontId="7" fillId="3" borderId="3" xfId="3" applyNumberFormat="1" applyFont="1" applyFill="1" applyBorder="1" applyAlignment="1" applyProtection="1">
      <alignment horizontal="left" wrapText="1"/>
      <protection locked="0"/>
    </xf>
    <xf numFmtId="49" fontId="7" fillId="0" borderId="4" xfId="3" applyNumberFormat="1" applyFont="1" applyBorder="1" applyAlignment="1" applyProtection="1">
      <alignment horizontal="left" vertical="center" wrapText="1"/>
      <protection locked="0"/>
    </xf>
    <xf numFmtId="49" fontId="7" fillId="0" borderId="4" xfId="3" applyNumberFormat="1" applyFont="1" applyBorder="1" applyAlignment="1" applyProtection="1">
      <alignment horizontal="left" wrapText="1"/>
      <protection locked="0"/>
    </xf>
    <xf numFmtId="49" fontId="7" fillId="3" borderId="4" xfId="3" applyNumberFormat="1" applyFont="1" applyFill="1" applyBorder="1" applyAlignment="1" applyProtection="1">
      <alignment horizontal="left" wrapText="1"/>
      <protection locked="0"/>
    </xf>
    <xf numFmtId="49" fontId="7" fillId="0" borderId="3" xfId="3" applyNumberFormat="1" applyFont="1" applyBorder="1" applyAlignment="1" applyProtection="1">
      <alignment horizontal="center" vertical="center" wrapText="1"/>
      <protection locked="0"/>
    </xf>
    <xf numFmtId="49" fontId="7" fillId="3" borderId="3" xfId="3" applyNumberFormat="1" applyFont="1" applyFill="1" applyBorder="1" applyAlignment="1" applyProtection="1">
      <alignment horizontal="center" vertical="center" wrapText="1"/>
      <protection locked="0"/>
    </xf>
    <xf numFmtId="49" fontId="7" fillId="6" borderId="3" xfId="3" applyNumberFormat="1" applyFont="1" applyFill="1" applyBorder="1" applyAlignment="1" applyProtection="1">
      <alignment horizontal="left" wrapText="1"/>
      <protection locked="0"/>
    </xf>
    <xf numFmtId="0" fontId="7" fillId="3" borderId="5" xfId="0" applyFont="1" applyFill="1" applyBorder="1" applyAlignment="1" applyProtection="1">
      <alignment vertical="center" wrapText="1"/>
      <protection locked="0"/>
    </xf>
    <xf numFmtId="49" fontId="7" fillId="0" borderId="3" xfId="3" applyNumberFormat="1" applyFont="1" applyBorder="1" applyAlignment="1" applyProtection="1">
      <alignment horizontal="center" wrapText="1"/>
      <protection locked="0"/>
    </xf>
    <xf numFmtId="49" fontId="7" fillId="3" borderId="3" xfId="3" applyNumberFormat="1" applyFont="1" applyFill="1" applyBorder="1" applyAlignment="1" applyProtection="1">
      <alignment horizontal="center" wrapText="1"/>
      <protection locked="0"/>
    </xf>
    <xf numFmtId="49" fontId="7" fillId="6" borderId="3" xfId="3" applyNumberFormat="1" applyFont="1" applyFill="1" applyBorder="1" applyAlignment="1" applyProtection="1">
      <alignment horizontal="center" wrapText="1"/>
      <protection locked="0"/>
    </xf>
    <xf numFmtId="0" fontId="7" fillId="3" borderId="3" xfId="0" applyFont="1" applyFill="1" applyBorder="1" applyAlignment="1" applyProtection="1">
      <alignment vertical="center" wrapText="1"/>
      <protection locked="0"/>
    </xf>
    <xf numFmtId="49" fontId="7" fillId="0" borderId="3" xfId="0" applyNumberFormat="1" applyFont="1" applyBorder="1" applyAlignment="1" applyProtection="1">
      <alignment horizontal="left" wrapText="1"/>
      <protection locked="0"/>
    </xf>
    <xf numFmtId="0" fontId="22" fillId="0" borderId="0" xfId="0" applyFont="1" applyAlignment="1" applyProtection="1">
      <alignment vertical="center" wrapText="1"/>
      <protection locked="0"/>
    </xf>
    <xf numFmtId="0" fontId="0" fillId="0" borderId="2" xfId="0" applyBorder="1" applyAlignment="1">
      <alignment vertical="center" wrapText="1"/>
    </xf>
    <xf numFmtId="0" fontId="4" fillId="0" borderId="2" xfId="0" applyFont="1" applyBorder="1" applyAlignment="1" applyProtection="1">
      <alignment horizontal="left" vertical="top" wrapText="1"/>
      <protection locked="0"/>
    </xf>
    <xf numFmtId="0" fontId="4" fillId="3" borderId="2" xfId="0" applyFont="1" applyFill="1" applyBorder="1" applyAlignment="1" applyProtection="1">
      <alignment horizontal="left" vertical="top" wrapText="1"/>
      <protection locked="0"/>
    </xf>
    <xf numFmtId="0" fontId="5" fillId="2" borderId="2" xfId="0" applyFont="1" applyFill="1" applyBorder="1" applyAlignment="1">
      <alignment vertical="center" wrapText="1"/>
    </xf>
    <xf numFmtId="0" fontId="4" fillId="3" borderId="16" xfId="0" applyFont="1" applyFill="1" applyBorder="1" applyAlignment="1" applyProtection="1">
      <alignment horizontal="left" vertical="top" wrapText="1"/>
      <protection locked="0"/>
    </xf>
    <xf numFmtId="0" fontId="8" fillId="0" borderId="2" xfId="0"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2" xfId="0" applyFont="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7" fillId="6" borderId="2" xfId="0" applyFont="1" applyFill="1" applyBorder="1" applyAlignment="1">
      <alignment horizontal="center" vertical="center" wrapText="1"/>
    </xf>
    <xf numFmtId="0" fontId="11" fillId="0" borderId="2" xfId="0" applyFont="1" applyBorder="1" applyAlignment="1" applyProtection="1">
      <alignment horizontal="left" vertical="top" wrapText="1"/>
      <protection locked="0"/>
    </xf>
    <xf numFmtId="0" fontId="11" fillId="0" borderId="2" xfId="0" applyFont="1" applyBorder="1" applyAlignment="1" applyProtection="1">
      <alignment horizontal="center" wrapText="1"/>
      <protection locked="0"/>
    </xf>
    <xf numFmtId="0" fontId="11" fillId="3" borderId="2" xfId="0" applyFont="1" applyFill="1" applyBorder="1" applyAlignment="1" applyProtection="1">
      <alignment horizontal="center" wrapText="1"/>
      <protection locked="0"/>
    </xf>
    <xf numFmtId="0" fontId="17" fillId="2" borderId="2" xfId="0" applyFont="1" applyFill="1" applyBorder="1" applyAlignment="1">
      <alignment horizontal="center" wrapText="1"/>
    </xf>
    <xf numFmtId="0" fontId="11" fillId="3" borderId="2" xfId="0" applyFont="1" applyFill="1" applyBorder="1" applyAlignment="1" applyProtection="1">
      <alignment horizontal="left" vertical="top" wrapText="1"/>
      <protection locked="0"/>
    </xf>
    <xf numFmtId="0" fontId="17" fillId="2" borderId="2" xfId="0" applyFont="1" applyFill="1" applyBorder="1" applyAlignment="1">
      <alignment vertical="center" wrapText="1"/>
    </xf>
    <xf numFmtId="0" fontId="4" fillId="3" borderId="2" xfId="0" applyFont="1" applyFill="1" applyBorder="1" applyAlignment="1" applyProtection="1">
      <alignment vertical="center" wrapText="1"/>
      <protection locked="0"/>
    </xf>
    <xf numFmtId="49" fontId="4" fillId="0" borderId="2" xfId="0" applyNumberFormat="1" applyFont="1" applyBorder="1" applyAlignment="1" applyProtection="1">
      <alignment horizontal="left" vertical="center" wrapText="1"/>
      <protection locked="0"/>
    </xf>
    <xf numFmtId="168" fontId="4" fillId="3" borderId="2" xfId="1" applyFont="1" applyFill="1" applyBorder="1" applyAlignment="1" applyProtection="1">
      <alignment vertical="center" wrapText="1"/>
      <protection locked="0"/>
    </xf>
    <xf numFmtId="0" fontId="4" fillId="2" borderId="2" xfId="0" applyFont="1" applyFill="1" applyBorder="1" applyAlignment="1">
      <alignment vertical="center" wrapText="1"/>
    </xf>
    <xf numFmtId="0" fontId="5" fillId="2" borderId="37" xfId="0" applyFont="1" applyFill="1" applyBorder="1" applyAlignment="1">
      <alignment vertical="center" wrapText="1"/>
    </xf>
    <xf numFmtId="0" fontId="5" fillId="2" borderId="2" xfId="0" applyFont="1" applyFill="1" applyBorder="1" applyAlignment="1">
      <alignment horizontal="center" vertical="center" wrapText="1"/>
    </xf>
    <xf numFmtId="0" fontId="5" fillId="2" borderId="16" xfId="0" applyFont="1" applyFill="1" applyBorder="1" applyAlignment="1">
      <alignment vertical="center" wrapText="1"/>
    </xf>
    <xf numFmtId="0" fontId="3" fillId="2" borderId="5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10" fillId="0" borderId="0" xfId="0" applyFont="1" applyAlignment="1">
      <alignment horizontal="left" wrapText="1"/>
    </xf>
    <xf numFmtId="0" fontId="5" fillId="2" borderId="64" xfId="0" applyFont="1" applyFill="1" applyBorder="1" applyAlignment="1">
      <alignment vertical="center" wrapText="1"/>
    </xf>
    <xf numFmtId="0" fontId="4" fillId="2" borderId="64" xfId="0" applyFont="1" applyFill="1" applyBorder="1" applyAlignment="1">
      <alignment vertical="center" wrapText="1"/>
    </xf>
    <xf numFmtId="0" fontId="4" fillId="3" borderId="28" xfId="0" applyFont="1" applyFill="1" applyBorder="1" applyAlignment="1" applyProtection="1">
      <alignment vertical="center" wrapText="1"/>
      <protection locked="0"/>
    </xf>
    <xf numFmtId="0" fontId="5" fillId="3" borderId="28" xfId="0" applyFont="1" applyFill="1" applyBorder="1" applyAlignment="1">
      <alignment vertical="center" wrapText="1"/>
    </xf>
    <xf numFmtId="0" fontId="0" fillId="0" borderId="64" xfId="0" applyBorder="1" applyAlignment="1">
      <alignment wrapText="1"/>
    </xf>
    <xf numFmtId="0" fontId="5" fillId="3" borderId="64" xfId="0" applyFont="1" applyFill="1" applyBorder="1" applyAlignment="1">
      <alignment vertical="center" wrapText="1"/>
    </xf>
    <xf numFmtId="0" fontId="5" fillId="2" borderId="65" xfId="0" applyFont="1" applyFill="1" applyBorder="1" applyAlignment="1">
      <alignment vertical="center" wrapText="1"/>
    </xf>
    <xf numFmtId="0" fontId="5" fillId="4" borderId="64" xfId="0" applyFont="1" applyFill="1" applyBorder="1" applyAlignment="1" applyProtection="1">
      <alignment vertical="center" wrapText="1"/>
      <protection locked="0"/>
    </xf>
    <xf numFmtId="0" fontId="4" fillId="3" borderId="28" xfId="0" applyFont="1" applyFill="1" applyBorder="1" applyAlignment="1">
      <alignment vertical="center" wrapText="1"/>
    </xf>
    <xf numFmtId="0" fontId="4" fillId="0" borderId="28" xfId="0" applyFont="1" applyBorder="1" applyAlignment="1" applyProtection="1">
      <alignment vertical="center" wrapText="1"/>
      <protection locked="0"/>
    </xf>
    <xf numFmtId="0" fontId="4" fillId="0" borderId="28" xfId="0" applyFont="1" applyBorder="1" applyAlignment="1">
      <alignment vertical="center" wrapText="1"/>
    </xf>
    <xf numFmtId="0" fontId="5" fillId="0" borderId="28" xfId="0" applyFont="1" applyBorder="1" applyAlignment="1">
      <alignment vertical="center" wrapText="1"/>
    </xf>
    <xf numFmtId="0" fontId="5" fillId="0" borderId="30" xfId="0" applyFont="1" applyBorder="1" applyAlignment="1">
      <alignment vertical="center" wrapText="1"/>
    </xf>
    <xf numFmtId="167" fontId="0" fillId="2" borderId="49" xfId="3" applyFont="1" applyFill="1" applyBorder="1" applyAlignment="1">
      <alignment vertical="center" wrapText="1"/>
    </xf>
    <xf numFmtId="9" fontId="3" fillId="2" borderId="66" xfId="2" applyFont="1" applyFill="1" applyBorder="1" applyAlignment="1">
      <alignment wrapText="1"/>
    </xf>
    <xf numFmtId="167" fontId="22" fillId="0" borderId="53" xfId="0" applyNumberFormat="1" applyFont="1" applyBorder="1" applyAlignment="1">
      <alignment vertical="center" wrapText="1"/>
    </xf>
    <xf numFmtId="167" fontId="5" fillId="0" borderId="54" xfId="0" applyNumberFormat="1" applyFont="1" applyBorder="1" applyAlignment="1">
      <alignment vertical="center" wrapText="1"/>
    </xf>
    <xf numFmtId="167" fontId="22" fillId="3" borderId="45" xfId="0" applyNumberFormat="1" applyFont="1" applyFill="1" applyBorder="1" applyAlignment="1">
      <alignment vertical="center" wrapText="1"/>
    </xf>
    <xf numFmtId="167" fontId="5" fillId="2" borderId="63" xfId="0" applyNumberFormat="1" applyFont="1" applyFill="1" applyBorder="1" applyAlignment="1">
      <alignment vertical="center" wrapText="1"/>
    </xf>
    <xf numFmtId="9" fontId="22" fillId="3" borderId="45" xfId="2" applyFont="1" applyFill="1" applyBorder="1" applyAlignment="1">
      <alignment wrapText="1"/>
    </xf>
    <xf numFmtId="0" fontId="3" fillId="2" borderId="67" xfId="0" applyFont="1" applyFill="1" applyBorder="1" applyAlignment="1">
      <alignment wrapText="1"/>
    </xf>
    <xf numFmtId="0" fontId="28" fillId="3" borderId="45" xfId="0" applyFont="1" applyFill="1" applyBorder="1" applyAlignment="1">
      <alignment horizontal="center" vertical="center" wrapText="1"/>
    </xf>
    <xf numFmtId="0" fontId="0" fillId="0" borderId="44" xfId="0" applyBorder="1" applyAlignment="1">
      <alignment wrapText="1"/>
    </xf>
    <xf numFmtId="167" fontId="22" fillId="3" borderId="45" xfId="2" applyNumberFormat="1" applyFont="1" applyFill="1" applyBorder="1" applyAlignment="1">
      <alignment wrapText="1"/>
    </xf>
    <xf numFmtId="0" fontId="2" fillId="3" borderId="50" xfId="0" applyFont="1" applyFill="1" applyBorder="1" applyAlignment="1">
      <alignment horizontal="center" vertical="center" wrapText="1"/>
    </xf>
    <xf numFmtId="0" fontId="0" fillId="0" borderId="56" xfId="0" applyBorder="1" applyAlignment="1">
      <alignment wrapText="1"/>
    </xf>
    <xf numFmtId="167" fontId="0" fillId="0" borderId="27" xfId="3" applyFont="1" applyBorder="1" applyAlignment="1">
      <alignment wrapText="1"/>
    </xf>
    <xf numFmtId="167" fontId="0" fillId="0" borderId="28" xfId="3" applyFont="1" applyBorder="1" applyAlignment="1">
      <alignment wrapText="1"/>
    </xf>
    <xf numFmtId="167" fontId="0" fillId="0" borderId="30" xfId="3" applyFont="1" applyFill="1" applyBorder="1" applyAlignment="1">
      <alignment wrapText="1"/>
    </xf>
    <xf numFmtId="0" fontId="3" fillId="0" borderId="0" xfId="0" applyFont="1"/>
    <xf numFmtId="0" fontId="3" fillId="0" borderId="3" xfId="0" applyFont="1" applyBorder="1"/>
    <xf numFmtId="0" fontId="0" fillId="0" borderId="3" xfId="0" applyBorder="1"/>
    <xf numFmtId="2" fontId="0" fillId="0" borderId="0" xfId="0" applyNumberFormat="1"/>
    <xf numFmtId="0" fontId="3" fillId="0" borderId="0" xfId="0" applyFont="1" applyAlignment="1">
      <alignment wrapText="1"/>
    </xf>
    <xf numFmtId="168" fontId="0" fillId="0" borderId="0" xfId="1" applyFont="1"/>
    <xf numFmtId="167" fontId="17" fillId="2" borderId="5" xfId="3" applyFont="1" applyFill="1" applyBorder="1" applyAlignment="1" applyProtection="1">
      <alignment horizontal="center" vertical="center" wrapText="1"/>
    </xf>
    <xf numFmtId="0" fontId="4" fillId="0" borderId="2" xfId="0" applyFont="1" applyBorder="1" applyAlignment="1" applyProtection="1">
      <alignment horizontal="left" vertical="center" wrapText="1"/>
      <protection locked="0"/>
    </xf>
    <xf numFmtId="0" fontId="4" fillId="3" borderId="3" xfId="0" applyFont="1" applyFill="1" applyBorder="1" applyAlignment="1" applyProtection="1">
      <alignment horizontal="left" vertical="top" wrapText="1"/>
      <protection locked="0"/>
    </xf>
    <xf numFmtId="168" fontId="3" fillId="0" borderId="0" xfId="1" applyFont="1"/>
    <xf numFmtId="168" fontId="3" fillId="0" borderId="0" xfId="0" applyNumberFormat="1" applyFont="1"/>
    <xf numFmtId="168" fontId="3" fillId="10" borderId="0" xfId="1" applyFont="1" applyFill="1"/>
    <xf numFmtId="0" fontId="0" fillId="0" borderId="4" xfId="0" applyBorder="1" applyAlignment="1">
      <alignment wrapText="1"/>
    </xf>
    <xf numFmtId="181" fontId="0" fillId="0" borderId="3" xfId="1" applyNumberFormat="1" applyFont="1" applyBorder="1"/>
    <xf numFmtId="181" fontId="3" fillId="11" borderId="3" xfId="1" applyNumberFormat="1" applyFont="1" applyFill="1" applyBorder="1" applyAlignment="1">
      <alignment horizontal="center"/>
    </xf>
    <xf numFmtId="168" fontId="3" fillId="13" borderId="3" xfId="1" applyFont="1" applyFill="1" applyBorder="1" applyAlignment="1">
      <alignment horizontal="center"/>
    </xf>
    <xf numFmtId="181" fontId="3" fillId="11" borderId="3" xfId="1" applyNumberFormat="1" applyFont="1" applyFill="1" applyBorder="1"/>
    <xf numFmtId="168" fontId="3" fillId="13" borderId="3" xfId="1" applyFont="1" applyFill="1" applyBorder="1"/>
    <xf numFmtId="181" fontId="3" fillId="10" borderId="0" xfId="1" applyNumberFormat="1" applyFont="1" applyFill="1"/>
    <xf numFmtId="0" fontId="3" fillId="0" borderId="3" xfId="0" applyFont="1" applyBorder="1" applyAlignment="1">
      <alignment wrapText="1"/>
    </xf>
    <xf numFmtId="0" fontId="3" fillId="13" borderId="3" xfId="0" applyFont="1" applyFill="1" applyBorder="1" applyAlignment="1">
      <alignment wrapText="1"/>
    </xf>
    <xf numFmtId="0" fontId="3" fillId="13" borderId="3" xfId="0" applyFont="1" applyFill="1" applyBorder="1"/>
    <xf numFmtId="168" fontId="17" fillId="2" borderId="3" xfId="1" applyFont="1" applyFill="1" applyBorder="1" applyAlignment="1">
      <alignment vertical="center" wrapText="1"/>
    </xf>
    <xf numFmtId="167" fontId="4" fillId="7" borderId="46" xfId="0" applyNumberFormat="1" applyFont="1" applyFill="1" applyBorder="1" applyAlignment="1">
      <alignment vertical="center" wrapText="1"/>
    </xf>
    <xf numFmtId="178" fontId="5" fillId="2" borderId="57" xfId="3" applyNumberFormat="1" applyFont="1" applyFill="1" applyBorder="1" applyAlignment="1" applyProtection="1">
      <alignment vertical="center" wrapText="1"/>
    </xf>
    <xf numFmtId="0" fontId="9" fillId="0" borderId="3" xfId="0" applyFont="1" applyBorder="1" applyAlignment="1">
      <alignment vertical="center" wrapText="1"/>
    </xf>
    <xf numFmtId="0" fontId="5" fillId="2" borderId="70" xfId="0" applyFont="1" applyFill="1" applyBorder="1" applyAlignment="1">
      <alignment vertical="center" wrapText="1"/>
    </xf>
    <xf numFmtId="0" fontId="4" fillId="2" borderId="70" xfId="0" applyFont="1" applyFill="1" applyBorder="1" applyAlignment="1">
      <alignment vertical="center" wrapText="1"/>
    </xf>
    <xf numFmtId="0" fontId="0" fillId="0" borderId="45" xfId="0" applyBorder="1" applyAlignment="1">
      <alignment wrapText="1"/>
    </xf>
    <xf numFmtId="0" fontId="5" fillId="3" borderId="45" xfId="0" applyFont="1" applyFill="1" applyBorder="1" applyAlignment="1">
      <alignment vertical="center" wrapText="1"/>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left" vertical="top" wrapText="1"/>
      <protection locked="0"/>
    </xf>
    <xf numFmtId="0" fontId="9" fillId="3" borderId="3" xfId="0" applyFont="1" applyFill="1" applyBorder="1" applyAlignment="1">
      <alignment vertical="center" wrapText="1"/>
    </xf>
    <xf numFmtId="0" fontId="5" fillId="2" borderId="3" xfId="0" applyFont="1" applyFill="1" applyBorder="1" applyAlignment="1">
      <alignment vertical="center" wrapText="1"/>
    </xf>
    <xf numFmtId="0" fontId="4" fillId="3" borderId="3" xfId="0" applyFont="1" applyFill="1" applyBorder="1" applyAlignment="1" applyProtection="1">
      <alignment vertical="center" wrapText="1"/>
      <protection locked="0"/>
    </xf>
    <xf numFmtId="0" fontId="22" fillId="3" borderId="3" xfId="0" applyFont="1" applyFill="1" applyBorder="1" applyAlignment="1" applyProtection="1">
      <alignment vertical="center" wrapText="1"/>
      <protection locked="0"/>
    </xf>
    <xf numFmtId="0" fontId="2" fillId="0" borderId="3" xfId="0" applyFont="1" applyBorder="1" applyAlignment="1">
      <alignment wrapText="1"/>
    </xf>
    <xf numFmtId="0" fontId="5" fillId="4" borderId="16" xfId="0" applyFont="1" applyFill="1" applyBorder="1" applyAlignment="1" applyProtection="1">
      <alignment vertical="center" wrapText="1"/>
      <protection locked="0"/>
    </xf>
    <xf numFmtId="167" fontId="22" fillId="4" borderId="5" xfId="3" applyFont="1" applyFill="1" applyBorder="1" applyAlignment="1" applyProtection="1">
      <alignment vertical="center" wrapText="1"/>
    </xf>
    <xf numFmtId="167" fontId="5" fillId="4" borderId="5" xfId="3" applyFont="1" applyFill="1" applyBorder="1" applyAlignment="1" applyProtection="1">
      <alignment vertical="center" wrapText="1"/>
    </xf>
    <xf numFmtId="167" fontId="5" fillId="6" borderId="5" xfId="3" applyFont="1" applyFill="1" applyBorder="1" applyAlignment="1" applyProtection="1">
      <alignment horizontal="center" vertical="center" wrapText="1"/>
    </xf>
    <xf numFmtId="0" fontId="7" fillId="6" borderId="5" xfId="0" applyFont="1" applyFill="1" applyBorder="1" applyAlignment="1" applyProtection="1">
      <alignment vertical="center" wrapText="1"/>
      <protection locked="0"/>
    </xf>
    <xf numFmtId="168" fontId="17" fillId="6" borderId="5" xfId="1" applyFont="1" applyFill="1" applyBorder="1" applyAlignment="1" applyProtection="1">
      <alignment vertical="center" wrapText="1"/>
      <protection locked="0"/>
    </xf>
    <xf numFmtId="0" fontId="5" fillId="4" borderId="12" xfId="0" applyFont="1" applyFill="1" applyBorder="1" applyAlignment="1">
      <alignment vertical="center" wrapText="1"/>
    </xf>
    <xf numFmtId="0" fontId="22" fillId="4" borderId="12" xfId="0" applyFont="1" applyFill="1" applyBorder="1" applyAlignment="1">
      <alignment vertical="center" wrapText="1"/>
    </xf>
    <xf numFmtId="0" fontId="5" fillId="3" borderId="7" xfId="0" applyFont="1" applyFill="1" applyBorder="1" applyAlignment="1" applyProtection="1">
      <alignment vertical="center" wrapText="1"/>
      <protection locked="0"/>
    </xf>
    <xf numFmtId="167" fontId="5" fillId="3" borderId="7" xfId="3" applyFont="1" applyFill="1" applyBorder="1" applyAlignment="1" applyProtection="1">
      <alignment vertical="center" wrapText="1"/>
      <protection locked="0"/>
    </xf>
    <xf numFmtId="0" fontId="22" fillId="3" borderId="7" xfId="0" applyFont="1" applyFill="1" applyBorder="1" applyAlignment="1" applyProtection="1">
      <alignment vertical="center" wrapText="1"/>
      <protection locked="0"/>
    </xf>
    <xf numFmtId="0" fontId="2" fillId="0" borderId="7" xfId="0" applyFont="1" applyBorder="1" applyAlignment="1">
      <alignment wrapText="1"/>
    </xf>
    <xf numFmtId="0" fontId="0" fillId="0" borderId="7" xfId="0" applyBorder="1" applyAlignment="1">
      <alignment wrapText="1"/>
    </xf>
    <xf numFmtId="0" fontId="9" fillId="0" borderId="7" xfId="0" applyFont="1" applyBorder="1" applyAlignment="1">
      <alignment vertical="center" wrapText="1"/>
    </xf>
    <xf numFmtId="0" fontId="4" fillId="3" borderId="53" xfId="0" applyFont="1" applyFill="1" applyBorder="1" applyAlignment="1" applyProtection="1">
      <alignment vertical="center" wrapText="1"/>
      <protection locked="0"/>
    </xf>
    <xf numFmtId="167" fontId="7" fillId="3" borderId="39" xfId="3" applyFont="1" applyFill="1" applyBorder="1" applyAlignment="1" applyProtection="1">
      <alignment vertical="center" wrapText="1"/>
      <protection locked="0"/>
    </xf>
    <xf numFmtId="167" fontId="4" fillId="3" borderId="39" xfId="3" applyFont="1" applyFill="1" applyBorder="1" applyAlignment="1" applyProtection="1">
      <alignment vertical="center" wrapText="1"/>
      <protection locked="0"/>
    </xf>
    <xf numFmtId="0" fontId="7" fillId="3" borderId="39" xfId="0" applyFont="1" applyFill="1" applyBorder="1" applyAlignment="1" applyProtection="1">
      <alignment vertical="center" wrapText="1"/>
      <protection locked="0"/>
    </xf>
    <xf numFmtId="0" fontId="22" fillId="3" borderId="39" xfId="0" applyFont="1" applyFill="1" applyBorder="1" applyAlignment="1" applyProtection="1">
      <alignment vertical="center" wrapText="1"/>
      <protection locked="0"/>
    </xf>
    <xf numFmtId="0" fontId="0" fillId="0" borderId="39" xfId="0" applyBorder="1" applyAlignment="1">
      <alignment wrapText="1"/>
    </xf>
    <xf numFmtId="0" fontId="9" fillId="0" borderId="39" xfId="0" applyFont="1" applyBorder="1" applyAlignment="1">
      <alignment vertical="center" wrapText="1"/>
    </xf>
    <xf numFmtId="0" fontId="4" fillId="3" borderId="45" xfId="0" applyFont="1" applyFill="1" applyBorder="1" applyAlignment="1" applyProtection="1">
      <alignment vertical="center" wrapText="1"/>
      <protection locked="0"/>
    </xf>
    <xf numFmtId="0" fontId="7" fillId="3" borderId="0" xfId="0" applyFont="1" applyFill="1" applyAlignment="1" applyProtection="1">
      <alignment vertical="center" wrapText="1"/>
      <protection locked="0"/>
    </xf>
    <xf numFmtId="0" fontId="4" fillId="3" borderId="50" xfId="0" applyFont="1" applyFill="1" applyBorder="1" applyAlignment="1" applyProtection="1">
      <alignment vertical="center" wrapText="1"/>
      <protection locked="0"/>
    </xf>
    <xf numFmtId="167" fontId="7" fillId="3" borderId="6" xfId="3" applyFont="1" applyFill="1" applyBorder="1" applyAlignment="1" applyProtection="1">
      <alignment vertical="center" wrapText="1"/>
      <protection locked="0"/>
    </xf>
    <xf numFmtId="167" fontId="4" fillId="3" borderId="6" xfId="3" applyFont="1" applyFill="1" applyBorder="1" applyAlignment="1" applyProtection="1">
      <alignment vertical="center" wrapText="1"/>
      <protection locked="0"/>
    </xf>
    <xf numFmtId="0" fontId="7" fillId="3" borderId="6" xfId="0" applyFont="1" applyFill="1" applyBorder="1" applyAlignment="1" applyProtection="1">
      <alignment vertical="center" wrapText="1"/>
      <protection locked="0"/>
    </xf>
    <xf numFmtId="0" fontId="22" fillId="3" borderId="6" xfId="0" applyFont="1" applyFill="1" applyBorder="1" applyAlignment="1" applyProtection="1">
      <alignment vertical="center" wrapText="1"/>
      <protection locked="0"/>
    </xf>
    <xf numFmtId="0" fontId="0" fillId="0" borderId="6" xfId="0" applyBorder="1" applyAlignment="1">
      <alignment wrapText="1"/>
    </xf>
    <xf numFmtId="0" fontId="9" fillId="0" borderId="6" xfId="0" applyFont="1" applyBorder="1" applyAlignment="1">
      <alignment vertical="center" wrapText="1"/>
    </xf>
    <xf numFmtId="168" fontId="5" fillId="2" borderId="57" xfId="1" applyFont="1" applyFill="1" applyBorder="1" applyAlignment="1" applyProtection="1">
      <alignment vertical="center" wrapText="1"/>
    </xf>
    <xf numFmtId="167" fontId="11" fillId="2" borderId="21" xfId="0" applyNumberFormat="1" applyFont="1" applyFill="1" applyBorder="1" applyAlignment="1">
      <alignment vertical="center" wrapText="1"/>
    </xf>
    <xf numFmtId="167" fontId="11" fillId="7" borderId="21" xfId="0" applyNumberFormat="1" applyFont="1" applyFill="1" applyBorder="1" applyAlignment="1">
      <alignment vertical="center" wrapText="1"/>
    </xf>
    <xf numFmtId="167" fontId="17" fillId="2" borderId="36" xfId="3" applyFont="1" applyFill="1" applyBorder="1" applyAlignment="1" applyProtection="1">
      <alignment vertical="center" wrapText="1"/>
    </xf>
    <xf numFmtId="0" fontId="29" fillId="0" borderId="0" xfId="0" applyFont="1" applyAlignment="1">
      <alignment horizontal="left" wrapText="1"/>
    </xf>
    <xf numFmtId="0" fontId="0" fillId="0" borderId="0" xfId="0" applyAlignment="1">
      <alignment vertical="center" wrapText="1"/>
    </xf>
    <xf numFmtId="0" fontId="4" fillId="0" borderId="30" xfId="0" applyFont="1" applyBorder="1" applyAlignment="1" applyProtection="1">
      <alignment vertical="center" wrapText="1"/>
      <protection locked="0"/>
    </xf>
    <xf numFmtId="0" fontId="4" fillId="2" borderId="57"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22" fillId="0" borderId="34" xfId="0" applyFont="1" applyBorder="1" applyAlignment="1" applyProtection="1">
      <alignment horizontal="center" vertical="center" wrapText="1"/>
      <protection locked="0"/>
    </xf>
    <xf numFmtId="0" fontId="4" fillId="2" borderId="34"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22" fillId="2" borderId="34" xfId="3" applyNumberFormat="1" applyFont="1" applyFill="1" applyBorder="1" applyAlignment="1" applyProtection="1">
      <alignment horizontal="center" vertical="center" wrapText="1"/>
    </xf>
    <xf numFmtId="0" fontId="5" fillId="2" borderId="34" xfId="3" applyNumberFormat="1" applyFont="1" applyFill="1" applyBorder="1" applyAlignment="1" applyProtection="1">
      <alignment horizontal="center" vertical="center" wrapText="1"/>
    </xf>
    <xf numFmtId="0" fontId="25" fillId="2" borderId="34" xfId="3" applyNumberFormat="1" applyFont="1" applyFill="1" applyBorder="1" applyAlignment="1" applyProtection="1">
      <alignment horizontal="center" vertical="center" wrapText="1"/>
    </xf>
    <xf numFmtId="49" fontId="5" fillId="3" borderId="11" xfId="0" applyNumberFormat="1" applyFont="1" applyFill="1" applyBorder="1" applyAlignment="1" applyProtection="1">
      <alignment vertical="center" wrapText="1"/>
      <protection locked="0"/>
    </xf>
    <xf numFmtId="49" fontId="5" fillId="3" borderId="7" xfId="0" applyNumberFormat="1" applyFont="1" applyFill="1" applyBorder="1" applyAlignment="1" applyProtection="1">
      <alignment vertical="center" wrapText="1"/>
      <protection locked="0"/>
    </xf>
    <xf numFmtId="0" fontId="30" fillId="0" borderId="0" xfId="0" applyFont="1" applyAlignment="1">
      <alignment horizontal="left" vertical="center"/>
    </xf>
    <xf numFmtId="183" fontId="30" fillId="0" borderId="0" xfId="0" applyNumberFormat="1" applyFont="1" applyAlignment="1">
      <alignment vertical="center"/>
    </xf>
    <xf numFmtId="0" fontId="30" fillId="0" borderId="0" xfId="0" applyFont="1" applyAlignment="1">
      <alignment vertical="center"/>
    </xf>
    <xf numFmtId="184" fontId="30" fillId="0" borderId="0" xfId="0" applyNumberFormat="1" applyFont="1" applyAlignment="1">
      <alignment vertical="center"/>
    </xf>
    <xf numFmtId="0" fontId="30" fillId="0" borderId="0" xfId="0" applyFont="1" applyAlignment="1">
      <alignment horizontal="right" vertical="center"/>
    </xf>
    <xf numFmtId="0" fontId="8" fillId="0" borderId="0" xfId="0" applyFont="1"/>
    <xf numFmtId="185" fontId="30" fillId="0" borderId="0" xfId="0" applyNumberFormat="1" applyFont="1" applyAlignment="1">
      <alignment vertical="center"/>
    </xf>
    <xf numFmtId="0" fontId="30" fillId="0" borderId="0" xfId="0" applyFont="1" applyAlignment="1">
      <alignment horizontal="center" vertical="center"/>
    </xf>
    <xf numFmtId="168" fontId="11" fillId="2" borderId="3" xfId="0" applyNumberFormat="1" applyFont="1" applyFill="1" applyBorder="1" applyAlignment="1">
      <alignment vertical="center" wrapText="1"/>
    </xf>
    <xf numFmtId="168" fontId="4" fillId="2" borderId="68" xfId="1" applyFont="1" applyFill="1" applyBorder="1" applyAlignment="1">
      <alignment horizontal="center" vertical="center" wrapText="1"/>
    </xf>
    <xf numFmtId="167" fontId="11" fillId="0" borderId="3" xfId="3" applyFont="1" applyBorder="1" applyAlignment="1" applyProtection="1">
      <alignment vertical="center" wrapText="1"/>
      <protection locked="0"/>
    </xf>
    <xf numFmtId="167" fontId="11" fillId="2" borderId="3" xfId="3" applyFont="1" applyFill="1" applyBorder="1" applyAlignment="1" applyProtection="1">
      <alignment vertical="center" wrapText="1"/>
    </xf>
    <xf numFmtId="168" fontId="11" fillId="3" borderId="3" xfId="1" applyFont="1" applyFill="1" applyBorder="1" applyAlignment="1" applyProtection="1">
      <alignment vertical="center" wrapText="1"/>
      <protection locked="0"/>
    </xf>
    <xf numFmtId="168" fontId="4" fillId="2" borderId="68" xfId="0" applyNumberFormat="1" applyFont="1" applyFill="1" applyBorder="1" applyAlignment="1">
      <alignment horizontal="center" vertical="center" wrapText="1"/>
    </xf>
    <xf numFmtId="0" fontId="3" fillId="10" borderId="0" xfId="0" applyFont="1" applyFill="1" applyAlignment="1">
      <alignment wrapText="1"/>
    </xf>
    <xf numFmtId="167" fontId="17" fillId="2" borderId="4" xfId="0" applyNumberFormat="1" applyFont="1" applyFill="1" applyBorder="1" applyAlignment="1">
      <alignment wrapText="1"/>
    </xf>
    <xf numFmtId="4" fontId="11" fillId="0" borderId="4" xfId="0" applyNumberFormat="1" applyFont="1" applyBorder="1" applyAlignment="1">
      <alignment wrapText="1"/>
    </xf>
    <xf numFmtId="0" fontId="11" fillId="0" borderId="4" xfId="0" applyFont="1" applyBorder="1" applyAlignment="1">
      <alignment wrapText="1"/>
    </xf>
    <xf numFmtId="3" fontId="11" fillId="0" borderId="4" xfId="0" applyNumberFormat="1" applyFont="1" applyBorder="1" applyAlignment="1">
      <alignment wrapText="1"/>
    </xf>
    <xf numFmtId="168" fontId="11" fillId="0" borderId="4" xfId="1" applyFont="1" applyBorder="1" applyAlignment="1">
      <alignment wrapText="1"/>
    </xf>
    <xf numFmtId="167" fontId="17" fillId="4" borderId="10" xfId="0" applyNumberFormat="1" applyFont="1" applyFill="1" applyBorder="1" applyAlignment="1">
      <alignment wrapText="1"/>
    </xf>
    <xf numFmtId="0" fontId="11" fillId="3" borderId="4" xfId="0" applyFont="1" applyFill="1" applyBorder="1" applyAlignment="1">
      <alignment wrapText="1"/>
    </xf>
    <xf numFmtId="179" fontId="17" fillId="4" borderId="4" xfId="1" applyNumberFormat="1" applyFont="1" applyFill="1" applyBorder="1" applyAlignment="1">
      <alignment wrapText="1"/>
    </xf>
    <xf numFmtId="168" fontId="17" fillId="4" borderId="4" xfId="1" applyFont="1" applyFill="1" applyBorder="1" applyAlignment="1">
      <alignment wrapText="1"/>
    </xf>
    <xf numFmtId="168" fontId="11" fillId="0" borderId="4" xfId="1" applyFont="1" applyFill="1" applyBorder="1" applyAlignment="1">
      <alignment wrapText="1"/>
    </xf>
    <xf numFmtId="1" fontId="30" fillId="0" borderId="0" xfId="0" applyNumberFormat="1" applyFont="1" applyAlignment="1">
      <alignment horizontal="left" vertical="center"/>
    </xf>
    <xf numFmtId="182" fontId="31" fillId="16" borderId="0" xfId="0" applyNumberFormat="1" applyFont="1" applyFill="1" applyAlignment="1">
      <alignment horizontal="center" vertical="center" wrapText="1"/>
    </xf>
    <xf numFmtId="168" fontId="30" fillId="0" borderId="0" xfId="1" applyFont="1" applyAlignment="1">
      <alignment vertical="center"/>
    </xf>
    <xf numFmtId="2" fontId="8" fillId="0" borderId="0" xfId="0" applyNumberFormat="1" applyFont="1"/>
    <xf numFmtId="0" fontId="8" fillId="0" borderId="0" xfId="0" applyFont="1" applyAlignment="1">
      <alignment horizontal="center"/>
    </xf>
    <xf numFmtId="1" fontId="30" fillId="0" borderId="0" xfId="0" applyNumberFormat="1" applyFont="1" applyAlignment="1">
      <alignment horizontal="center" vertical="center"/>
    </xf>
    <xf numFmtId="183" fontId="30" fillId="0" borderId="0" xfId="0" applyNumberFormat="1" applyFont="1" applyAlignment="1">
      <alignment horizontal="center" vertical="center"/>
    </xf>
    <xf numFmtId="17" fontId="30" fillId="0" borderId="0" xfId="0" applyNumberFormat="1" applyFont="1" applyAlignment="1">
      <alignment horizontal="left" vertical="center"/>
    </xf>
    <xf numFmtId="0" fontId="8" fillId="0" borderId="0" xfId="0" applyFont="1" applyAlignment="1">
      <alignment vertical="center"/>
    </xf>
    <xf numFmtId="9" fontId="4" fillId="2" borderId="51" xfId="2" applyFont="1" applyFill="1" applyBorder="1" applyAlignment="1">
      <alignment horizontal="center" vertical="center" wrapText="1"/>
    </xf>
    <xf numFmtId="49" fontId="5" fillId="3" borderId="10" xfId="0" applyNumberFormat="1" applyFont="1" applyFill="1" applyBorder="1" applyAlignment="1" applyProtection="1">
      <alignment vertical="center" wrapText="1"/>
      <protection locked="0"/>
    </xf>
    <xf numFmtId="9" fontId="8" fillId="0" borderId="4" xfId="2" applyFont="1" applyBorder="1" applyAlignment="1">
      <alignment horizontal="center" vertical="center" wrapText="1"/>
    </xf>
    <xf numFmtId="9" fontId="8" fillId="0" borderId="4" xfId="2" applyFont="1" applyBorder="1" applyAlignment="1">
      <alignment wrapText="1"/>
    </xf>
    <xf numFmtId="9" fontId="17" fillId="2" borderId="4" xfId="2" applyFont="1" applyFill="1" applyBorder="1" applyAlignment="1">
      <alignment vertical="center" wrapText="1"/>
    </xf>
    <xf numFmtId="9" fontId="8" fillId="0" borderId="4" xfId="2" applyFont="1" applyBorder="1" applyAlignment="1">
      <alignment vertical="center" wrapText="1"/>
    </xf>
    <xf numFmtId="9" fontId="17" fillId="6" borderId="4" xfId="2" applyFont="1" applyFill="1" applyBorder="1" applyAlignment="1" applyProtection="1">
      <alignment vertical="center" wrapText="1"/>
    </xf>
    <xf numFmtId="9" fontId="0" fillId="0" borderId="0" xfId="2" applyFont="1" applyBorder="1" applyAlignment="1">
      <alignment wrapText="1"/>
    </xf>
    <xf numFmtId="9" fontId="0" fillId="3" borderId="0" xfId="2" applyFont="1" applyFill="1" applyBorder="1" applyAlignment="1">
      <alignment wrapText="1"/>
    </xf>
    <xf numFmtId="9" fontId="8" fillId="3" borderId="4" xfId="2" applyFont="1" applyFill="1" applyBorder="1" applyAlignment="1">
      <alignment horizontal="center" vertical="center" wrapText="1"/>
    </xf>
    <xf numFmtId="9" fontId="17" fillId="6" borderId="4" xfId="2" applyFont="1" applyFill="1" applyBorder="1" applyAlignment="1" applyProtection="1">
      <alignment horizontal="center" vertical="center" wrapText="1"/>
    </xf>
    <xf numFmtId="9" fontId="0" fillId="3" borderId="4" xfId="2" applyFont="1" applyFill="1" applyBorder="1" applyAlignment="1">
      <alignment wrapText="1"/>
    </xf>
    <xf numFmtId="9" fontId="0" fillId="0" borderId="4" xfId="2" applyFont="1" applyBorder="1" applyAlignment="1">
      <alignment wrapText="1"/>
    </xf>
    <xf numFmtId="9" fontId="8" fillId="0" borderId="4" xfId="2" applyFont="1" applyBorder="1" applyAlignment="1">
      <alignment horizontal="center" wrapText="1"/>
    </xf>
    <xf numFmtId="9" fontId="17" fillId="6" borderId="4" xfId="2" applyFont="1" applyFill="1" applyBorder="1" applyAlignment="1" applyProtection="1">
      <alignment horizontal="center" wrapText="1"/>
    </xf>
    <xf numFmtId="0" fontId="26" fillId="0" borderId="4" xfId="0" applyFont="1" applyBorder="1" applyAlignment="1">
      <alignment vertical="center" wrapText="1"/>
    </xf>
    <xf numFmtId="9" fontId="0" fillId="0" borderId="39" xfId="2" applyFont="1" applyBorder="1" applyAlignment="1">
      <alignment wrapText="1"/>
    </xf>
    <xf numFmtId="9" fontId="0" fillId="0" borderId="6" xfId="2" applyFont="1" applyBorder="1" applyAlignment="1">
      <alignment wrapText="1"/>
    </xf>
    <xf numFmtId="9" fontId="0" fillId="0" borderId="10" xfId="2" applyFont="1" applyBorder="1" applyAlignment="1">
      <alignment wrapText="1"/>
    </xf>
    <xf numFmtId="9" fontId="4" fillId="2" borderId="4" xfId="2" applyFont="1" applyFill="1" applyBorder="1" applyAlignment="1">
      <alignment vertical="center" wrapText="1"/>
    </xf>
    <xf numFmtId="9" fontId="11" fillId="7" borderId="4" xfId="2" applyFont="1" applyFill="1" applyBorder="1" applyAlignment="1">
      <alignment vertical="center" wrapText="1"/>
    </xf>
    <xf numFmtId="9" fontId="5" fillId="2" borderId="4" xfId="2" applyFont="1" applyFill="1" applyBorder="1" applyAlignment="1">
      <alignment vertical="center" wrapText="1"/>
    </xf>
    <xf numFmtId="0" fontId="4" fillId="2" borderId="3" xfId="0" applyFont="1" applyFill="1" applyBorder="1" applyAlignment="1">
      <alignment horizontal="center" vertical="center" wrapText="1"/>
    </xf>
    <xf numFmtId="9" fontId="17" fillId="6" borderId="5" xfId="2" applyFont="1" applyFill="1" applyBorder="1" applyAlignment="1" applyProtection="1">
      <alignment vertical="center" wrapText="1"/>
      <protection locked="0"/>
    </xf>
    <xf numFmtId="0" fontId="0" fillId="2" borderId="3" xfId="0" applyFill="1" applyBorder="1" applyAlignment="1">
      <alignment wrapText="1"/>
    </xf>
    <xf numFmtId="9" fontId="0" fillId="2" borderId="4" xfId="2" applyFont="1" applyFill="1" applyBorder="1" applyAlignment="1">
      <alignment wrapText="1"/>
    </xf>
    <xf numFmtId="0" fontId="0" fillId="7" borderId="3" xfId="0" applyFill="1" applyBorder="1" applyAlignment="1">
      <alignment wrapText="1"/>
    </xf>
    <xf numFmtId="182" fontId="31" fillId="16" borderId="0" xfId="0" applyNumberFormat="1" applyFont="1" applyFill="1" applyAlignment="1">
      <alignment horizontal="center" vertical="top" wrapText="1"/>
    </xf>
    <xf numFmtId="0" fontId="17" fillId="2" borderId="64" xfId="0" applyFont="1" applyFill="1" applyBorder="1" applyAlignment="1">
      <alignment vertical="center" wrapText="1"/>
    </xf>
    <xf numFmtId="0" fontId="17" fillId="2" borderId="0" xfId="0" applyFont="1" applyFill="1" applyAlignment="1">
      <alignment vertical="center" wrapText="1"/>
    </xf>
    <xf numFmtId="0" fontId="31" fillId="17" borderId="39" xfId="0" applyFont="1" applyFill="1" applyBorder="1" applyAlignment="1">
      <alignment horizontal="center" vertical="top" wrapText="1"/>
    </xf>
    <xf numFmtId="0" fontId="31" fillId="18" borderId="39" xfId="0" applyFont="1" applyFill="1" applyBorder="1" applyAlignment="1">
      <alignment horizontal="center" vertical="top" wrapText="1"/>
    </xf>
    <xf numFmtId="0" fontId="31" fillId="19" borderId="39" xfId="0" applyFont="1" applyFill="1" applyBorder="1" applyAlignment="1">
      <alignment horizontal="center" vertical="top" wrapText="1"/>
    </xf>
    <xf numFmtId="0" fontId="8" fillId="0" borderId="0" xfId="0" applyFont="1" applyAlignment="1">
      <alignment vertical="top"/>
    </xf>
    <xf numFmtId="0" fontId="31" fillId="14" borderId="0" xfId="0" applyFont="1" applyFill="1" applyAlignment="1">
      <alignment horizontal="center" vertical="center" wrapText="1"/>
    </xf>
    <xf numFmtId="0" fontId="31" fillId="15" borderId="0" xfId="0" applyFont="1" applyFill="1" applyAlignment="1">
      <alignment horizontal="center" vertical="top" wrapText="1"/>
    </xf>
    <xf numFmtId="0" fontId="31" fillId="14" borderId="0" xfId="0" applyFont="1" applyFill="1" applyAlignment="1">
      <alignment horizontal="center" vertical="top" wrapText="1"/>
    </xf>
    <xf numFmtId="0" fontId="31" fillId="16" borderId="0" xfId="0" applyFont="1" applyFill="1" applyAlignment="1">
      <alignment horizontal="left" vertical="top" wrapText="1"/>
    </xf>
    <xf numFmtId="0" fontId="31" fillId="16" borderId="0" xfId="0" applyFont="1" applyFill="1" applyAlignment="1">
      <alignment horizontal="center" vertical="top" wrapText="1"/>
    </xf>
    <xf numFmtId="0" fontId="31" fillId="17" borderId="0" xfId="0" applyFont="1" applyFill="1" applyAlignment="1">
      <alignment horizontal="center" vertical="top" wrapText="1"/>
    </xf>
    <xf numFmtId="0" fontId="30" fillId="0" borderId="0" xfId="0" applyFont="1" applyAlignment="1">
      <alignment horizontal="left" vertical="center" wrapText="1"/>
    </xf>
    <xf numFmtId="17" fontId="30" fillId="0" borderId="0" xfId="0" applyNumberFormat="1" applyFont="1" applyAlignment="1">
      <alignment vertical="center"/>
    </xf>
    <xf numFmtId="0" fontId="30" fillId="0" borderId="0" xfId="0" applyFont="1" applyAlignment="1">
      <alignment vertical="center" wrapText="1"/>
    </xf>
    <xf numFmtId="4" fontId="8" fillId="0" borderId="0" xfId="0" applyNumberFormat="1" applyFont="1" applyAlignment="1">
      <alignment vertical="center"/>
    </xf>
    <xf numFmtId="4" fontId="8" fillId="0" borderId="0" xfId="0" applyNumberFormat="1" applyFont="1"/>
    <xf numFmtId="184" fontId="30" fillId="0" borderId="0" xfId="0" applyNumberFormat="1" applyFont="1" applyAlignment="1">
      <alignment horizontal="right" vertical="center"/>
    </xf>
    <xf numFmtId="0" fontId="8" fillId="0" borderId="0" xfId="0" applyFont="1" applyAlignment="1">
      <alignment horizontal="left"/>
    </xf>
    <xf numFmtId="0" fontId="8" fillId="0" borderId="0" xfId="0" applyFont="1" applyAlignment="1">
      <alignment horizontal="right"/>
    </xf>
    <xf numFmtId="0" fontId="15" fillId="12" borderId="0" xfId="0" applyFont="1" applyFill="1"/>
    <xf numFmtId="168" fontId="15" fillId="12" borderId="0" xfId="1" applyFont="1" applyFill="1"/>
    <xf numFmtId="0" fontId="8" fillId="0" borderId="0" xfId="0" applyFont="1" applyAlignment="1">
      <alignment wrapText="1"/>
    </xf>
    <xf numFmtId="168" fontId="30" fillId="0" borderId="0" xfId="0" applyNumberFormat="1" applyFont="1" applyAlignment="1">
      <alignment vertical="center"/>
    </xf>
    <xf numFmtId="184" fontId="30" fillId="0" borderId="0" xfId="0" applyNumberFormat="1" applyFont="1" applyAlignment="1">
      <alignment horizontal="left" vertical="center"/>
    </xf>
    <xf numFmtId="0" fontId="8" fillId="0" borderId="0" xfId="0" applyFont="1" applyAlignment="1">
      <alignment vertical="center" wrapText="1"/>
    </xf>
    <xf numFmtId="183" fontId="30" fillId="0" borderId="0" xfId="0" applyNumberFormat="1" applyFont="1" applyAlignment="1">
      <alignment horizontal="right" vertical="center"/>
    </xf>
    <xf numFmtId="0" fontId="32" fillId="0" borderId="0" xfId="0" applyFont="1" applyAlignment="1">
      <alignment vertical="top" wrapText="1"/>
    </xf>
    <xf numFmtId="3" fontId="32" fillId="0" borderId="0" xfId="0" applyNumberFormat="1" applyFont="1" applyAlignment="1">
      <alignment vertical="top"/>
    </xf>
    <xf numFmtId="0" fontId="30" fillId="0" borderId="0" xfId="0" applyFont="1" applyAlignment="1">
      <alignment vertical="top"/>
    </xf>
    <xf numFmtId="168" fontId="30" fillId="0" borderId="0" xfId="1" applyFont="1" applyBorder="1" applyAlignment="1">
      <alignment vertical="center"/>
    </xf>
    <xf numFmtId="0" fontId="30" fillId="0" borderId="0" xfId="0" applyFont="1" applyAlignment="1">
      <alignment vertical="top" wrapText="1"/>
    </xf>
    <xf numFmtId="14" fontId="30" fillId="0" borderId="0" xfId="0" applyNumberFormat="1" applyFont="1" applyAlignment="1">
      <alignment vertical="center"/>
    </xf>
    <xf numFmtId="0" fontId="11" fillId="0" borderId="0" xfId="0" applyFont="1" applyAlignment="1">
      <alignment wrapText="1"/>
    </xf>
    <xf numFmtId="0" fontId="11" fillId="3" borderId="0" xfId="0" applyFont="1" applyFill="1" applyAlignment="1">
      <alignment wrapText="1"/>
    </xf>
    <xf numFmtId="168" fontId="11" fillId="0" borderId="0" xfId="1" applyFont="1" applyBorder="1" applyAlignment="1">
      <alignment wrapText="1"/>
    </xf>
    <xf numFmtId="10" fontId="11" fillId="0" borderId="0" xfId="2" applyNumberFormat="1" applyFont="1" applyBorder="1" applyAlignment="1">
      <alignment wrapText="1"/>
    </xf>
    <xf numFmtId="0" fontId="20" fillId="0" borderId="0" xfId="0" applyFont="1" applyAlignment="1">
      <alignment vertical="center" wrapText="1"/>
    </xf>
    <xf numFmtId="0" fontId="34" fillId="0" borderId="0" xfId="0" applyFont="1" applyAlignment="1">
      <alignment wrapText="1"/>
    </xf>
    <xf numFmtId="168" fontId="35" fillId="0" borderId="0" xfId="1" applyFont="1" applyBorder="1" applyAlignment="1">
      <alignment wrapText="1"/>
    </xf>
    <xf numFmtId="0" fontId="17" fillId="0" borderId="0" xfId="0" applyFont="1" applyAlignment="1">
      <alignment wrapText="1"/>
    </xf>
    <xf numFmtId="168" fontId="8" fillId="0" borderId="0" xfId="1" applyFont="1" applyBorder="1" applyAlignment="1">
      <alignment wrapText="1"/>
    </xf>
    <xf numFmtId="0" fontId="17" fillId="3" borderId="0" xfId="0" applyFont="1" applyFill="1" applyAlignment="1">
      <alignment horizontal="left" wrapText="1"/>
    </xf>
    <xf numFmtId="0" fontId="17" fillId="2" borderId="5" xfId="0" applyFont="1" applyFill="1" applyBorder="1" applyAlignment="1">
      <alignment horizontal="center" vertical="center" wrapText="1"/>
    </xf>
    <xf numFmtId="168" fontId="17" fillId="2" borderId="5" xfId="1" applyFont="1" applyFill="1" applyBorder="1" applyAlignment="1" applyProtection="1">
      <alignment horizontal="center" vertical="center" wrapText="1"/>
    </xf>
    <xf numFmtId="0" fontId="17" fillId="2" borderId="8" xfId="3" applyNumberFormat="1" applyFont="1" applyFill="1" applyBorder="1" applyAlignment="1" applyProtection="1">
      <alignment horizontal="center" vertical="center" wrapText="1"/>
    </xf>
    <xf numFmtId="0" fontId="11" fillId="0" borderId="28" xfId="0" applyFont="1" applyBorder="1" applyAlignment="1">
      <alignment wrapText="1"/>
    </xf>
    <xf numFmtId="168" fontId="11" fillId="0" borderId="28" xfId="1" applyFont="1" applyBorder="1" applyAlignment="1">
      <alignment wrapText="1"/>
    </xf>
    <xf numFmtId="167" fontId="17" fillId="3" borderId="10" xfId="3" applyFont="1" applyFill="1" applyBorder="1" applyAlignment="1" applyProtection="1">
      <alignment wrapText="1"/>
    </xf>
    <xf numFmtId="167" fontId="17" fillId="3" borderId="12" xfId="3" applyFont="1" applyFill="1" applyBorder="1" applyAlignment="1">
      <alignment wrapText="1"/>
    </xf>
    <xf numFmtId="167" fontId="17" fillId="3" borderId="12" xfId="0" applyNumberFormat="1" applyFont="1" applyFill="1" applyBorder="1" applyAlignment="1">
      <alignment wrapText="1"/>
    </xf>
    <xf numFmtId="168" fontId="11" fillId="3" borderId="0" xfId="1" applyFont="1" applyFill="1" applyBorder="1" applyAlignment="1">
      <alignment wrapText="1"/>
    </xf>
    <xf numFmtId="10" fontId="11" fillId="3" borderId="0" xfId="2" applyNumberFormat="1" applyFont="1" applyFill="1" applyBorder="1" applyAlignment="1">
      <alignment wrapText="1"/>
    </xf>
    <xf numFmtId="0" fontId="11" fillId="3" borderId="28" xfId="0" applyFont="1" applyFill="1" applyBorder="1" applyAlignment="1">
      <alignment wrapText="1"/>
    </xf>
    <xf numFmtId="0" fontId="17" fillId="2" borderId="33" xfId="0" applyFont="1" applyFill="1" applyBorder="1" applyAlignment="1">
      <alignment horizontal="left" wrapText="1"/>
    </xf>
    <xf numFmtId="167" fontId="17" fillId="2" borderId="34" xfId="0" applyNumberFormat="1" applyFont="1" applyFill="1" applyBorder="1" applyAlignment="1">
      <alignment horizontal="center" wrapText="1"/>
    </xf>
    <xf numFmtId="167" fontId="17" fillId="2" borderId="51" xfId="0" applyNumberFormat="1" applyFont="1" applyFill="1" applyBorder="1" applyAlignment="1">
      <alignment horizontal="center" wrapText="1"/>
    </xf>
    <xf numFmtId="0" fontId="20" fillId="2" borderId="7" xfId="0" applyFont="1" applyFill="1" applyBorder="1" applyAlignment="1">
      <alignment vertical="center" wrapText="1"/>
    </xf>
    <xf numFmtId="167" fontId="11" fillId="0" borderId="7" xfId="0" applyNumberFormat="1" applyFont="1" applyBorder="1" applyAlignment="1" applyProtection="1">
      <alignment wrapText="1"/>
      <protection locked="0"/>
    </xf>
    <xf numFmtId="167" fontId="11" fillId="3" borderId="7" xfId="3" applyFont="1" applyFill="1" applyBorder="1" applyAlignment="1" applyProtection="1">
      <alignment horizontal="center" vertical="center" wrapText="1"/>
      <protection locked="0"/>
    </xf>
    <xf numFmtId="167" fontId="11" fillId="3" borderId="10" xfId="3" applyFont="1" applyFill="1" applyBorder="1" applyAlignment="1" applyProtection="1">
      <alignment horizontal="center" vertical="center" wrapText="1"/>
      <protection locked="0"/>
    </xf>
    <xf numFmtId="167" fontId="11" fillId="3" borderId="4" xfId="3" applyFont="1" applyFill="1" applyBorder="1" applyAlignment="1" applyProtection="1">
      <alignment horizontal="center" vertical="center" wrapText="1"/>
      <protection locked="0"/>
    </xf>
    <xf numFmtId="167" fontId="11" fillId="0" borderId="4" xfId="0" applyNumberFormat="1" applyFont="1" applyBorder="1" applyAlignment="1" applyProtection="1">
      <alignment wrapText="1"/>
      <protection locked="0"/>
    </xf>
    <xf numFmtId="167" fontId="17" fillId="4" borderId="4" xfId="3" applyFont="1" applyFill="1" applyBorder="1" applyAlignment="1">
      <alignment wrapText="1"/>
    </xf>
    <xf numFmtId="167" fontId="17" fillId="0" borderId="4" xfId="3" applyFont="1" applyFill="1" applyBorder="1" applyAlignment="1" applyProtection="1">
      <alignment wrapText="1"/>
    </xf>
    <xf numFmtId="167" fontId="17" fillId="0" borderId="1" xfId="3" applyFont="1" applyFill="1" applyBorder="1" applyAlignment="1">
      <alignment wrapText="1"/>
    </xf>
    <xf numFmtId="167" fontId="17" fillId="0" borderId="3" xfId="3" applyFont="1" applyFill="1" applyBorder="1" applyAlignment="1">
      <alignment wrapText="1"/>
    </xf>
    <xf numFmtId="167" fontId="17" fillId="3" borderId="4" xfId="3" applyFont="1" applyFill="1" applyBorder="1" applyAlignment="1" applyProtection="1">
      <alignment wrapText="1"/>
    </xf>
    <xf numFmtId="167" fontId="17" fillId="3" borderId="1" xfId="3" applyFont="1" applyFill="1" applyBorder="1" applyAlignment="1">
      <alignment wrapText="1"/>
    </xf>
    <xf numFmtId="167" fontId="17" fillId="3" borderId="11" xfId="0" applyNumberFormat="1" applyFont="1" applyFill="1" applyBorder="1" applyAlignment="1">
      <alignment wrapText="1"/>
    </xf>
    <xf numFmtId="10" fontId="11" fillId="3" borderId="3" xfId="2" applyNumberFormat="1" applyFont="1" applyFill="1" applyBorder="1" applyAlignment="1">
      <alignment wrapText="1"/>
    </xf>
    <xf numFmtId="0" fontId="17" fillId="2" borderId="23" xfId="0" applyFont="1" applyFill="1" applyBorder="1" applyAlignment="1">
      <alignment horizontal="left" wrapText="1"/>
    </xf>
    <xf numFmtId="167" fontId="17" fillId="2" borderId="23" xfId="0" applyNumberFormat="1" applyFont="1" applyFill="1" applyBorder="1" applyAlignment="1">
      <alignment horizontal="center" wrapText="1"/>
    </xf>
    <xf numFmtId="167" fontId="17" fillId="2" borderId="23" xfId="0" applyNumberFormat="1" applyFont="1" applyFill="1" applyBorder="1" applyAlignment="1">
      <alignment wrapText="1"/>
    </xf>
    <xf numFmtId="167" fontId="17" fillId="2" borderId="7" xfId="0" applyNumberFormat="1" applyFont="1" applyFill="1" applyBorder="1" applyAlignment="1">
      <alignment wrapText="1"/>
    </xf>
    <xf numFmtId="168" fontId="11" fillId="3" borderId="3" xfId="1" applyFont="1" applyFill="1" applyBorder="1" applyAlignment="1">
      <alignment wrapText="1"/>
    </xf>
    <xf numFmtId="167" fontId="17" fillId="3" borderId="2" xfId="0" applyNumberFormat="1" applyFont="1" applyFill="1" applyBorder="1" applyAlignment="1">
      <alignment wrapText="1"/>
    </xf>
    <xf numFmtId="167" fontId="17" fillId="3" borderId="13" xfId="3" applyFont="1" applyFill="1" applyBorder="1" applyAlignment="1" applyProtection="1">
      <alignment wrapText="1"/>
    </xf>
    <xf numFmtId="167" fontId="17" fillId="3" borderId="13" xfId="3" applyFont="1" applyFill="1" applyBorder="1" applyAlignment="1">
      <alignment wrapText="1"/>
    </xf>
    <xf numFmtId="167" fontId="17" fillId="3" borderId="16" xfId="0" applyNumberFormat="1" applyFont="1" applyFill="1" applyBorder="1" applyAlignment="1">
      <alignment wrapText="1"/>
    </xf>
    <xf numFmtId="0" fontId="11" fillId="0" borderId="7" xfId="0" applyFont="1" applyBorder="1" applyAlignment="1">
      <alignment wrapText="1"/>
    </xf>
    <xf numFmtId="0" fontId="17" fillId="4" borderId="7" xfId="0" applyFont="1" applyFill="1" applyBorder="1" applyAlignment="1">
      <alignment horizontal="left" wrapText="1"/>
    </xf>
    <xf numFmtId="167" fontId="17" fillId="4" borderId="7" xfId="0" applyNumberFormat="1" applyFont="1" applyFill="1" applyBorder="1" applyAlignment="1">
      <alignment horizontal="center" wrapText="1"/>
    </xf>
    <xf numFmtId="167" fontId="17" fillId="3" borderId="14" xfId="3" applyFont="1" applyFill="1" applyBorder="1" applyAlignment="1" applyProtection="1">
      <alignment wrapText="1"/>
    </xf>
    <xf numFmtId="167" fontId="17" fillId="3" borderId="0" xfId="3" applyFont="1" applyFill="1" applyBorder="1" applyAlignment="1">
      <alignment wrapText="1"/>
    </xf>
    <xf numFmtId="167" fontId="17" fillId="3" borderId="52" xfId="0" applyNumberFormat="1" applyFont="1" applyFill="1" applyBorder="1" applyAlignment="1">
      <alignment wrapText="1"/>
    </xf>
    <xf numFmtId="167" fontId="17" fillId="3" borderId="1" xfId="0" applyNumberFormat="1" applyFont="1" applyFill="1" applyBorder="1" applyAlignment="1">
      <alignment wrapText="1"/>
    </xf>
    <xf numFmtId="167" fontId="17" fillId="2" borderId="31" xfId="0" applyNumberFormat="1" applyFont="1" applyFill="1" applyBorder="1" applyAlignment="1">
      <alignment wrapText="1"/>
    </xf>
    <xf numFmtId="167" fontId="17" fillId="2" borderId="10" xfId="0" applyNumberFormat="1" applyFont="1" applyFill="1" applyBorder="1" applyAlignment="1">
      <alignment wrapText="1"/>
    </xf>
    <xf numFmtId="0" fontId="11" fillId="0" borderId="3" xfId="0" applyFont="1" applyBorder="1" applyAlignment="1">
      <alignment horizontal="left" wrapText="1"/>
    </xf>
    <xf numFmtId="168" fontId="11" fillId="0" borderId="0" xfId="1" applyFont="1" applyFill="1" applyBorder="1" applyAlignment="1">
      <alignment wrapText="1"/>
    </xf>
    <xf numFmtId="10" fontId="11" fillId="0" borderId="0" xfId="2" applyNumberFormat="1" applyFont="1" applyFill="1" applyBorder="1" applyAlignment="1">
      <alignment wrapText="1"/>
    </xf>
    <xf numFmtId="167" fontId="11" fillId="0" borderId="3" xfId="0" applyNumberFormat="1" applyFont="1" applyBorder="1" applyAlignment="1" applyProtection="1">
      <alignment vertical="center" wrapText="1"/>
      <protection locked="0"/>
    </xf>
    <xf numFmtId="167" fontId="11" fillId="0" borderId="28" xfId="0" applyNumberFormat="1" applyFont="1" applyBorder="1" applyAlignment="1">
      <alignment wrapText="1"/>
    </xf>
    <xf numFmtId="0" fontId="17" fillId="2" borderId="45" xfId="0" applyFont="1" applyFill="1" applyBorder="1" applyAlignment="1">
      <alignment horizontal="center" wrapText="1"/>
    </xf>
    <xf numFmtId="0" fontId="17" fillId="2" borderId="7" xfId="0" applyFont="1" applyFill="1" applyBorder="1" applyAlignment="1">
      <alignment horizontal="center" wrapText="1"/>
    </xf>
    <xf numFmtId="0" fontId="17" fillId="2" borderId="10" xfId="0" applyFont="1" applyFill="1" applyBorder="1" applyAlignment="1">
      <alignment horizontal="center" wrapText="1"/>
    </xf>
    <xf numFmtId="167" fontId="17" fillId="2" borderId="4" xfId="0" applyNumberFormat="1" applyFont="1" applyFill="1" applyBorder="1" applyAlignment="1">
      <alignment horizontal="center" wrapText="1"/>
    </xf>
    <xf numFmtId="0" fontId="37" fillId="2" borderId="20" xfId="0" applyFont="1" applyFill="1" applyBorder="1" applyAlignment="1">
      <alignment vertical="center" wrapText="1"/>
    </xf>
    <xf numFmtId="167" fontId="11" fillId="2" borderId="7" xfId="0" applyNumberFormat="1" applyFont="1" applyFill="1" applyBorder="1" applyAlignment="1">
      <alignment wrapText="1"/>
    </xf>
    <xf numFmtId="10" fontId="11" fillId="0" borderId="7" xfId="2" applyNumberFormat="1" applyFont="1" applyFill="1" applyBorder="1" applyAlignment="1">
      <alignment wrapText="1"/>
    </xf>
    <xf numFmtId="3" fontId="11" fillId="0" borderId="7" xfId="0" applyNumberFormat="1" applyFont="1" applyBorder="1" applyAlignment="1">
      <alignment wrapText="1"/>
    </xf>
    <xf numFmtId="167" fontId="11" fillId="2" borderId="10" xfId="0" applyNumberFormat="1" applyFont="1" applyFill="1" applyBorder="1" applyAlignment="1">
      <alignment wrapText="1"/>
    </xf>
    <xf numFmtId="168" fontId="11" fillId="0" borderId="65" xfId="1" applyFont="1" applyBorder="1" applyAlignment="1">
      <alignment wrapText="1"/>
    </xf>
    <xf numFmtId="0" fontId="37" fillId="2" borderId="20" xfId="0" applyFont="1" applyFill="1" applyBorder="1" applyAlignment="1" applyProtection="1">
      <alignment vertical="center" wrapText="1"/>
      <protection locked="0"/>
    </xf>
    <xf numFmtId="0" fontId="37" fillId="2" borderId="32" xfId="0" applyFont="1" applyFill="1" applyBorder="1" applyAlignment="1">
      <alignment vertical="center" wrapText="1"/>
    </xf>
    <xf numFmtId="167" fontId="11" fillId="2" borderId="29" xfId="0" applyNumberFormat="1" applyFont="1" applyFill="1" applyBorder="1" applyAlignment="1">
      <alignment wrapText="1"/>
    </xf>
    <xf numFmtId="167" fontId="11" fillId="2" borderId="14" xfId="0" applyNumberFormat="1" applyFont="1" applyFill="1" applyBorder="1" applyAlignment="1">
      <alignment wrapText="1"/>
    </xf>
    <xf numFmtId="167" fontId="11" fillId="2" borderId="3" xfId="0" applyNumberFormat="1" applyFont="1" applyFill="1" applyBorder="1" applyAlignment="1">
      <alignment wrapText="1"/>
    </xf>
    <xf numFmtId="167" fontId="11" fillId="2" borderId="11" xfId="0" applyNumberFormat="1" applyFont="1" applyFill="1" applyBorder="1" applyAlignment="1">
      <alignment wrapText="1"/>
    </xf>
    <xf numFmtId="167" fontId="11" fillId="2" borderId="4" xfId="0" applyNumberFormat="1" applyFont="1" applyFill="1" applyBorder="1" applyAlignment="1">
      <alignment wrapText="1"/>
    </xf>
    <xf numFmtId="167" fontId="11" fillId="2" borderId="37" xfId="0" applyNumberFormat="1" applyFont="1" applyFill="1" applyBorder="1" applyAlignment="1">
      <alignment wrapText="1"/>
    </xf>
    <xf numFmtId="167" fontId="11" fillId="2" borderId="23" xfId="0" applyNumberFormat="1" applyFont="1" applyFill="1" applyBorder="1" applyAlignment="1">
      <alignment wrapText="1"/>
    </xf>
    <xf numFmtId="10" fontId="11" fillId="0" borderId="5" xfId="2" applyNumberFormat="1" applyFont="1" applyFill="1" applyBorder="1" applyAlignment="1">
      <alignment wrapText="1"/>
    </xf>
    <xf numFmtId="3" fontId="11" fillId="0" borderId="5" xfId="0" applyNumberFormat="1" applyFont="1" applyBorder="1" applyAlignment="1">
      <alignment wrapText="1"/>
    </xf>
    <xf numFmtId="167" fontId="17" fillId="2" borderId="52" xfId="3" applyFont="1" applyFill="1" applyBorder="1" applyAlignment="1">
      <alignment wrapText="1"/>
    </xf>
    <xf numFmtId="167" fontId="17" fillId="2" borderId="29" xfId="3" applyFont="1" applyFill="1" applyBorder="1" applyAlignment="1">
      <alignment wrapText="1"/>
    </xf>
    <xf numFmtId="167" fontId="17" fillId="2" borderId="3" xfId="72" applyFont="1" applyFill="1" applyBorder="1" applyAlignment="1">
      <alignment wrapText="1"/>
    </xf>
    <xf numFmtId="10" fontId="17" fillId="4" borderId="34" xfId="2" applyNumberFormat="1" applyFont="1" applyFill="1" applyBorder="1" applyAlignment="1">
      <alignment wrapText="1"/>
    </xf>
    <xf numFmtId="167" fontId="17" fillId="2" borderId="4" xfId="72" applyFont="1" applyFill="1" applyBorder="1" applyAlignment="1">
      <alignment wrapText="1"/>
    </xf>
    <xf numFmtId="167" fontId="17" fillId="2" borderId="64" xfId="72" applyFont="1" applyFill="1" applyBorder="1" applyAlignment="1">
      <alignment wrapText="1"/>
    </xf>
    <xf numFmtId="167" fontId="11" fillId="2" borderId="4" xfId="72" applyFont="1" applyFill="1" applyBorder="1" applyAlignment="1">
      <alignment wrapText="1"/>
    </xf>
    <xf numFmtId="167" fontId="17" fillId="2" borderId="24" xfId="3" applyFont="1" applyFill="1" applyBorder="1" applyAlignment="1">
      <alignment wrapText="1"/>
    </xf>
    <xf numFmtId="167" fontId="17" fillId="2" borderId="25" xfId="3" applyFont="1" applyFill="1" applyBorder="1" applyAlignment="1">
      <alignment wrapText="1"/>
    </xf>
    <xf numFmtId="167" fontId="11" fillId="2" borderId="64" xfId="72" applyFont="1" applyFill="1" applyBorder="1" applyAlignment="1">
      <alignment wrapText="1"/>
    </xf>
    <xf numFmtId="167" fontId="17" fillId="2" borderId="22" xfId="3" applyFont="1" applyFill="1" applyBorder="1" applyAlignment="1" applyProtection="1">
      <alignment wrapText="1"/>
    </xf>
    <xf numFmtId="167" fontId="17" fillId="2" borderId="23" xfId="72" applyFont="1" applyFill="1" applyBorder="1" applyAlignment="1">
      <alignment wrapText="1"/>
    </xf>
    <xf numFmtId="167" fontId="17" fillId="2" borderId="6" xfId="3" applyFont="1" applyFill="1" applyBorder="1" applyAlignment="1">
      <alignment wrapText="1"/>
    </xf>
    <xf numFmtId="167" fontId="17" fillId="2" borderId="31" xfId="72" applyFont="1" applyFill="1" applyBorder="1" applyAlignment="1">
      <alignment wrapText="1"/>
    </xf>
    <xf numFmtId="167" fontId="17" fillId="2" borderId="67" xfId="72" applyFont="1" applyFill="1" applyBorder="1" applyAlignment="1">
      <alignment wrapText="1"/>
    </xf>
    <xf numFmtId="10" fontId="17" fillId="10" borderId="0" xfId="2" applyNumberFormat="1" applyFont="1" applyFill="1" applyAlignment="1">
      <alignment wrapText="1"/>
    </xf>
    <xf numFmtId="168" fontId="17" fillId="3" borderId="0" xfId="1" applyFont="1" applyFill="1" applyBorder="1" applyAlignment="1">
      <alignment vertical="center" wrapText="1"/>
    </xf>
    <xf numFmtId="10" fontId="17" fillId="3" borderId="0" xfId="2" applyNumberFormat="1" applyFont="1" applyFill="1" applyBorder="1" applyAlignment="1">
      <alignment vertical="center" wrapText="1"/>
    </xf>
    <xf numFmtId="167" fontId="11" fillId="3" borderId="0" xfId="0" applyNumberFormat="1" applyFont="1" applyFill="1" applyAlignment="1">
      <alignment wrapText="1"/>
    </xf>
    <xf numFmtId="167" fontId="17" fillId="3" borderId="0" xfId="0" applyNumberFormat="1" applyFont="1" applyFill="1" applyAlignment="1">
      <alignment wrapText="1"/>
    </xf>
    <xf numFmtId="168" fontId="11" fillId="3" borderId="0" xfId="1" applyFont="1" applyFill="1" applyAlignment="1">
      <alignment wrapText="1"/>
    </xf>
    <xf numFmtId="168" fontId="11" fillId="0" borderId="0" xfId="1" applyFont="1" applyAlignment="1">
      <alignment wrapText="1"/>
    </xf>
    <xf numFmtId="168" fontId="17" fillId="0" borderId="0" xfId="1" applyFont="1" applyFill="1" applyBorder="1" applyAlignment="1">
      <alignment horizontal="center" vertical="center" wrapText="1"/>
    </xf>
    <xf numFmtId="167" fontId="11" fillId="0" borderId="0" xfId="0" applyNumberFormat="1" applyFont="1" applyAlignment="1">
      <alignment wrapText="1"/>
    </xf>
    <xf numFmtId="168" fontId="11" fillId="3" borderId="0" xfId="1" applyFont="1" applyFill="1" applyAlignment="1">
      <alignment vertical="center" wrapText="1"/>
    </xf>
    <xf numFmtId="0" fontId="11" fillId="3" borderId="0" xfId="0" applyFont="1" applyFill="1" applyAlignment="1">
      <alignment vertical="center" wrapText="1"/>
    </xf>
    <xf numFmtId="3" fontId="11" fillId="0" borderId="0" xfId="0" applyNumberFormat="1" applyFont="1" applyAlignment="1">
      <alignment wrapText="1"/>
    </xf>
    <xf numFmtId="168" fontId="11" fillId="3" borderId="0" xfId="1" applyFont="1" applyFill="1" applyBorder="1" applyAlignment="1">
      <alignment horizontal="center" vertical="center" wrapText="1"/>
    </xf>
    <xf numFmtId="168" fontId="17" fillId="0" borderId="0" xfId="1" applyFont="1" applyFill="1" applyBorder="1" applyAlignment="1">
      <alignment wrapText="1"/>
    </xf>
    <xf numFmtId="167" fontId="17" fillId="0" borderId="0" xfId="0" applyNumberFormat="1" applyFont="1" applyAlignment="1">
      <alignment wrapText="1"/>
    </xf>
    <xf numFmtId="167" fontId="17" fillId="2" borderId="20" xfId="3" applyFont="1" applyFill="1" applyBorder="1" applyAlignment="1" applyProtection="1">
      <alignment wrapText="1"/>
    </xf>
    <xf numFmtId="180" fontId="30" fillId="0" borderId="0" xfId="1" applyNumberFormat="1" applyFont="1" applyFill="1" applyAlignment="1">
      <alignment vertical="center"/>
    </xf>
    <xf numFmtId="180" fontId="8" fillId="0" borderId="0" xfId="1" applyNumberFormat="1" applyFont="1" applyFill="1"/>
    <xf numFmtId="167" fontId="0" fillId="0" borderId="0" xfId="0" applyNumberFormat="1" applyAlignment="1">
      <alignment wrapText="1"/>
    </xf>
    <xf numFmtId="168" fontId="11" fillId="0" borderId="4" xfId="0" applyNumberFormat="1" applyFont="1" applyBorder="1" applyAlignment="1">
      <alignment wrapText="1"/>
    </xf>
    <xf numFmtId="168" fontId="30" fillId="0" borderId="0" xfId="1" applyFont="1" applyFill="1" applyAlignment="1">
      <alignment vertical="center"/>
    </xf>
    <xf numFmtId="0" fontId="8" fillId="0" borderId="45" xfId="0" applyFont="1" applyBorder="1" applyAlignment="1">
      <alignment horizontal="right"/>
    </xf>
    <xf numFmtId="14" fontId="8" fillId="0" borderId="0" xfId="0" applyNumberFormat="1" applyFont="1"/>
    <xf numFmtId="168" fontId="8" fillId="0" borderId="0" xfId="1" applyFont="1" applyFill="1"/>
    <xf numFmtId="0" fontId="8" fillId="0" borderId="0" xfId="0" applyFont="1" applyAlignment="1">
      <alignment horizontal="left" vertical="center"/>
    </xf>
    <xf numFmtId="183" fontId="8" fillId="0" borderId="0" xfId="0" applyNumberFormat="1" applyFont="1" applyAlignment="1">
      <alignment horizontal="right" vertical="center"/>
    </xf>
    <xf numFmtId="184" fontId="8" fillId="0" borderId="0" xfId="0" applyNumberFormat="1" applyFont="1" applyAlignment="1">
      <alignment horizontal="right" vertical="center"/>
    </xf>
    <xf numFmtId="0" fontId="8" fillId="0" borderId="0" xfId="0" applyFont="1" applyAlignment="1">
      <alignment horizontal="right" vertical="center"/>
    </xf>
    <xf numFmtId="168" fontId="8" fillId="0" borderId="0" xfId="1" applyFont="1" applyFill="1" applyAlignment="1">
      <alignment vertical="center"/>
    </xf>
    <xf numFmtId="17" fontId="8" fillId="0" borderId="0" xfId="0" applyNumberFormat="1" applyFont="1" applyAlignment="1">
      <alignment horizontal="left" vertical="center"/>
    </xf>
    <xf numFmtId="17" fontId="8" fillId="0" borderId="0" xfId="0" applyNumberFormat="1" applyFont="1" applyAlignment="1">
      <alignment horizontal="right" vertical="center"/>
    </xf>
    <xf numFmtId="168" fontId="8" fillId="0" borderId="0" xfId="1" applyFont="1" applyFill="1" applyAlignment="1">
      <alignment horizontal="right" vertical="center"/>
    </xf>
    <xf numFmtId="168" fontId="8" fillId="0" borderId="0" xfId="1" applyFont="1" applyFill="1" applyAlignment="1">
      <alignment horizontal="left" vertical="center"/>
    </xf>
    <xf numFmtId="183" fontId="30" fillId="0" borderId="0" xfId="0" quotePrefix="1" applyNumberFormat="1" applyFont="1" applyAlignment="1">
      <alignment vertical="center"/>
    </xf>
    <xf numFmtId="184" fontId="30" fillId="0" borderId="0" xfId="0" applyNumberFormat="1" applyFont="1" applyAlignment="1">
      <alignment vertical="center" wrapText="1"/>
    </xf>
    <xf numFmtId="168" fontId="8" fillId="0" borderId="0" xfId="1" applyFont="1" applyFill="1" applyBorder="1"/>
    <xf numFmtId="186" fontId="30" fillId="0" borderId="0" xfId="0" applyNumberFormat="1" applyFont="1" applyAlignment="1">
      <alignment vertical="center"/>
    </xf>
    <xf numFmtId="166" fontId="8" fillId="0" borderId="0" xfId="47" applyFont="1" applyFill="1" applyBorder="1"/>
    <xf numFmtId="168" fontId="30" fillId="0" borderId="0" xfId="1" applyFont="1" applyAlignment="1">
      <alignment horizontal="center" vertical="center"/>
    </xf>
    <xf numFmtId="184" fontId="30" fillId="0" borderId="0" xfId="0" applyNumberFormat="1" applyFont="1" applyAlignment="1">
      <alignment horizontal="left" vertical="center" wrapText="1"/>
    </xf>
    <xf numFmtId="0" fontId="30" fillId="0" borderId="0" xfId="0" applyFont="1"/>
    <xf numFmtId="0" fontId="8" fillId="0" borderId="45" xfId="0" applyFont="1" applyBorder="1" applyAlignment="1">
      <alignment vertical="center"/>
    </xf>
    <xf numFmtId="184" fontId="30" fillId="0" borderId="0" xfId="0" applyNumberFormat="1" applyFont="1" applyAlignment="1">
      <alignment horizontal="center" vertical="center"/>
    </xf>
    <xf numFmtId="0" fontId="39" fillId="15" borderId="39" xfId="0" applyFont="1" applyFill="1" applyBorder="1" applyAlignment="1">
      <alignment horizontal="center" vertical="top" wrapText="1"/>
    </xf>
    <xf numFmtId="0" fontId="39" fillId="14" borderId="39" xfId="0" applyFont="1" applyFill="1" applyBorder="1" applyAlignment="1">
      <alignment horizontal="center" vertical="top" wrapText="1"/>
    </xf>
    <xf numFmtId="0" fontId="39" fillId="14" borderId="39" xfId="0" applyFont="1" applyFill="1" applyBorder="1" applyAlignment="1">
      <alignment horizontal="center" vertical="center" wrapText="1"/>
    </xf>
    <xf numFmtId="0" fontId="39" fillId="16" borderId="39" xfId="0" applyFont="1" applyFill="1" applyBorder="1" applyAlignment="1">
      <alignment horizontal="left" vertical="top" wrapText="1"/>
    </xf>
    <xf numFmtId="182" fontId="39" fillId="16" borderId="39" xfId="0" applyNumberFormat="1" applyFont="1" applyFill="1" applyBorder="1" applyAlignment="1">
      <alignment horizontal="center" vertical="top" wrapText="1"/>
    </xf>
    <xf numFmtId="0" fontId="39" fillId="16" borderId="39" xfId="0" applyFont="1" applyFill="1" applyBorder="1" applyAlignment="1">
      <alignment horizontal="center" vertical="top" wrapText="1"/>
    </xf>
    <xf numFmtId="182" fontId="39" fillId="16" borderId="0" xfId="0" applyNumberFormat="1" applyFont="1" applyFill="1" applyAlignment="1">
      <alignment horizontal="center" vertical="top" wrapText="1"/>
    </xf>
    <xf numFmtId="167" fontId="7" fillId="0" borderId="0" xfId="0" applyNumberFormat="1" applyFont="1" applyAlignment="1">
      <alignment vertical="center" wrapText="1"/>
    </xf>
    <xf numFmtId="0" fontId="30" fillId="0" borderId="0" xfId="0" quotePrefix="1" applyFont="1" applyAlignment="1">
      <alignment vertical="center"/>
    </xf>
    <xf numFmtId="168" fontId="0" fillId="0" borderId="0" xfId="0" applyNumberFormat="1"/>
    <xf numFmtId="167" fontId="5" fillId="2" borderId="62" xfId="72" applyFont="1" applyFill="1" applyBorder="1" applyAlignment="1">
      <alignment wrapText="1"/>
    </xf>
    <xf numFmtId="9" fontId="5" fillId="2" borderId="21" xfId="0" applyNumberFormat="1" applyFont="1" applyFill="1" applyBorder="1" applyAlignment="1">
      <alignment horizontal="center" vertical="center" wrapText="1"/>
    </xf>
    <xf numFmtId="167" fontId="3" fillId="2" borderId="23" xfId="0" applyNumberFormat="1" applyFont="1" applyFill="1" applyBorder="1"/>
    <xf numFmtId="167" fontId="5" fillId="2" borderId="48" xfId="0" applyNumberFormat="1" applyFont="1" applyFill="1" applyBorder="1" applyAlignment="1">
      <alignment wrapText="1"/>
    </xf>
    <xf numFmtId="167" fontId="5" fillId="2" borderId="21" xfId="72" applyFont="1" applyFill="1" applyBorder="1" applyAlignment="1">
      <alignment wrapText="1"/>
    </xf>
    <xf numFmtId="168" fontId="11" fillId="0" borderId="28" xfId="0" applyNumberFormat="1" applyFont="1" applyBorder="1" applyAlignment="1">
      <alignment wrapText="1"/>
    </xf>
    <xf numFmtId="9" fontId="11" fillId="0" borderId="28" xfId="2" applyFont="1" applyBorder="1" applyAlignment="1">
      <alignment wrapText="1"/>
    </xf>
    <xf numFmtId="168" fontId="11" fillId="0" borderId="0" xfId="0" applyNumberFormat="1" applyFont="1" applyAlignment="1">
      <alignment wrapText="1"/>
    </xf>
    <xf numFmtId="168" fontId="11" fillId="3" borderId="0" xfId="0" applyNumberFormat="1" applyFont="1" applyFill="1" applyAlignment="1">
      <alignment wrapText="1"/>
    </xf>
    <xf numFmtId="9" fontId="11" fillId="0" borderId="0" xfId="0" applyNumberFormat="1" applyFont="1" applyAlignment="1">
      <alignment wrapText="1"/>
    </xf>
    <xf numFmtId="0" fontId="0" fillId="0" borderId="3" xfId="0" pivotButton="1" applyBorder="1"/>
    <xf numFmtId="0" fontId="0" fillId="0" borderId="3" xfId="0" applyBorder="1" applyAlignment="1">
      <alignment horizontal="left"/>
    </xf>
    <xf numFmtId="168" fontId="0" fillId="0" borderId="3" xfId="0" applyNumberFormat="1" applyBorder="1"/>
    <xf numFmtId="168" fontId="0" fillId="0" borderId="3" xfId="1" applyFont="1" applyBorder="1"/>
    <xf numFmtId="17" fontId="8" fillId="0" borderId="0" xfId="0" applyNumberFormat="1" applyFont="1"/>
    <xf numFmtId="168" fontId="40" fillId="0" borderId="0" xfId="0" applyNumberFormat="1" applyFont="1"/>
    <xf numFmtId="14" fontId="0" fillId="0" borderId="0" xfId="0" applyNumberFormat="1"/>
    <xf numFmtId="168" fontId="41" fillId="0" borderId="4" xfId="1" applyFont="1" applyFill="1" applyBorder="1" applyAlignment="1">
      <alignment wrapText="1"/>
    </xf>
    <xf numFmtId="168" fontId="42" fillId="0" borderId="4" xfId="1" applyFont="1" applyFill="1" applyBorder="1" applyAlignment="1">
      <alignment vertical="center" wrapText="1"/>
    </xf>
    <xf numFmtId="9" fontId="11" fillId="0" borderId="0" xfId="2" applyFont="1" applyAlignment="1">
      <alignment wrapText="1"/>
    </xf>
    <xf numFmtId="4" fontId="41" fillId="0" borderId="4" xfId="0" applyNumberFormat="1" applyFont="1" applyBorder="1" applyAlignment="1">
      <alignment wrapText="1"/>
    </xf>
    <xf numFmtId="168" fontId="41" fillId="0" borderId="4" xfId="0" applyNumberFormat="1" applyFont="1" applyBorder="1" applyAlignment="1">
      <alignment wrapText="1"/>
    </xf>
    <xf numFmtId="168" fontId="41" fillId="0" borderId="4" xfId="1" applyFont="1" applyBorder="1" applyAlignment="1">
      <alignment wrapText="1"/>
    </xf>
    <xf numFmtId="3" fontId="41" fillId="0" borderId="4" xfId="0" applyNumberFormat="1" applyFont="1" applyBorder="1" applyAlignment="1">
      <alignment wrapText="1"/>
    </xf>
    <xf numFmtId="168" fontId="41" fillId="3" borderId="4" xfId="1" applyFont="1" applyFill="1" applyBorder="1" applyAlignment="1">
      <alignment wrapText="1"/>
    </xf>
    <xf numFmtId="187" fontId="11" fillId="0" borderId="0" xfId="1" applyNumberFormat="1" applyFont="1" applyAlignment="1">
      <alignment wrapText="1"/>
    </xf>
    <xf numFmtId="187" fontId="30" fillId="0" borderId="0" xfId="1" applyNumberFormat="1" applyFont="1" applyFill="1" applyAlignment="1">
      <alignment vertical="center"/>
    </xf>
    <xf numFmtId="180" fontId="8" fillId="0" borderId="0" xfId="0" applyNumberFormat="1" applyFont="1"/>
    <xf numFmtId="166" fontId="30" fillId="0" borderId="0" xfId="47" applyFont="1" applyFill="1" applyAlignment="1">
      <alignment vertical="center"/>
    </xf>
    <xf numFmtId="0" fontId="43" fillId="0" borderId="0" xfId="0" applyFont="1" applyAlignment="1">
      <alignment horizontal="left" vertical="center"/>
    </xf>
    <xf numFmtId="183" fontId="43" fillId="0" borderId="0" xfId="0" applyNumberFormat="1" applyFont="1" applyAlignment="1">
      <alignment horizontal="center" vertical="center"/>
    </xf>
    <xf numFmtId="184" fontId="43" fillId="0" borderId="0" xfId="0" applyNumberFormat="1" applyFont="1" applyAlignment="1">
      <alignment horizontal="right" vertical="center"/>
    </xf>
    <xf numFmtId="0" fontId="43" fillId="0" borderId="0" xfId="0" applyFont="1" applyAlignment="1">
      <alignment horizontal="right" vertical="center"/>
    </xf>
    <xf numFmtId="184" fontId="43" fillId="0" borderId="0" xfId="0" applyNumberFormat="1" applyFont="1" applyAlignment="1">
      <alignment vertical="center"/>
    </xf>
    <xf numFmtId="0" fontId="43" fillId="0" borderId="0" xfId="0" applyFont="1" applyAlignment="1">
      <alignment vertical="center"/>
    </xf>
    <xf numFmtId="168" fontId="43" fillId="0" borderId="0" xfId="1" applyFont="1" applyFill="1" applyAlignment="1">
      <alignment vertical="center"/>
    </xf>
    <xf numFmtId="0" fontId="15" fillId="0" borderId="0" xfId="0" applyFont="1" applyAlignment="1">
      <alignment horizontal="center"/>
    </xf>
    <xf numFmtId="168" fontId="8" fillId="0" borderId="0" xfId="0" applyNumberFormat="1" applyFont="1"/>
    <xf numFmtId="9" fontId="3" fillId="0" borderId="0" xfId="2" applyFont="1"/>
    <xf numFmtId="168" fontId="3" fillId="0" borderId="3" xfId="1" applyFont="1" applyBorder="1"/>
    <xf numFmtId="9" fontId="3" fillId="0" borderId="3" xfId="2" applyFont="1" applyBorder="1"/>
    <xf numFmtId="167" fontId="17" fillId="0" borderId="0" xfId="0" applyNumberFormat="1" applyFont="1" applyAlignment="1">
      <alignment horizontal="right" vertical="center" wrapText="1"/>
    </xf>
    <xf numFmtId="167" fontId="11" fillId="0" borderId="0" xfId="0" applyNumberFormat="1" applyFont="1" applyAlignment="1">
      <alignment horizontal="right" vertical="center"/>
    </xf>
    <xf numFmtId="49" fontId="5" fillId="3" borderId="70" xfId="0" applyNumberFormat="1" applyFont="1" applyFill="1" applyBorder="1" applyAlignment="1" applyProtection="1">
      <alignment horizontal="left" vertical="center" wrapText="1"/>
      <protection locked="0"/>
    </xf>
    <xf numFmtId="49"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17" fillId="3" borderId="2"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left" vertical="center" wrapText="1"/>
      <protection locked="0"/>
    </xf>
    <xf numFmtId="0" fontId="17" fillId="3" borderId="4" xfId="0" applyFont="1" applyFill="1" applyBorder="1" applyAlignment="1" applyProtection="1">
      <alignment horizontal="left" vertical="center" wrapText="1"/>
      <protection locked="0"/>
    </xf>
    <xf numFmtId="0" fontId="0" fillId="5" borderId="37" xfId="0" applyFill="1" applyBorder="1" applyAlignment="1">
      <alignment horizontal="center" vertical="center" wrapText="1"/>
    </xf>
    <xf numFmtId="0" fontId="0" fillId="5" borderId="36" xfId="0"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22" fillId="2" borderId="5"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5"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17" fillId="3" borderId="2" xfId="0" applyFont="1" applyFill="1" applyBorder="1" applyAlignment="1" applyProtection="1">
      <alignment horizontal="left" vertical="top" wrapText="1"/>
      <protection locked="0"/>
    </xf>
    <xf numFmtId="0" fontId="17" fillId="3" borderId="3" xfId="0" applyFont="1" applyFill="1" applyBorder="1" applyAlignment="1" applyProtection="1">
      <alignment horizontal="left" vertical="top" wrapText="1"/>
      <protection locked="0"/>
    </xf>
    <xf numFmtId="0" fontId="17" fillId="3" borderId="4" xfId="0" applyFont="1" applyFill="1" applyBorder="1" applyAlignment="1" applyProtection="1">
      <alignment horizontal="left" vertical="top" wrapText="1"/>
      <protection locked="0"/>
    </xf>
    <xf numFmtId="0" fontId="4" fillId="3" borderId="3" xfId="0" applyFont="1" applyFill="1" applyBorder="1" applyAlignment="1" applyProtection="1">
      <alignment horizontal="left" vertical="top" wrapText="1"/>
      <protection locked="0"/>
    </xf>
    <xf numFmtId="167" fontId="4" fillId="3" borderId="3" xfId="3" applyFont="1" applyFill="1" applyBorder="1" applyAlignment="1" applyProtection="1">
      <alignment horizontal="left" vertical="top" wrapText="1"/>
      <protection locked="0"/>
    </xf>
    <xf numFmtId="0" fontId="4" fillId="3" borderId="2" xfId="0" applyFont="1" applyFill="1" applyBorder="1" applyAlignment="1" applyProtection="1">
      <alignment horizontal="left" vertical="top" wrapText="1"/>
      <protection locked="0"/>
    </xf>
    <xf numFmtId="0" fontId="5" fillId="3" borderId="3" xfId="0" applyFont="1" applyFill="1" applyBorder="1" applyAlignment="1" applyProtection="1">
      <alignment horizontal="left" vertical="center" wrapText="1"/>
      <protection locked="0"/>
    </xf>
    <xf numFmtId="167" fontId="5" fillId="3" borderId="3" xfId="3" applyFont="1" applyFill="1" applyBorder="1" applyAlignment="1" applyProtection="1">
      <alignment horizontal="left" vertical="center" wrapText="1"/>
      <protection locked="0"/>
    </xf>
    <xf numFmtId="0" fontId="5" fillId="3" borderId="2"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left" vertical="center" wrapText="1"/>
      <protection locked="0"/>
    </xf>
    <xf numFmtId="0" fontId="23" fillId="0" borderId="0" xfId="0" applyFont="1" applyAlignment="1">
      <alignment horizontal="center" vertical="top" wrapText="1"/>
    </xf>
    <xf numFmtId="0" fontId="4" fillId="2" borderId="16" xfId="0" applyFont="1" applyFill="1" applyBorder="1" applyAlignment="1">
      <alignment horizontal="center" vertical="center" wrapText="1"/>
    </xf>
    <xf numFmtId="0" fontId="4" fillId="2" borderId="11" xfId="0" applyFont="1" applyFill="1" applyBorder="1" applyAlignment="1">
      <alignment horizontal="center" vertical="center" wrapText="1"/>
    </xf>
    <xf numFmtId="167" fontId="22" fillId="2" borderId="46" xfId="3" applyFont="1" applyFill="1" applyBorder="1" applyAlignment="1" applyProtection="1">
      <alignment horizontal="center" vertical="center" wrapText="1"/>
      <protection locked="0"/>
    </xf>
    <xf numFmtId="167" fontId="22" fillId="2" borderId="48" xfId="3" applyFont="1" applyFill="1" applyBorder="1" applyAlignment="1" applyProtection="1">
      <alignment horizontal="center" vertical="center" wrapText="1"/>
      <protection locked="0"/>
    </xf>
    <xf numFmtId="167" fontId="22" fillId="2" borderId="8" xfId="3" applyFont="1" applyFill="1" applyBorder="1" applyAlignment="1" applyProtection="1">
      <alignment horizontal="center" vertical="center" wrapText="1"/>
    </xf>
    <xf numFmtId="167" fontId="22" fillId="2" borderId="10" xfId="3" applyFont="1" applyFill="1" applyBorder="1" applyAlignment="1" applyProtection="1">
      <alignment horizontal="center" vertical="center" wrapText="1"/>
    </xf>
    <xf numFmtId="167" fontId="5" fillId="2" borderId="3" xfId="3" applyFont="1" applyFill="1" applyBorder="1" applyAlignment="1" applyProtection="1">
      <alignment horizontal="center" vertical="center" wrapText="1"/>
      <protection locked="0"/>
    </xf>
    <xf numFmtId="0" fontId="5" fillId="3" borderId="2" xfId="0" applyFont="1" applyFill="1" applyBorder="1" applyAlignment="1" applyProtection="1">
      <alignment horizontal="left" vertical="top" wrapText="1"/>
      <protection locked="0"/>
    </xf>
    <xf numFmtId="0" fontId="5" fillId="3" borderId="3" xfId="0" applyFont="1" applyFill="1" applyBorder="1" applyAlignment="1" applyProtection="1">
      <alignment horizontal="left" vertical="top" wrapText="1"/>
      <protection locked="0"/>
    </xf>
    <xf numFmtId="167" fontId="5" fillId="3" borderId="3" xfId="3" applyFont="1" applyFill="1" applyBorder="1" applyAlignment="1" applyProtection="1">
      <alignment horizontal="left" vertical="top" wrapText="1"/>
      <protection locked="0"/>
    </xf>
    <xf numFmtId="0" fontId="5" fillId="4" borderId="12" xfId="0" applyFont="1" applyFill="1" applyBorder="1" applyAlignment="1">
      <alignment horizontal="center" vertical="center" wrapText="1"/>
    </xf>
    <xf numFmtId="0" fontId="5" fillId="4" borderId="69" xfId="0" applyFont="1" applyFill="1" applyBorder="1" applyAlignment="1">
      <alignment horizontal="center" vertical="center" wrapText="1"/>
    </xf>
    <xf numFmtId="0" fontId="10" fillId="0" borderId="12" xfId="0" applyFont="1" applyBorder="1" applyAlignment="1">
      <alignment horizontal="left" wrapText="1"/>
    </xf>
    <xf numFmtId="0" fontId="17" fillId="2" borderId="3" xfId="0" applyFont="1" applyFill="1" applyBorder="1" applyAlignment="1">
      <alignment horizontal="left" wrapText="1"/>
    </xf>
    <xf numFmtId="0" fontId="17" fillId="2" borderId="4" xfId="0" applyFont="1" applyFill="1" applyBorder="1" applyAlignment="1">
      <alignment horizontal="left"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2" borderId="63" xfId="0" applyFont="1" applyFill="1" applyBorder="1" applyAlignment="1">
      <alignment horizontal="center" vertical="center" wrapText="1"/>
    </xf>
    <xf numFmtId="0" fontId="17" fillId="2" borderId="67" xfId="0" applyFont="1" applyFill="1" applyBorder="1" applyAlignment="1">
      <alignment horizontal="center" vertical="center" wrapText="1"/>
    </xf>
    <xf numFmtId="0" fontId="17" fillId="2" borderId="59" xfId="0" applyFont="1" applyFill="1" applyBorder="1" applyAlignment="1">
      <alignment horizontal="left" wrapText="1"/>
    </xf>
    <xf numFmtId="0" fontId="17" fillId="2" borderId="60" xfId="0" applyFont="1" applyFill="1" applyBorder="1" applyAlignment="1">
      <alignment horizontal="left" wrapText="1"/>
    </xf>
    <xf numFmtId="0" fontId="17" fillId="2" borderId="1" xfId="0" applyFont="1" applyFill="1" applyBorder="1" applyAlignment="1">
      <alignment horizontal="left" wrapText="1"/>
    </xf>
    <xf numFmtId="0" fontId="17" fillId="2" borderId="24" xfId="0" applyFont="1" applyFill="1" applyBorder="1" applyAlignment="1">
      <alignment horizontal="center" wrapText="1"/>
    </xf>
    <xf numFmtId="0" fontId="17" fillId="2" borderId="25" xfId="0" applyFont="1" applyFill="1" applyBorder="1" applyAlignment="1">
      <alignment horizontal="center" wrapText="1"/>
    </xf>
    <xf numFmtId="0" fontId="17" fillId="2" borderId="54" xfId="0" applyFont="1" applyFill="1" applyBorder="1" applyAlignment="1">
      <alignment horizontal="center" wrapText="1"/>
    </xf>
    <xf numFmtId="0" fontId="17" fillId="2" borderId="3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2" xfId="0" applyFont="1" applyFill="1" applyBorder="1" applyAlignment="1">
      <alignment horizontal="left" wrapText="1"/>
    </xf>
    <xf numFmtId="0" fontId="17" fillId="2" borderId="35" xfId="0" applyFont="1" applyFill="1" applyBorder="1" applyAlignment="1">
      <alignment horizontal="left" wrapText="1"/>
    </xf>
    <xf numFmtId="0" fontId="17" fillId="2" borderId="9" xfId="0" applyFont="1" applyFill="1" applyBorder="1" applyAlignment="1">
      <alignment horizontal="left" wrapText="1"/>
    </xf>
    <xf numFmtId="0" fontId="17" fillId="2" borderId="12" xfId="0" applyFont="1" applyFill="1" applyBorder="1" applyAlignment="1">
      <alignment horizontal="left" wrapText="1"/>
    </xf>
    <xf numFmtId="0" fontId="33" fillId="0" borderId="0" xfId="0" applyFont="1" applyAlignment="1">
      <alignment horizontal="left" vertical="top" wrapText="1"/>
    </xf>
    <xf numFmtId="0" fontId="36" fillId="0" borderId="12" xfId="0" applyFont="1" applyBorder="1" applyAlignment="1">
      <alignment horizontal="left" wrapText="1"/>
    </xf>
    <xf numFmtId="0" fontId="5" fillId="9" borderId="53"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54" xfId="0" applyFont="1" applyFill="1" applyBorder="1" applyAlignment="1">
      <alignment horizontal="center" vertical="center"/>
    </xf>
    <xf numFmtId="0" fontId="5" fillId="9" borderId="50" xfId="0" applyFont="1" applyFill="1" applyBorder="1" applyAlignment="1">
      <alignment horizontal="center" vertical="center"/>
    </xf>
    <xf numFmtId="0" fontId="5" fillId="9" borderId="40" xfId="0" applyFont="1" applyFill="1" applyBorder="1" applyAlignment="1">
      <alignment horizontal="center" vertical="center"/>
    </xf>
    <xf numFmtId="0" fontId="5" fillId="9" borderId="56" xfId="0" applyFont="1" applyFill="1" applyBorder="1" applyAlignment="1">
      <alignment horizontal="center" vertical="center"/>
    </xf>
    <xf numFmtId="0" fontId="5" fillId="2" borderId="24" xfId="0" applyFont="1" applyFill="1" applyBorder="1" applyAlignment="1">
      <alignment horizontal="center" wrapText="1"/>
    </xf>
    <xf numFmtId="0" fontId="5" fillId="2" borderId="26" xfId="0" applyFont="1" applyFill="1" applyBorder="1" applyAlignment="1">
      <alignment horizontal="center" wrapText="1"/>
    </xf>
    <xf numFmtId="0" fontId="5" fillId="2" borderId="41"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11" borderId="4" xfId="0" applyFont="1" applyFill="1" applyBorder="1" applyAlignment="1">
      <alignment horizontal="left" wrapText="1"/>
    </xf>
    <xf numFmtId="0" fontId="3" fillId="11" borderId="1" xfId="0" applyFont="1" applyFill="1" applyBorder="1" applyAlignment="1">
      <alignment horizontal="left" wrapText="1"/>
    </xf>
    <xf numFmtId="0" fontId="3" fillId="11" borderId="4" xfId="0" applyFont="1" applyFill="1" applyBorder="1" applyAlignment="1">
      <alignment horizontal="left"/>
    </xf>
    <xf numFmtId="0" fontId="3" fillId="11" borderId="1" xfId="0" applyFont="1" applyFill="1" applyBorder="1" applyAlignment="1">
      <alignment horizontal="left"/>
    </xf>
    <xf numFmtId="0" fontId="0" fillId="11" borderId="4" xfId="0" applyFill="1" applyBorder="1" applyAlignment="1">
      <alignment horizontal="left" wrapText="1"/>
    </xf>
    <xf numFmtId="0" fontId="0" fillId="11" borderId="1" xfId="0" applyFill="1" applyBorder="1" applyAlignment="1">
      <alignment horizontal="left" wrapText="1"/>
    </xf>
  </cellXfs>
  <cellStyles count="73">
    <cellStyle name="Comma [0] 2" xfId="47" xr:uid="{3246C82A-0DAA-4583-A5C0-5632FB2C5F8E}"/>
    <cellStyle name="Comma [0] 3" xfId="55" xr:uid="{31DF4C40-500D-4A82-9FC5-01B04AA2D9ED}"/>
    <cellStyle name="Comma [0] 4" xfId="9" xr:uid="{C0F37D29-90D5-4FEA-9BBE-DE591C046715}"/>
    <cellStyle name="Comma [0] 5" xfId="59" xr:uid="{EED181C9-227F-4863-AF8C-B5FAF1775A2F}"/>
    <cellStyle name="Comma 10" xfId="45" xr:uid="{19919FF1-0D4F-4F11-AA92-97217CDD8289}"/>
    <cellStyle name="Comma 10 2" xfId="54" xr:uid="{9B49A4E1-E812-4193-A106-FAB680400E02}"/>
    <cellStyle name="Comma 11" xfId="67" xr:uid="{4519EC06-E119-408D-9DA4-1887032F8A63}"/>
    <cellStyle name="Comma 12" xfId="69" xr:uid="{2C101500-31D0-41FE-8BEE-2D5176CC9020}"/>
    <cellStyle name="Comma 13" xfId="44" xr:uid="{12F743ED-A083-4761-AD29-239AA50E2034}"/>
    <cellStyle name="Comma 14" xfId="71" xr:uid="{61392F98-C424-4072-97D2-E4A7EE689B34}"/>
    <cellStyle name="Comma 2" xfId="11" xr:uid="{8281FCEB-C5DC-4528-B34D-326CFDB95090}"/>
    <cellStyle name="Comma 2 2" xfId="31" xr:uid="{C9722645-DDED-4B2B-973F-47371F87F2B2}"/>
    <cellStyle name="Comma 2 3" xfId="24" xr:uid="{9F7B5B0A-9BAB-4E30-8E6D-023F9A54F861}"/>
    <cellStyle name="Comma 2 4" xfId="48" xr:uid="{0B8C4C28-3BA2-49C2-9A4C-56BCD9137710}"/>
    <cellStyle name="Comma 3" xfId="7" xr:uid="{827225C2-2CB7-42B1-9852-1C1406ED0515}"/>
    <cellStyle name="Comma 4" xfId="15" xr:uid="{E1218D52-5B60-470A-ABDC-21ACC4F133E6}"/>
    <cellStyle name="Comma 5" xfId="4" xr:uid="{B43F2870-7D7B-49CB-84B8-C9BD2693A4A6}"/>
    <cellStyle name="Comma 6" xfId="58" xr:uid="{F7D97DAF-B342-41EC-8505-89ADD61A04D3}"/>
    <cellStyle name="Comma 7" xfId="57" xr:uid="{34C80C58-4F79-44B3-A252-0AE0E0811DDD}"/>
    <cellStyle name="Comma 8" xfId="62" xr:uid="{6AD8831C-2A9A-4037-AB52-2F8D1BFF4A44}"/>
    <cellStyle name="Comma 9" xfId="65" xr:uid="{8C42F1E5-9F8E-4583-8039-6CEC282FD779}"/>
    <cellStyle name="Currency [0] 2" xfId="10" xr:uid="{45A6B48C-C4D6-4FC7-AD28-BC6668EFE409}"/>
    <cellStyle name="Currency 2" xfId="3" xr:uid="{870DAFE6-AD19-4A5F-97E3-F431A2A875EE}"/>
    <cellStyle name="Currency 3" xfId="60" xr:uid="{D7DC8082-6A44-4D38-A05F-F58F3259B334}"/>
    <cellStyle name="Currency 4" xfId="63" xr:uid="{8EB6DE8E-6F79-4CA5-95FF-4F2E7EA79AD6}"/>
    <cellStyle name="Currency 5" xfId="61" xr:uid="{4CD41219-37BC-4ACC-ABD5-3C1C014C4CC7}"/>
    <cellStyle name="Currency 6" xfId="64" xr:uid="{F2FBDBE8-8EC0-4D17-8402-DC1FD324A7D4}"/>
    <cellStyle name="Currency 7" xfId="66" xr:uid="{E9855B02-BFD6-42A8-B946-0E1623FFEBE7}"/>
    <cellStyle name="Currency 8" xfId="68" xr:uid="{861E6E61-FBBC-4C32-9F82-8A6193F7CEF3}"/>
    <cellStyle name="Currency 9" xfId="70" xr:uid="{EA4C578E-75B0-413B-9438-B258A53BB3F9}"/>
    <cellStyle name="Millares 11" xfId="32" xr:uid="{F235C819-AADE-4A90-A28D-2E14AEBE76BD}"/>
    <cellStyle name="Millares 13" xfId="17" xr:uid="{479C6758-ACE7-410D-BA95-C435215456D3}"/>
    <cellStyle name="Millares 13 2" xfId="25" xr:uid="{B8C70B81-111D-4C90-8CED-54F448AB5DB4}"/>
    <cellStyle name="Millares 13 2 2" xfId="49" xr:uid="{9AE395A6-B127-4DCD-AC3E-0168A2EC44D4}"/>
    <cellStyle name="Millares 2" xfId="12" xr:uid="{02F77E2F-F5CA-499D-96F7-7BFFE2E86772}"/>
    <cellStyle name="Millares 2 2" xfId="21" xr:uid="{0A17A90C-0997-4E8E-BA59-E3A6FE12392C}"/>
    <cellStyle name="Millares 2 3" xfId="43" xr:uid="{6A014D98-2723-4053-B8DB-DF813075065F}"/>
    <cellStyle name="Millares 2 9" xfId="33" xr:uid="{96BF95AF-9A16-4416-9EDC-95781E69EE24}"/>
    <cellStyle name="Millares 3" xfId="18" xr:uid="{D2EE5A5C-6B73-45E5-8147-907B7051470C}"/>
    <cellStyle name="Millares 3 2" xfId="30" xr:uid="{45F81AF9-E80A-46E3-9CCA-1C471677E9D4}"/>
    <cellStyle name="Millares 3 2 2" xfId="42" xr:uid="{398DD753-2900-4501-A41C-164A4297388C}"/>
    <cellStyle name="Millares 3 2 2 2" xfId="53" xr:uid="{5CACF061-69A5-4436-B4BC-4C9C95E4AAD7}"/>
    <cellStyle name="Millares 3 2 3" xfId="46" xr:uid="{9CD375DC-65EF-4A0F-8399-F56D8E38A40E}"/>
    <cellStyle name="Millares 3 3" xfId="26" xr:uid="{FCE18BF1-4DD2-45CB-82FC-2EB7E11B9B11}"/>
    <cellStyle name="Millares 3 3 2" xfId="50" xr:uid="{5704F4A0-C423-457C-A3F6-161873D78C73}"/>
    <cellStyle name="Millares 4" xfId="22" xr:uid="{854E3E99-C8E5-4F20-B587-2AE6B443B7C2}"/>
    <cellStyle name="Millares 4 2" xfId="34" xr:uid="{EC005BF7-7E4D-4F28-B6B1-45C9A587AF5E}"/>
    <cellStyle name="Millares 4 2 2" xfId="52" xr:uid="{82D9401C-3242-4763-8261-B6AE1790EAE9}"/>
    <cellStyle name="Millares 4 3" xfId="27" xr:uid="{A873F89C-14B0-468D-9828-616F883DAD0F}"/>
    <cellStyle name="Millares 4 3 2" xfId="51" xr:uid="{22D980D1-DF8F-483F-BE40-F670EDE897FE}"/>
    <cellStyle name="Millares 5" xfId="29" xr:uid="{9BB43EAC-EB15-4EA8-8EE8-40E6409131BB}"/>
    <cellStyle name="Millares 6" xfId="35" xr:uid="{C6BD7D17-86C3-4579-9C02-BC67D6B834AC}"/>
    <cellStyle name="Millares 9" xfId="36" xr:uid="{7349286F-D8DF-4350-BADB-8CFCFD6A2AF5}"/>
    <cellStyle name="Milliers" xfId="1" builtinId="3"/>
    <cellStyle name="Moneda 10" xfId="56" xr:uid="{1FCF2018-E3DD-4200-B306-7FCE67749493}"/>
    <cellStyle name="Moneda 2" xfId="13" xr:uid="{70B084A8-45D4-41DF-BEFB-A1BB7CB34D95}"/>
    <cellStyle name="Monétaire" xfId="72" builtinId="4"/>
    <cellStyle name="Normal" xfId="0" builtinId="0"/>
    <cellStyle name="Normal 10" xfId="37" xr:uid="{D5EEE3BF-EC2C-4128-8F9E-2954743B9021}"/>
    <cellStyle name="Normal 10 4" xfId="19" xr:uid="{51CBA72D-B9C4-4E22-B59D-2D20A79312C1}"/>
    <cellStyle name="Normal 2" xfId="16" xr:uid="{91C853B4-ECAA-4DD6-B77B-35D61D5885AC}"/>
    <cellStyle name="Normal 2 2" xfId="38" xr:uid="{AEBEC565-0121-4956-A02B-77B3B2D3636F}"/>
    <cellStyle name="Normal 2 2 2" xfId="8" xr:uid="{5092800F-5A90-4FEF-8B56-565B51D900AF}"/>
    <cellStyle name="Normal 2 3" xfId="20" xr:uid="{3D2660C0-10FF-4E03-8EEB-E2B3F8429D23}"/>
    <cellStyle name="Normal 25" xfId="39" xr:uid="{ABF57016-38C2-4345-8099-F71BB0389956}"/>
    <cellStyle name="Normal 3" xfId="28" xr:uid="{7CC16274-2AB8-49CB-90C3-4495CCF951FB}"/>
    <cellStyle name="Normal 3 2" xfId="23" xr:uid="{68C6A192-5544-4909-94D4-775566CB1F9C}"/>
    <cellStyle name="Normal 35" xfId="6" xr:uid="{50A8AE9D-72C8-435E-A7E4-8714D0FB9F62}"/>
    <cellStyle name="Normal 4" xfId="40" xr:uid="{F77221E8-A59A-4721-9564-1A0DD03BA136}"/>
    <cellStyle name="Normal 40" xfId="41" xr:uid="{99350CC3-90CD-4B1D-B63E-9B7355262AD1}"/>
    <cellStyle name="Normal 92" xfId="14" xr:uid="{D0FA2B81-ECE9-4B97-9DDB-A0D8C0B42839}"/>
    <cellStyle name="Pourcentage" xfId="2" builtinId="5"/>
    <cellStyle name="Sub Heading" xfId="5" xr:uid="{6D80C7B9-AAC2-4608-AC58-4DA647A742DC}"/>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8" formatCode="_(* #,##0.00_);_(* \(#,##0.00\);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88" formatCode="m/d/yyyy"/>
    </dxf>
    <dxf>
      <border>
        <left style="thin">
          <color rgb="FFFF0000"/>
        </left>
        <right style="thin">
          <color rgb="FFFF0000"/>
        </right>
        <top style="thin">
          <color rgb="FFFF0000"/>
        </top>
        <bottom style="thin">
          <color rgb="FFFF0000"/>
        </bottom>
        <vertical style="thin">
          <color rgb="FFFF0000"/>
        </vertical>
        <horizontal style="thin">
          <color rgb="FFFF0000"/>
        </horizontal>
      </border>
    </dxf>
  </dxfs>
  <tableStyles count="2" defaultTableStyle="TableStyleMedium2" defaultPivotStyle="PivotStyleLight16">
    <tableStyle name="Table Style 1" pivot="0" count="0" xr9:uid="{13440B8A-C943-453B-8CB6-890440F497AB}"/>
    <tableStyle name="Table Style 2" pivot="0" count="1" xr9:uid="{4C911A66-89BD-41F2-AE5F-3F07E1746DEB}">
      <tableStyleElement type="wholeTable" dxfId="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christianaid-my.sharepoint.com/personal/smongelos_christian-aid_org/Documents/Documentos%20de%20proyecto/COPARTES/Red%20Nacional%20de%20Mujeres/Reportes%20Financieros%20RNM/Agosto%202022/Report%20RNM%20-%20Allanando...%2030%20agosto.xlsx?51733648" TargetMode="External"/><Relationship Id="rId1" Type="http://schemas.openxmlformats.org/officeDocument/2006/relationships/externalLinkPath" Target="file:///\\51733648\Report%20RNM%20-%20Allanando...%2030%20agosto.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hristianaid-my.sharepoint.com/sites/LAC/Shared%20Documents/Colombia/UNPBF%20Project/Technical%20and%20Financial%20Monitoring/Technical%20and%20Financial%20Monitoring/Reports/November%202021/FINAL%20Project%20Document%20Budget%20Annex%20D-%20Annual%20Report%20_project%20ID_00125908.xlsx?3599FF49" TargetMode="External"/><Relationship Id="rId1" Type="http://schemas.openxmlformats.org/officeDocument/2006/relationships/externalLinkPath" Target="file:///\\3599FF49\FINAL%20Project%20Document%20Budget%20Annex%20D-%20Annual%20Report%20_project%20ID_00125908.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christianaid-my.sharepoint.com/personal/fhavyarimana_christian-aid_org/Documents/Christian%20Aid%20Burundi/CA_Finance-Program%20&amp;%20Partnership/CA_Finance%20&amp;%20Reports/CA%20Projects%20&amp;%20Partners/CA_UNPBF/Reports%20&amp;%20Budget/Financial%20Report/Global%20Report%20Year%202023/Oct%202023/UNPBF%20Total%20Budget%20-%20Adjusted%20VF.xlsx?139328FB" TargetMode="External"/><Relationship Id="rId1" Type="http://schemas.openxmlformats.org/officeDocument/2006/relationships/externalLinkPath" Target="file:///\\139328FB\UNPBF%20Total%20Budget%20-%20Adjusted%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Listados"/>
      <sheetName val="Ingresos"/>
      <sheetName val="Monetizaciones"/>
      <sheetName val="Listado de Transacciones"/>
      <sheetName val="Presupuesto"/>
      <sheetName val="Flujo de Efectivo"/>
      <sheetName val="Por socio, Categoría UN"/>
      <sheetName val="Por Resultado, Actividad, Socio"/>
      <sheetName val="Por Resultado, Categoría"/>
      <sheetName val="Tabla Dinámica"/>
      <sheetName val="Report RNM - Allanando.."/>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Budget Tables"/>
      <sheetName val="2) By Category"/>
      <sheetName val="3) Explanatory Notes"/>
      <sheetName val="4) For PBSO Use"/>
      <sheetName val="5) For MPTF Use"/>
      <sheetName val="Sheet2"/>
    </sheetNames>
    <sheetDataSet>
      <sheetData sheetId="0"/>
      <sheetData sheetId="1">
        <row r="5">
          <cell r="D5" t="str">
            <v>Recipient Organization</v>
          </cell>
        </row>
        <row r="199">
          <cell r="E199">
            <v>0</v>
          </cell>
          <cell r="F199">
            <v>0</v>
          </cell>
        </row>
        <row r="200">
          <cell r="E200">
            <v>0</v>
          </cell>
          <cell r="F200">
            <v>0</v>
          </cell>
        </row>
      </sheetData>
      <sheetData sheetId="2">
        <row r="201">
          <cell r="D201">
            <v>225939.38</v>
          </cell>
          <cell r="E201">
            <v>0</v>
          </cell>
          <cell r="F201">
            <v>0</v>
          </cell>
        </row>
        <row r="202">
          <cell r="E202">
            <v>0</v>
          </cell>
          <cell r="F202">
            <v>0</v>
          </cell>
        </row>
        <row r="203">
          <cell r="E203">
            <v>0</v>
          </cell>
          <cell r="F203">
            <v>0</v>
          </cell>
        </row>
        <row r="204">
          <cell r="E204">
            <v>0</v>
          </cell>
          <cell r="F204">
            <v>0</v>
          </cell>
        </row>
        <row r="205">
          <cell r="E205">
            <v>0</v>
          </cell>
          <cell r="F205">
            <v>0</v>
          </cell>
        </row>
        <row r="206">
          <cell r="E206">
            <v>0</v>
          </cell>
          <cell r="F206">
            <v>0</v>
          </cell>
        </row>
        <row r="207">
          <cell r="E207">
            <v>0</v>
          </cell>
          <cell r="F207">
            <v>0</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By Category"/>
      <sheetName val="1) Budget Tables"/>
      <sheetName val="Summary"/>
      <sheetName val="CAB MEAL"/>
      <sheetName val=" Partner Meal  Budget"/>
      <sheetName val="UNPBF Total  Budget 2"/>
      <sheetName val="UNPBF Total Budget"/>
      <sheetName val="Activity Budget"/>
      <sheetName val="Sal and OP CA"/>
      <sheetName val="Salaries"/>
      <sheetName val="Partner Operation Costs"/>
      <sheetName val="Feuil1"/>
      <sheetName val="Sheet2"/>
      <sheetName val="Partner Budget Summary"/>
      <sheetName val="RFP"/>
    </sheetNames>
    <sheetDataSet>
      <sheetData sheetId="0"/>
      <sheetData sheetId="1"/>
      <sheetData sheetId="2"/>
      <sheetData sheetId="3"/>
      <sheetData sheetId="4"/>
      <sheetData sheetId="5"/>
      <sheetData sheetId="6">
        <row r="4">
          <cell r="D4">
            <v>5917.5957964885301</v>
          </cell>
          <cell r="J4">
            <v>1183.3053269662241</v>
          </cell>
          <cell r="Q4">
            <v>352.17676044673999</v>
          </cell>
          <cell r="T4">
            <v>1256.6626583490468</v>
          </cell>
          <cell r="U4">
            <v>170.13495822693812</v>
          </cell>
          <cell r="V4">
            <v>84.264499522518122</v>
          </cell>
        </row>
        <row r="5">
          <cell r="D5">
            <v>10997.003125030807</v>
          </cell>
          <cell r="J5">
            <v>2199.0032482845318</v>
          </cell>
          <cell r="Q5">
            <v>654.47000241114438</v>
          </cell>
          <cell r="T5">
            <v>2335.3387163463753</v>
          </cell>
          <cell r="U5">
            <v>316.17142022590508</v>
          </cell>
          <cell r="V5">
            <v>156.59348770123202</v>
          </cell>
        </row>
        <row r="6">
          <cell r="D6">
            <v>8701.3870404873869</v>
          </cell>
          <cell r="J6">
            <v>1739.962983465924</v>
          </cell>
          <cell r="Q6">
            <v>517.84988442950248</v>
          </cell>
          <cell r="T6">
            <v>1847.8345006344966</v>
          </cell>
          <cell r="U6">
            <v>250.17087539642534</v>
          </cell>
          <cell r="V6">
            <v>123.90471558626606</v>
          </cell>
        </row>
        <row r="7">
          <cell r="D7">
            <v>41617.252733169691</v>
          </cell>
          <cell r="J7">
            <v>8321.9467071545532</v>
          </cell>
          <cell r="Q7">
            <v>2476.7878290974359</v>
          </cell>
          <cell r="T7">
            <v>8837.8828683013271</v>
          </cell>
          <cell r="U7">
            <v>1196.5247034073045</v>
          </cell>
          <cell r="V7">
            <v>592.61515886969562</v>
          </cell>
        </row>
        <row r="10">
          <cell r="D10">
            <v>8340.2340322755554</v>
          </cell>
          <cell r="J10">
            <v>412.12387848813438</v>
          </cell>
          <cell r="Q10">
            <v>151.91913793296325</v>
          </cell>
          <cell r="T10">
            <v>1602.2078040331119</v>
          </cell>
          <cell r="U10">
            <v>209.70325056582664</v>
          </cell>
          <cell r="V10">
            <v>103.86189670440552</v>
          </cell>
        </row>
        <row r="11">
          <cell r="D11">
            <v>284502.65676909278</v>
          </cell>
          <cell r="J11">
            <v>14058.399068193334</v>
          </cell>
          <cell r="Q11">
            <v>5182.2764431714331</v>
          </cell>
          <cell r="T11">
            <v>54654.711103727881</v>
          </cell>
          <cell r="U11">
            <v>7153.4122050067272</v>
          </cell>
          <cell r="V11">
            <v>3542.9444108078924</v>
          </cell>
        </row>
        <row r="12">
          <cell r="D12">
            <v>22231.094549433648</v>
          </cell>
          <cell r="J12">
            <v>1098.5261172880137</v>
          </cell>
          <cell r="Q12">
            <v>404.94411861661922</v>
          </cell>
          <cell r="T12">
            <v>4270.7297675897025</v>
          </cell>
          <cell r="U12">
            <v>558.96906161283107</v>
          </cell>
          <cell r="V12">
            <v>276.84638545918244</v>
          </cell>
        </row>
        <row r="16">
          <cell r="D16">
            <v>19575.311270813003</v>
          </cell>
          <cell r="J16">
            <v>4616.8218001642363</v>
          </cell>
          <cell r="Q16">
            <v>1477.5181462702694</v>
          </cell>
          <cell r="T16">
            <v>4322.122653621971</v>
          </cell>
          <cell r="U16">
            <v>579.63453903844061</v>
          </cell>
          <cell r="V16">
            <v>287.08159009208401</v>
          </cell>
        </row>
        <row r="17">
          <cell r="D17">
            <v>18371.63221246266</v>
          </cell>
          <cell r="J17">
            <v>4421.1166549176842</v>
          </cell>
          <cell r="Q17">
            <v>1392.0517035902376</v>
          </cell>
          <cell r="T17">
            <v>4063.0681456584425</v>
          </cell>
          <cell r="U17">
            <v>546.10581234824815</v>
          </cell>
          <cell r="V17">
            <v>270.47547102272847</v>
          </cell>
        </row>
        <row r="20">
          <cell r="D20">
            <v>69938.830232947876</v>
          </cell>
          <cell r="J20">
            <v>5074.0744683157327</v>
          </cell>
          <cell r="Q20">
            <v>1427.4051123125944</v>
          </cell>
          <cell r="T20">
            <v>13780.970670165774</v>
          </cell>
          <cell r="U20">
            <v>1797.2813852703825</v>
          </cell>
          <cell r="V20">
            <v>890.15813098761305</v>
          </cell>
        </row>
        <row r="21">
          <cell r="D21">
            <v>152241.29772572679</v>
          </cell>
          <cell r="J21">
            <v>11045.13300037224</v>
          </cell>
          <cell r="Q21">
            <v>3107.14385635281</v>
          </cell>
          <cell r="T21">
            <v>29998.366558473976</v>
          </cell>
          <cell r="U21">
            <v>3912.2823410185315</v>
          </cell>
          <cell r="V21">
            <v>1937.676518055622</v>
          </cell>
        </row>
        <row r="22">
          <cell r="D22">
            <v>24263.350387917861</v>
          </cell>
          <cell r="J22">
            <v>1760.3103499025087</v>
          </cell>
          <cell r="Q22">
            <v>495.19887979524663</v>
          </cell>
          <cell r="T22">
            <v>4780.9272791265885</v>
          </cell>
          <cell r="U22">
            <v>623.5172628888796</v>
          </cell>
          <cell r="V22">
            <v>308.81584036891297</v>
          </cell>
        </row>
        <row r="25">
          <cell r="D25">
            <v>6890.8408008754031</v>
          </cell>
          <cell r="J25">
            <v>866.5864979868046</v>
          </cell>
          <cell r="Q25">
            <v>120.33584759981619</v>
          </cell>
          <cell r="T25">
            <v>1415.0964510354197</v>
          </cell>
          <cell r="U25">
            <v>185.86508197966754</v>
          </cell>
          <cell r="V25">
            <v>92.055320522885282</v>
          </cell>
        </row>
        <row r="26">
          <cell r="D26">
            <v>34670.590206922388</v>
          </cell>
          <cell r="J26">
            <v>4360.1450416233074</v>
          </cell>
          <cell r="Q26">
            <v>605.45802462971903</v>
          </cell>
          <cell r="T26">
            <v>7103.1274570372434</v>
          </cell>
          <cell r="U26">
            <v>935.16194573446603</v>
          </cell>
          <cell r="V26">
            <v>463.16732405287752</v>
          </cell>
        </row>
        <row r="27">
          <cell r="D27">
            <v>91504.436163605715</v>
          </cell>
          <cell r="J27">
            <v>0</v>
          </cell>
          <cell r="Q27">
            <v>1419.4478994995936</v>
          </cell>
          <cell r="T27">
            <v>16912.35483623117</v>
          </cell>
          <cell r="U27">
            <v>2192.4123647986157</v>
          </cell>
          <cell r="V27">
            <v>1085.8587358649304</v>
          </cell>
        </row>
        <row r="28">
          <cell r="D28">
            <v>65661.136249371542</v>
          </cell>
          <cell r="J28">
            <v>8257.4907417609593</v>
          </cell>
          <cell r="Q28">
            <v>1146.6508533953302</v>
          </cell>
          <cell r="T28">
            <v>13484.066629136732</v>
          </cell>
          <cell r="U28">
            <v>1771.0628970440252</v>
          </cell>
          <cell r="V28">
            <v>877.17262929145886</v>
          </cell>
        </row>
        <row r="32">
          <cell r="D32">
            <v>31416.900797523635</v>
          </cell>
          <cell r="J32">
            <v>9366.2471143756356</v>
          </cell>
          <cell r="Q32">
            <v>1911.6305738380563</v>
          </cell>
          <cell r="T32">
            <v>7413.099673142533</v>
          </cell>
          <cell r="U32">
            <v>977.1491034335387</v>
          </cell>
          <cell r="V32">
            <v>483.9627376866008</v>
          </cell>
        </row>
        <row r="33">
          <cell r="D33">
            <v>74098.719427439151</v>
          </cell>
          <cell r="J33">
            <v>15971.613639216199</v>
          </cell>
          <cell r="Q33">
            <v>4221.8713194465799</v>
          </cell>
          <cell r="T33">
            <v>16352.633210653119</v>
          </cell>
          <cell r="U33">
            <v>2158.05178629586</v>
          </cell>
          <cell r="V33">
            <v>1068.8406169491411</v>
          </cell>
        </row>
        <row r="34">
          <cell r="D34">
            <v>4139.4335511982572</v>
          </cell>
          <cell r="J34">
            <v>1886.7745050365038</v>
          </cell>
          <cell r="Q34">
            <v>282.46675782588193</v>
          </cell>
          <cell r="T34">
            <v>1097.438071595983</v>
          </cell>
          <cell r="U34">
            <v>144.38571078363668</v>
          </cell>
          <cell r="V34">
            <v>71.511403559740671</v>
          </cell>
        </row>
        <row r="37">
          <cell r="D37">
            <v>16844.113210895219</v>
          </cell>
          <cell r="J37">
            <v>2291.9307514244952</v>
          </cell>
          <cell r="Q37">
            <v>542.11072426692726</v>
          </cell>
          <cell r="T37">
            <v>3503.400465538929</v>
          </cell>
          <cell r="U37">
            <v>458.49251856279005</v>
          </cell>
          <cell r="V37">
            <v>227.08232931164397</v>
          </cell>
        </row>
        <row r="38">
          <cell r="D38">
            <v>56611.362493715438</v>
          </cell>
          <cell r="J38">
            <v>4714.5357909164723</v>
          </cell>
          <cell r="Q38">
            <v>1737.3197511912299</v>
          </cell>
          <cell r="T38">
            <v>11222.158101387038</v>
          </cell>
          <cell r="U38">
            <v>1469.3457860470924</v>
          </cell>
          <cell r="V38">
            <v>727.73807674274508</v>
          </cell>
        </row>
        <row r="41">
          <cell r="D41">
            <v>59829.552736127131</v>
          </cell>
          <cell r="J41">
            <v>5074.2351627280932</v>
          </cell>
          <cell r="Q41">
            <v>1426.4888280665837</v>
          </cell>
          <cell r="T41">
            <v>10673.546639972181</v>
          </cell>
          <cell r="U41">
            <v>1555.0706946852119</v>
          </cell>
          <cell r="V41">
            <v>770.19593842082213</v>
          </cell>
        </row>
        <row r="42">
          <cell r="D42">
            <v>78238.45</v>
          </cell>
          <cell r="J42">
            <v>6635.5216763574672</v>
          </cell>
          <cell r="Q42">
            <v>1865.4037970578761</v>
          </cell>
          <cell r="T42">
            <v>13957.67885020699</v>
          </cell>
          <cell r="U42">
            <v>2033.5488939586862</v>
          </cell>
          <cell r="V42">
            <v>1007.1767824190028</v>
          </cell>
        </row>
      </sheetData>
      <sheetData sheetId="7">
        <row r="13">
          <cell r="H13">
            <v>5917.5957964885301</v>
          </cell>
        </row>
      </sheetData>
      <sheetData sheetId="8">
        <row r="11">
          <cell r="N11">
            <v>234885.4201991212</v>
          </cell>
        </row>
      </sheetData>
      <sheetData sheetId="9">
        <row r="10">
          <cell r="S10">
            <v>5559.9917191612694</v>
          </cell>
        </row>
      </sheetData>
      <sheetData sheetId="10">
        <row r="15">
          <cell r="S15">
            <v>2263.4292530486305</v>
          </cell>
        </row>
      </sheetData>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iacre Havyarimana" refreshedDate="45244.953279976849" createdVersion="8" refreshedVersion="8" minRefreshableVersion="3" recordCount="1214" xr:uid="{C9B7606A-7234-4000-AB37-DD23ABEC64F7}">
  <cacheSource type="worksheet">
    <worksheetSource ref="A1:W1215" sheet="TL1"/>
  </cacheSource>
  <cacheFields count="23">
    <cacheField name="Transaction Reference" numFmtId="0">
      <sharedItems/>
    </cacheField>
    <cacheField name="Journal  _x000a_Number" numFmtId="0">
      <sharedItems containsMixedTypes="1" containsNumber="1" containsInteger="1" minValue="1" maxValue="5756"/>
    </cacheField>
    <cacheField name="Accounting  _x000a_Period" numFmtId="0">
      <sharedItems containsDate="1" containsMixedTypes="1" minDate="2023-01-01T00:00:00" maxDate="2023-10-02T00:00:00"/>
    </cacheField>
    <cacheField name="Transaction  Date" numFmtId="0">
      <sharedItems containsDate="1" containsMixedTypes="1" minDate="2023-01-10T00:00:00" maxDate="2023-11-01T00:00:00"/>
    </cacheField>
    <cacheField name="Account  Code" numFmtId="0">
      <sharedItems containsString="0" containsBlank="1" containsNumber="1" containsInteger="1" minValue="421" maxValue="6349"/>
    </cacheField>
    <cacheField name="UNPBF Category code" numFmtId="0">
      <sharedItems containsSemiMixedTypes="0" containsString="0" containsNumber="1" containsInteger="1" minValue="1" maxValue="7" count="7">
        <n v="3"/>
        <n v="7"/>
        <n v="1"/>
        <n v="6"/>
        <n v="5"/>
        <n v="4"/>
        <n v="2"/>
      </sharedItems>
    </cacheField>
    <cacheField name="Activity Line code" numFmtId="0">
      <sharedItems containsBlank="1"/>
    </cacheField>
    <cacheField name="Line Description" numFmtId="0">
      <sharedItems/>
    </cacheField>
    <cacheField name="DR / CR" numFmtId="0">
      <sharedItems containsBlank="1"/>
    </cacheField>
    <cacheField name=" Amount in BIF" numFmtId="0">
      <sharedItems containsSemiMixedTypes="0" containsString="0" containsNumber="1" minValue="-597500.125" maxValue="29000000"/>
    </cacheField>
    <cacheField name="Transaction _x000a_ Currency" numFmtId="0">
      <sharedItems containsBlank="1"/>
    </cacheField>
    <cacheField name="USD exchange rate" numFmtId="0">
      <sharedItems containsSemiMixedTypes="0" containsString="0" containsNumber="1" minValue="0" maxValue="20050.46"/>
    </cacheField>
    <cacheField name="Reporting /Amount in USD" numFmtId="0">
      <sharedItems containsSemiMixedTypes="0" containsString="0" containsNumber="1" minValue="-213.11434611289144" maxValue="10385.049999999999"/>
    </cacheField>
    <cacheField name="Reporting Currency" numFmtId="0">
      <sharedItems/>
    </cacheField>
    <cacheField name="2nd Base amount GBP" numFmtId="0">
      <sharedItems containsSemiMixedTypes="0" containsString="0" containsNumber="1" minValue="-86.59" maxValue="8378.39"/>
    </cacheField>
    <cacheField name="Funding" numFmtId="0">
      <sharedItems containsBlank="1"/>
    </cacheField>
    <cacheField name="Partner Name" numFmtId="0">
      <sharedItems/>
    </cacheField>
    <cacheField name="Cost Centre" numFmtId="0">
      <sharedItems containsMixedTypes="1" containsNumber="1" containsInteger="1" minValue="0" maxValue="0"/>
    </cacheField>
    <cacheField name="Employee" numFmtId="0">
      <sharedItems containsSemiMixedTypes="0" containsString="0" containsNumber="1" containsInteger="1" minValue="0" maxValue="117872"/>
    </cacheField>
    <cacheField name="Journal Source" numFmtId="0">
      <sharedItems containsMixedTypes="1" containsNumber="1" containsInteger="1" minValue="0" maxValue="0"/>
    </cacheField>
    <cacheField name="Orignated Date" numFmtId="0">
      <sharedItems containsSemiMixedTypes="0" containsDate="1" containsString="0" containsMixedTypes="1" minDate="1899-12-31T00:00:00" maxDate="2023-11-07T00:00:00"/>
    </cacheField>
    <cacheField name="Journal Posting Date" numFmtId="0">
      <sharedItems containsSemiMixedTypes="0" containsDate="1" containsString="0" containsMixedTypes="1" minDate="1899-12-31T00:00:00" maxDate="2023-11-07T00:00:00"/>
    </cacheField>
    <cacheField name="Permanently Posted by"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4">
  <r>
    <s v="B CHQ00003043"/>
    <n v="4602"/>
    <s v="2023/012"/>
    <d v="2023-03-31T00:00:00"/>
    <n v="3451"/>
    <x v="0"/>
    <m/>
    <s v="PYT office equipments_UNPBF project"/>
    <s v="D"/>
    <n v="1390000"/>
    <s v="BIF"/>
    <n v="0"/>
    <n v="678.29"/>
    <s v="USD"/>
    <n v="562.04999999999995"/>
    <s v="9UN1085"/>
    <s v="Christian Aid"/>
    <s v="I2281"/>
    <n v="0"/>
    <s v="FHA"/>
    <d v="2023-04-10T00:00:00"/>
    <d v="2023-04-10T00:00:00"/>
    <s v="TKA"/>
  </r>
  <r>
    <s v="B CV948"/>
    <n v="4491"/>
    <s v="2023/012"/>
    <d v="2023-03-21T00:00:00"/>
    <n v="3490"/>
    <x v="1"/>
    <m/>
    <s v="Office Supplies"/>
    <s v="D"/>
    <n v="150500"/>
    <s v="BIF"/>
    <n v="0"/>
    <n v="73.44"/>
    <s v="USD"/>
    <n v="60.86"/>
    <s v="9UN1085"/>
    <s v="Christian Aid"/>
    <s v="I2281"/>
    <n v="0"/>
    <s v="DND"/>
    <d v="2023-04-07T00:00:00"/>
    <d v="2023-04-07T00:00:00"/>
    <s v="TKA"/>
  </r>
  <r>
    <s v="B CV954"/>
    <n v="4500"/>
    <s v="2023/012"/>
    <d v="2023-03-29T00:00:00"/>
    <n v="3490"/>
    <x v="1"/>
    <m/>
    <s v="Office supply"/>
    <s v="D"/>
    <n v="80000"/>
    <s v="BIF"/>
    <n v="0"/>
    <n v="39.04"/>
    <s v="USD"/>
    <n v="32.35"/>
    <s v="9UN1085"/>
    <s v="Christian Aid"/>
    <s v="I2281"/>
    <n v="0"/>
    <s v="DND"/>
    <d v="2023-04-07T00:00:00"/>
    <d v="2023-04-07T00:00:00"/>
    <s v="TKA"/>
  </r>
  <r>
    <s v="B CV958"/>
    <n v="4508"/>
    <s v="2023/012"/>
    <d v="2023-03-30T00:00:00"/>
    <n v="3420"/>
    <x v="1"/>
    <m/>
    <s v="Airtime for Fabrice_March 2023"/>
    <s v="D"/>
    <n v="8800"/>
    <s v="BIF"/>
    <n v="0"/>
    <n v="4.29"/>
    <s v="USD"/>
    <n v="3.56"/>
    <s v="9UN1085"/>
    <s v="Christian Aid"/>
    <s v="I2281"/>
    <n v="0"/>
    <s v="DND"/>
    <d v="2023-04-07T00:00:00"/>
    <d v="2023-04-07T00:00:00"/>
    <s v="TKA"/>
  </r>
  <r>
    <s v="B CV958"/>
    <n v="4508"/>
    <s v="2023/012"/>
    <d v="2023-03-30T00:00:00"/>
    <n v="3420"/>
    <x v="1"/>
    <m/>
    <s v="Airtime for Zephirin_March 2023"/>
    <s v="D"/>
    <n v="14500"/>
    <s v="BIF"/>
    <n v="0"/>
    <n v="7.08"/>
    <s v="USD"/>
    <n v="5.86"/>
    <s v="9UN1085"/>
    <s v="Christian Aid"/>
    <s v="I2281"/>
    <n v="0"/>
    <s v="DND"/>
    <d v="2023-04-07T00:00:00"/>
    <d v="2023-04-07T00:00:00"/>
    <s v="TKA"/>
  </r>
  <r>
    <s v="B FACT1687/20230301"/>
    <n v="4605"/>
    <s v="2023/012"/>
    <d v="2023-02-23T00:00:00"/>
    <n v="3420"/>
    <x v="1"/>
    <m/>
    <s v="03.02.09.UN_PYT internet March 2023"/>
    <s v="D"/>
    <n v="250000"/>
    <s v="BIF"/>
    <n v="0"/>
    <n v="121.99"/>
    <s v="USD"/>
    <n v="101.09"/>
    <s v="9UN1085"/>
    <s v="Christian Aid"/>
    <s v="I2281"/>
    <n v="0"/>
    <s v="FHA"/>
    <d v="2023-04-10T00:00:00"/>
    <d v="2023-04-10T00:00:00"/>
    <s v="TKA"/>
  </r>
  <r>
    <s v="B FACT95"/>
    <n v="4568"/>
    <s v="2023/012"/>
    <d v="2023-03-28T00:00:00"/>
    <n v="3451"/>
    <x v="0"/>
    <m/>
    <s v="battery for inverter"/>
    <s v="D"/>
    <n v="250000"/>
    <s v="BIF"/>
    <n v="0"/>
    <n v="121.99"/>
    <s v="USD"/>
    <n v="101.09"/>
    <s v="9UN1085"/>
    <s v="Christian Aid"/>
    <s v="I2281"/>
    <n v="0"/>
    <s v="DND"/>
    <d v="2023-04-10T00:00:00"/>
    <d v="2023-04-10T00:00:00"/>
    <s v="TKA"/>
  </r>
  <r>
    <s v="B GB_003_01_2023"/>
    <n v="4556"/>
    <s v="2023/012"/>
    <d v="2023-03-30T00:00:00"/>
    <n v="3170"/>
    <x v="2"/>
    <m/>
    <s v="04.01.03.UN_PYt Life Insurance _Zephirin"/>
    <s v="D"/>
    <n v="77872"/>
    <s v="BIF"/>
    <n v="0"/>
    <n v="38"/>
    <s v="USD"/>
    <n v="31.49"/>
    <s v="9UN1085"/>
    <s v="Christian Aid"/>
    <s v="I2281"/>
    <n v="0"/>
    <s v="FHA"/>
    <d v="2023-04-10T00:00:00"/>
    <d v="2023-04-10T00:00:00"/>
    <s v="TKA"/>
  </r>
  <r>
    <s v="B GB_003_02_2023"/>
    <n v="4559"/>
    <s v="2023/012"/>
    <d v="2023-03-21T00:00:00"/>
    <n v="3170"/>
    <x v="2"/>
    <m/>
    <s v="04.01.01.UN_PYT life insurance_Fiacre"/>
    <s v="D"/>
    <n v="28215"/>
    <s v="BIF"/>
    <n v="0"/>
    <n v="13.77"/>
    <s v="USD"/>
    <n v="11.41"/>
    <s v="9UN1085"/>
    <s v="Christian Aid"/>
    <s v="I2281"/>
    <n v="0"/>
    <s v="FHA"/>
    <d v="2023-04-10T00:00:00"/>
    <d v="2023-04-10T00:00:00"/>
    <s v="TKA"/>
  </r>
  <r>
    <s v="B GMDB00001292023"/>
    <n v="4524"/>
    <s v="2023/012"/>
    <d v="2023-03-17T00:00:00"/>
    <n v="3170"/>
    <x v="2"/>
    <m/>
    <s v="04.01.03.UN_PYT Medical insurance_Zephirin"/>
    <s v="D"/>
    <n v="306500"/>
    <s v="BIF"/>
    <n v="0"/>
    <n v="149.56"/>
    <s v="USD"/>
    <n v="123.93"/>
    <s v="9UN1085"/>
    <s v="Christian Aid"/>
    <s v="I2281"/>
    <n v="0"/>
    <s v="FHA"/>
    <d v="2023-04-07T00:00:00"/>
    <d v="2023-04-10T00:00:00"/>
    <s v="TKA"/>
  </r>
  <r>
    <s v="B GMDB00001402023"/>
    <n v="4554"/>
    <s v="2023/012"/>
    <d v="2023-03-17T00:00:00"/>
    <n v="3170"/>
    <x v="2"/>
    <m/>
    <s v="04.01.01.UN_PYT Medical insurance Fiacre"/>
    <s v="D"/>
    <n v="153960"/>
    <s v="BIF"/>
    <n v="0"/>
    <n v="75.13"/>
    <s v="USD"/>
    <n v="62.25"/>
    <s v="9UN1085"/>
    <s v="Christian Aid"/>
    <s v="I2281"/>
    <n v="0"/>
    <s v="FHA"/>
    <d v="2023-04-10T00:00:00"/>
    <d v="2023-04-10T00:00:00"/>
    <s v="TKA"/>
  </r>
  <r>
    <s v="B GMDB00001462023"/>
    <n v="4595"/>
    <s v="2023/012"/>
    <d v="2023-03-23T00:00:00"/>
    <n v="3170"/>
    <x v="2"/>
    <m/>
    <s v="04.01.02.UN_PYT Medical insucrance Fabrice&amp;Dep."/>
    <s v="D"/>
    <n v="253229"/>
    <s v="BIF"/>
    <n v="0"/>
    <n v="123.57"/>
    <s v="USD"/>
    <n v="102.39"/>
    <s v="9UN1085"/>
    <s v="Christian Aid"/>
    <s v="I2281"/>
    <n v="117872"/>
    <s v="FHA"/>
    <d v="2023-04-10T00:00:00"/>
    <d v="2023-04-10T00:00:00"/>
    <s v="TKA"/>
  </r>
  <r>
    <s v="BUR_SAL_2023/012"/>
    <n v="4455"/>
    <s v="2023/012"/>
    <d v="2023-03-31T00:00:00"/>
    <n v="3110"/>
    <x v="2"/>
    <m/>
    <s v="Salary"/>
    <s v="D"/>
    <n v="578183.4"/>
    <s v="BIF"/>
    <n v="0"/>
    <n v="282.14"/>
    <s v="USD"/>
    <n v="231.27"/>
    <s v="9UN1085"/>
    <s v="Christian Aid"/>
    <s v="I2281"/>
    <n v="103265"/>
    <s v="FHA"/>
    <d v="2023-04-05T00:00:00"/>
    <d v="2023-04-05T00:00:00"/>
    <s v="TKA"/>
  </r>
  <r>
    <s v="BUR_SAL_2023/012"/>
    <n v="4455"/>
    <s v="2023/012"/>
    <d v="2023-03-31T00:00:00"/>
    <n v="3110"/>
    <x v="2"/>
    <m/>
    <s v="Salary"/>
    <s v="D"/>
    <n v="3541016"/>
    <s v="BIF"/>
    <n v="0"/>
    <n v="1727.93"/>
    <s v="USD"/>
    <n v="1416.41"/>
    <s v="9UN1085"/>
    <s v="Christian Aid"/>
    <s v="I2281"/>
    <n v="117871"/>
    <s v="FHA"/>
    <d v="2023-04-05T00:00:00"/>
    <d v="2023-04-05T00:00:00"/>
    <s v="TKA"/>
  </r>
  <r>
    <s v="BUR_SAL_2023/012"/>
    <n v="4455"/>
    <s v="2023/012"/>
    <d v="2023-03-31T00:00:00"/>
    <n v="3110"/>
    <x v="2"/>
    <m/>
    <s v="Salary"/>
    <s v="D"/>
    <n v="1301665"/>
    <s v="BIF"/>
    <n v="0"/>
    <n v="635.17999999999995"/>
    <s v="USD"/>
    <n v="520.66999999999996"/>
    <s v="9UN1085"/>
    <s v="Christian Aid"/>
    <s v="I2281"/>
    <n v="103321"/>
    <s v="FHA"/>
    <d v="2023-04-05T00:00:00"/>
    <d v="2023-04-05T00:00:00"/>
    <s v="TKA"/>
  </r>
  <r>
    <s v="BUR_SAL_2023/012"/>
    <n v="4455"/>
    <s v="2023/012"/>
    <d v="2023-03-31T00:00:00"/>
    <n v="3110"/>
    <x v="2"/>
    <m/>
    <s v="Salary"/>
    <s v="D"/>
    <n v="116307.51"/>
    <s v="BIF"/>
    <n v="0"/>
    <n v="56.76"/>
    <s v="USD"/>
    <n v="46.52"/>
    <s v="9UN1085"/>
    <s v="Christian Aid"/>
    <s v="I2281"/>
    <n v="117427"/>
    <s v="FHA"/>
    <d v="2023-04-05T00:00:00"/>
    <d v="2023-04-05T00:00:00"/>
    <s v="TKA"/>
  </r>
  <r>
    <s v="BUR_SAL_2023/012"/>
    <n v="4455"/>
    <s v="2023/012"/>
    <d v="2023-03-31T00:00:00"/>
    <n v="3110"/>
    <x v="2"/>
    <m/>
    <s v="Salary"/>
    <s v="D"/>
    <n v="842808"/>
    <s v="BIF"/>
    <n v="0"/>
    <n v="411.27"/>
    <s v="USD"/>
    <n v="337.12"/>
    <s v="9UN1085"/>
    <s v="Christian Aid"/>
    <s v="I2281"/>
    <n v="117872"/>
    <s v="FHA"/>
    <d v="2023-04-05T00:00:00"/>
    <d v="2023-04-05T00:00:00"/>
    <s v="TKA"/>
  </r>
  <r>
    <s v="BUR_SAL_2023/012"/>
    <n v="4455"/>
    <s v="2023/012"/>
    <d v="2023-03-31T00:00:00"/>
    <n v="3110"/>
    <x v="2"/>
    <m/>
    <s v="Salary"/>
    <s v="D"/>
    <n v="265823.59999999998"/>
    <s v="BIF"/>
    <n v="0"/>
    <n v="129.72"/>
    <s v="USD"/>
    <n v="106.33"/>
    <s v="9UN1085"/>
    <s v="Christian Aid"/>
    <s v="I2281"/>
    <n v="117293"/>
    <s v="FHA"/>
    <d v="2023-04-05T00:00:00"/>
    <d v="2023-04-05T00:00:00"/>
    <s v="TKA"/>
  </r>
  <r>
    <s v="BUR_SAL_2023/012"/>
    <n v="4455"/>
    <s v="2023/012"/>
    <d v="2023-03-31T00:00:00"/>
    <n v="3120"/>
    <x v="2"/>
    <m/>
    <s v="INSS"/>
    <s v="D"/>
    <n v="4410"/>
    <s v="BIF"/>
    <n v="0"/>
    <n v="2.15"/>
    <s v="USD"/>
    <n v="1.76"/>
    <s v="9UN1085"/>
    <s v="Christian Aid"/>
    <s v="I2281"/>
    <n v="103265"/>
    <s v="FHA"/>
    <d v="2023-04-05T00:00:00"/>
    <d v="2023-04-05T00:00:00"/>
    <s v="TKA"/>
  </r>
  <r>
    <s v="BUR_SAL_2023/012"/>
    <n v="4455"/>
    <s v="2023/012"/>
    <d v="2023-03-31T00:00:00"/>
    <n v="3120"/>
    <x v="2"/>
    <m/>
    <s v="INSS"/>
    <s v="D"/>
    <n v="29400"/>
    <s v="BIF"/>
    <n v="0"/>
    <n v="14.35"/>
    <s v="USD"/>
    <n v="11.76"/>
    <s v="9UN1085"/>
    <s v="Christian Aid"/>
    <s v="I2281"/>
    <n v="117871"/>
    <s v="FHA"/>
    <d v="2023-04-05T00:00:00"/>
    <d v="2023-04-05T00:00:00"/>
    <s v="TKA"/>
  </r>
  <r>
    <s v="BUR_SAL_2023/012"/>
    <n v="4455"/>
    <s v="2023/012"/>
    <d v="2023-03-31T00:00:00"/>
    <n v="3120"/>
    <x v="2"/>
    <m/>
    <s v="INSS"/>
    <s v="D"/>
    <n v="882"/>
    <s v="BIF"/>
    <n v="0"/>
    <n v="0.43"/>
    <s v="USD"/>
    <n v="0.35"/>
    <s v="9UN1085"/>
    <s v="Christian Aid"/>
    <s v="I2281"/>
    <n v="117427"/>
    <s v="FHA"/>
    <d v="2023-04-05T00:00:00"/>
    <d v="2023-04-05T00:00:00"/>
    <s v="TKA"/>
  </r>
  <r>
    <s v="BUR_SAL_2023/012"/>
    <n v="4455"/>
    <s v="2023/012"/>
    <d v="2023-03-31T00:00:00"/>
    <n v="3120"/>
    <x v="2"/>
    <m/>
    <s v="INSS"/>
    <s v="D"/>
    <n v="1176"/>
    <s v="BIF"/>
    <n v="0"/>
    <n v="0.56999999999999995"/>
    <s v="USD"/>
    <n v="0.47"/>
    <s v="9UN1085"/>
    <s v="Christian Aid"/>
    <s v="I2281"/>
    <n v="117293"/>
    <s v="FHA"/>
    <d v="2023-04-05T00:00:00"/>
    <d v="2023-04-05T00:00:00"/>
    <s v="TKA"/>
  </r>
  <r>
    <s v="BUR_SAL_2023/012"/>
    <n v="4455"/>
    <s v="2023/012"/>
    <d v="2023-03-31T00:00:00"/>
    <n v="3130"/>
    <x v="2"/>
    <m/>
    <s v="CPF ERS"/>
    <s v="D"/>
    <n v="53768.4"/>
    <s v="BIF"/>
    <n v="0"/>
    <n v="26.24"/>
    <s v="USD"/>
    <n v="21.51"/>
    <s v="9UN1085"/>
    <s v="Christian Aid"/>
    <s v="I2281"/>
    <n v="103265"/>
    <s v="FHA"/>
    <d v="2023-04-05T00:00:00"/>
    <d v="2023-04-05T00:00:00"/>
    <s v="TKA"/>
  </r>
  <r>
    <s v="BUR_SAL_2023/012"/>
    <n v="4455"/>
    <s v="2023/012"/>
    <d v="2023-03-31T00:00:00"/>
    <n v="3130"/>
    <x v="2"/>
    <m/>
    <s v="CPF ERS"/>
    <s v="D"/>
    <n v="327102"/>
    <s v="BIF"/>
    <n v="0"/>
    <n v="159.62"/>
    <s v="USD"/>
    <n v="130.84"/>
    <s v="9UN1085"/>
    <s v="Christian Aid"/>
    <s v="I2281"/>
    <n v="117871"/>
    <s v="FHA"/>
    <d v="2023-04-05T00:00:00"/>
    <d v="2023-04-05T00:00:00"/>
    <s v="TKA"/>
  </r>
  <r>
    <s v="BUR_SAL_2023/012"/>
    <n v="4455"/>
    <s v="2023/012"/>
    <d v="2023-03-31T00:00:00"/>
    <n v="3130"/>
    <x v="2"/>
    <m/>
    <s v="CPF ERS"/>
    <s v="D"/>
    <n v="130166.5"/>
    <s v="BIF"/>
    <n v="0"/>
    <n v="63.52"/>
    <s v="USD"/>
    <n v="52.07"/>
    <s v="9UN1085"/>
    <s v="Christian Aid"/>
    <s v="I2281"/>
    <n v="103321"/>
    <s v="FHA"/>
    <d v="2023-04-05T00:00:00"/>
    <d v="2023-04-05T00:00:00"/>
    <s v="TKA"/>
  </r>
  <r>
    <s v="BUR_SAL_2023/012"/>
    <n v="4455"/>
    <s v="2023/012"/>
    <d v="2023-03-31T00:00:00"/>
    <n v="3130"/>
    <x v="2"/>
    <m/>
    <s v="CPF ERS"/>
    <s v="D"/>
    <n v="10820.76"/>
    <s v="BIF"/>
    <n v="0"/>
    <n v="5.28"/>
    <s v="USD"/>
    <n v="4.33"/>
    <s v="9UN1085"/>
    <s v="Christian Aid"/>
    <s v="I2281"/>
    <n v="117427"/>
    <s v="FHA"/>
    <d v="2023-04-05T00:00:00"/>
    <d v="2023-04-05T00:00:00"/>
    <s v="TKA"/>
  </r>
  <r>
    <s v="BUR_SAL_2023/012"/>
    <n v="4455"/>
    <s v="2023/012"/>
    <d v="2023-03-31T00:00:00"/>
    <n v="3130"/>
    <x v="2"/>
    <m/>
    <s v="CPF ERS"/>
    <s v="D"/>
    <n v="84281"/>
    <s v="BIF"/>
    <n v="0"/>
    <n v="41.13"/>
    <s v="USD"/>
    <n v="33.71"/>
    <s v="9UN1085"/>
    <s v="Christian Aid"/>
    <s v="I2281"/>
    <n v="117872"/>
    <s v="FHA"/>
    <d v="2023-04-05T00:00:00"/>
    <d v="2023-04-05T00:00:00"/>
    <s v="TKA"/>
  </r>
  <r>
    <s v="BUR_SAL_2023/012"/>
    <n v="4455"/>
    <s v="2023/012"/>
    <d v="2023-03-31T00:00:00"/>
    <n v="3130"/>
    <x v="2"/>
    <m/>
    <s v="CPF ERS"/>
    <s v="D"/>
    <n v="25502.36"/>
    <s v="BIF"/>
    <n v="0"/>
    <n v="12.44"/>
    <s v="USD"/>
    <n v="10.199999999999999"/>
    <s v="9UN1085"/>
    <s v="Christian Aid"/>
    <s v="I2281"/>
    <n v="117293"/>
    <s v="FHA"/>
    <d v="2023-04-05T00:00:00"/>
    <d v="2023-04-05T00:00:00"/>
    <s v="TKA"/>
  </r>
  <r>
    <s v="B CV967"/>
    <n v="4743"/>
    <s v="2024/001"/>
    <d v="2023-04-12T00:00:00"/>
    <n v="3490"/>
    <x v="1"/>
    <m/>
    <s v="03.02.06.UN Office supplies"/>
    <s v="D"/>
    <n v="112000"/>
    <s v="BIF"/>
    <n v="0"/>
    <n v="54.32"/>
    <s v="USD"/>
    <n v="44.06"/>
    <s v="9UN1085"/>
    <s v="Christian Aid"/>
    <s v="I2281"/>
    <n v="0"/>
    <s v="DND"/>
    <d v="2023-05-05T00:00:00"/>
    <d v="2023-05-09T00:00:00"/>
    <s v="TKA"/>
  </r>
  <r>
    <s v="B INV002/2023"/>
    <n v="4785"/>
    <s v="2024/001"/>
    <d v="2023-04-28T00:00:00"/>
    <n v="3400"/>
    <x v="1"/>
    <m/>
    <s v="03.02.04.UN.Office Rent_April to June 2023"/>
    <s v="D"/>
    <n v="3116699"/>
    <s v="BIF"/>
    <n v="0"/>
    <n v="1511.5"/>
    <s v="USD"/>
    <n v="1226.18"/>
    <s v="9UN1085"/>
    <s v="Christian Aid"/>
    <s v="I2281"/>
    <n v="0"/>
    <s v="DND"/>
    <d v="2023-05-09T00:00:00"/>
    <d v="2023-05-09T00:00:00"/>
    <s v="TKA"/>
  </r>
  <r>
    <s v="BUR_SAL_2024/001"/>
    <n v="4699"/>
    <s v="2024/001"/>
    <d v="2023-04-30T00:00:00"/>
    <n v="3110"/>
    <x v="2"/>
    <m/>
    <s v="Salary"/>
    <s v="D"/>
    <n v="1462335.8"/>
    <s v="BIF"/>
    <n v="0"/>
    <n v="709.19"/>
    <s v="USD"/>
    <n v="584.92999999999995"/>
    <s v="9UN1085"/>
    <s v="Christian Aid"/>
    <s v="I2281"/>
    <n v="102955"/>
    <s v="FHA"/>
    <d v="2023-05-08T00:00:00"/>
    <d v="2023-05-08T00:00:00"/>
    <s v="TKA"/>
  </r>
  <r>
    <s v="BUR_SAL_2024/001"/>
    <n v="4699"/>
    <s v="2024/001"/>
    <d v="2023-04-30T00:00:00"/>
    <n v="3110"/>
    <x v="2"/>
    <m/>
    <s v="Salary"/>
    <s v="D"/>
    <n v="578183.4"/>
    <s v="BIF"/>
    <n v="0"/>
    <n v="280.39999999999998"/>
    <s v="USD"/>
    <n v="231.27"/>
    <s v="9UN1085"/>
    <s v="Christian Aid"/>
    <s v="I2281"/>
    <n v="103265"/>
    <s v="FHA"/>
    <d v="2023-05-08T00:00:00"/>
    <d v="2023-05-08T00:00:00"/>
    <s v="TKA"/>
  </r>
  <r>
    <s v="BUR_SAL_2024/001"/>
    <n v="4699"/>
    <s v="2024/001"/>
    <d v="2023-04-30T00:00:00"/>
    <n v="3110"/>
    <x v="2"/>
    <m/>
    <s v="Salary"/>
    <s v="D"/>
    <n v="5429558"/>
    <s v="BIF"/>
    <n v="0"/>
    <n v="2633.17"/>
    <s v="USD"/>
    <n v="2171.8200000000002"/>
    <s v="9UN1085"/>
    <s v="Christian Aid"/>
    <s v="I2281"/>
    <n v="117871"/>
    <s v="FHA"/>
    <d v="2023-05-08T00:00:00"/>
    <d v="2023-05-08T00:00:00"/>
    <s v="TKA"/>
  </r>
  <r>
    <s v="BUR_SAL_2024/001"/>
    <n v="4699"/>
    <s v="2024/001"/>
    <d v="2023-04-30T00:00:00"/>
    <n v="3110"/>
    <x v="2"/>
    <m/>
    <s v="Salary"/>
    <s v="D"/>
    <n v="1871143.5"/>
    <s v="BIF"/>
    <n v="0"/>
    <n v="907.45"/>
    <s v="USD"/>
    <n v="748.46"/>
    <s v="9UN1085"/>
    <s v="Christian Aid"/>
    <s v="I2281"/>
    <n v="103321"/>
    <s v="FHA"/>
    <d v="2023-05-08T00:00:00"/>
    <d v="2023-05-08T00:00:00"/>
    <s v="TKA"/>
  </r>
  <r>
    <s v="BUR_SAL_2024/001"/>
    <n v="4699"/>
    <s v="2024/001"/>
    <d v="2023-04-30T00:00:00"/>
    <n v="3110"/>
    <x v="2"/>
    <m/>
    <s v="Salary"/>
    <s v="D"/>
    <n v="581537.55000000005"/>
    <s v="BIF"/>
    <n v="0"/>
    <n v="282.02999999999997"/>
    <s v="USD"/>
    <n v="232.62"/>
    <s v="9UN1085"/>
    <s v="Christian Aid"/>
    <s v="I2281"/>
    <n v="117427"/>
    <s v="FHA"/>
    <d v="2023-05-08T00:00:00"/>
    <d v="2023-05-08T00:00:00"/>
    <s v="TKA"/>
  </r>
  <r>
    <s v="BUR_SAL_2024/001"/>
    <n v="4699"/>
    <s v="2024/001"/>
    <d v="2023-04-30T00:00:00"/>
    <n v="3110"/>
    <x v="2"/>
    <m/>
    <s v="Salary"/>
    <s v="D"/>
    <n v="1938458.5"/>
    <s v="BIF"/>
    <n v="0"/>
    <n v="940.09"/>
    <s v="USD"/>
    <n v="775.38"/>
    <s v="9UN1085"/>
    <s v="Christian Aid"/>
    <s v="I2281"/>
    <n v="117872"/>
    <s v="FHA"/>
    <d v="2023-05-08T00:00:00"/>
    <d v="2023-05-08T00:00:00"/>
    <s v="TKA"/>
  </r>
  <r>
    <s v="BUR_SAL_2024/001"/>
    <n v="4699"/>
    <s v="2024/001"/>
    <d v="2023-04-30T00:00:00"/>
    <n v="3110"/>
    <x v="2"/>
    <m/>
    <s v="Salary"/>
    <s v="D"/>
    <n v="467310.3"/>
    <s v="BIF"/>
    <n v="0"/>
    <n v="226.63"/>
    <s v="USD"/>
    <n v="186.92"/>
    <s v="9UN1085"/>
    <s v="Christian Aid"/>
    <s v="I2281"/>
    <n v="103328"/>
    <s v="FHA"/>
    <d v="2023-05-08T00:00:00"/>
    <d v="2023-05-08T00:00:00"/>
    <s v="TKA"/>
  </r>
  <r>
    <s v="BUR_SAL_2024/001"/>
    <n v="4699"/>
    <s v="2024/001"/>
    <d v="2023-04-30T00:00:00"/>
    <n v="3110"/>
    <x v="2"/>
    <m/>
    <s v="Salary"/>
    <s v="D"/>
    <n v="664559"/>
    <s v="BIF"/>
    <n v="0"/>
    <n v="322.29000000000002"/>
    <s v="USD"/>
    <n v="265.82"/>
    <s v="9UN1085"/>
    <s v="Christian Aid"/>
    <s v="I2281"/>
    <n v="117293"/>
    <s v="FHA"/>
    <d v="2023-05-08T00:00:00"/>
    <d v="2023-05-08T00:00:00"/>
    <s v="TKA"/>
  </r>
  <r>
    <s v="BUR_SAL_2024/001"/>
    <n v="4699"/>
    <s v="2024/001"/>
    <d v="2023-04-30T00:00:00"/>
    <n v="3120"/>
    <x v="2"/>
    <m/>
    <s v="INSS"/>
    <s v="D"/>
    <n v="4410"/>
    <s v="BIF"/>
    <n v="0"/>
    <n v="2.14"/>
    <s v="USD"/>
    <n v="1.76"/>
    <s v="9UN1085"/>
    <s v="Christian Aid"/>
    <s v="I2281"/>
    <n v="103265"/>
    <s v="FHA"/>
    <d v="2023-05-08T00:00:00"/>
    <d v="2023-05-08T00:00:00"/>
    <s v="TKA"/>
  </r>
  <r>
    <s v="BUR_SAL_2024/001"/>
    <n v="4699"/>
    <s v="2024/001"/>
    <d v="2023-04-30T00:00:00"/>
    <n v="3120"/>
    <x v="2"/>
    <m/>
    <s v="INSS"/>
    <s v="D"/>
    <n v="29400"/>
    <s v="BIF"/>
    <n v="0"/>
    <n v="14.26"/>
    <s v="USD"/>
    <n v="11.76"/>
    <s v="9UN1085"/>
    <s v="Christian Aid"/>
    <s v="I2281"/>
    <n v="117871"/>
    <s v="FHA"/>
    <d v="2023-05-08T00:00:00"/>
    <d v="2023-05-08T00:00:00"/>
    <s v="TKA"/>
  </r>
  <r>
    <s v="BUR_SAL_2024/001"/>
    <n v="4699"/>
    <s v="2024/001"/>
    <d v="2023-04-30T00:00:00"/>
    <n v="3120"/>
    <x v="2"/>
    <m/>
    <s v="INSS"/>
    <s v="D"/>
    <n v="14700"/>
    <s v="BIF"/>
    <n v="0"/>
    <n v="7.13"/>
    <s v="USD"/>
    <n v="5.88"/>
    <s v="9UN1085"/>
    <s v="Christian Aid"/>
    <s v="I2281"/>
    <n v="103321"/>
    <s v="FHA"/>
    <d v="2023-05-08T00:00:00"/>
    <d v="2023-05-08T00:00:00"/>
    <s v="TKA"/>
  </r>
  <r>
    <s v="BUR_SAL_2024/001"/>
    <n v="4699"/>
    <s v="2024/001"/>
    <d v="2023-04-30T00:00:00"/>
    <n v="3120"/>
    <x v="2"/>
    <m/>
    <s v="INSS"/>
    <s v="D"/>
    <n v="4410"/>
    <s v="BIF"/>
    <n v="0"/>
    <n v="2.14"/>
    <s v="USD"/>
    <n v="1.76"/>
    <s v="9UN1085"/>
    <s v="Christian Aid"/>
    <s v="I2281"/>
    <n v="117427"/>
    <s v="FHA"/>
    <d v="2023-05-08T00:00:00"/>
    <d v="2023-05-08T00:00:00"/>
    <s v="TKA"/>
  </r>
  <r>
    <s v="BUR_SAL_2024/001"/>
    <n v="4699"/>
    <s v="2024/001"/>
    <d v="2023-04-30T00:00:00"/>
    <n v="3120"/>
    <x v="2"/>
    <m/>
    <s v="INSS"/>
    <s v="D"/>
    <n v="14700"/>
    <s v="BIF"/>
    <n v="0"/>
    <n v="7.13"/>
    <s v="USD"/>
    <n v="5.88"/>
    <s v="9UN1085"/>
    <s v="Christian Aid"/>
    <s v="I2281"/>
    <n v="117872"/>
    <s v="FHA"/>
    <d v="2023-05-08T00:00:00"/>
    <d v="2023-05-08T00:00:00"/>
    <s v="TKA"/>
  </r>
  <r>
    <s v="BUR_SAL_2024/001"/>
    <n v="4699"/>
    <s v="2024/001"/>
    <d v="2023-04-30T00:00:00"/>
    <n v="3120"/>
    <x v="2"/>
    <m/>
    <s v="INSS"/>
    <s v="D"/>
    <n v="8820"/>
    <s v="BIF"/>
    <n v="0"/>
    <n v="4.28"/>
    <s v="USD"/>
    <n v="3.53"/>
    <s v="9UN1085"/>
    <s v="Christian Aid"/>
    <s v="I2281"/>
    <n v="103328"/>
    <s v="FHA"/>
    <d v="2023-05-08T00:00:00"/>
    <d v="2023-05-08T00:00:00"/>
    <s v="TKA"/>
  </r>
  <r>
    <s v="BUR_SAL_2024/001"/>
    <n v="4699"/>
    <s v="2024/001"/>
    <d v="2023-04-30T00:00:00"/>
    <n v="3120"/>
    <x v="2"/>
    <m/>
    <s v="INSS"/>
    <s v="D"/>
    <n v="2940"/>
    <s v="BIF"/>
    <n v="0"/>
    <n v="1.43"/>
    <s v="USD"/>
    <n v="1.18"/>
    <s v="9UN1085"/>
    <s v="Christian Aid"/>
    <s v="I2281"/>
    <n v="117293"/>
    <s v="FHA"/>
    <d v="2023-05-08T00:00:00"/>
    <d v="2023-05-08T00:00:00"/>
    <s v="TKA"/>
  </r>
  <r>
    <s v="BUR_SAL_2024/001"/>
    <n v="4699"/>
    <s v="2024/001"/>
    <d v="2023-04-30T00:00:00"/>
    <n v="3130"/>
    <x v="2"/>
    <m/>
    <s v="CPF ERS"/>
    <s v="D"/>
    <n v="146233.5"/>
    <s v="BIF"/>
    <n v="0"/>
    <n v="70.92"/>
    <s v="USD"/>
    <n v="58.49"/>
    <s v="9UN1085"/>
    <s v="Christian Aid"/>
    <s v="I2281"/>
    <n v="102955"/>
    <s v="FHA"/>
    <d v="2023-05-08T00:00:00"/>
    <d v="2023-05-08T00:00:00"/>
    <s v="TKA"/>
  </r>
  <r>
    <s v="BUR_SAL_2024/001"/>
    <n v="4699"/>
    <s v="2024/001"/>
    <d v="2023-04-30T00:00:00"/>
    <n v="3130"/>
    <x v="2"/>
    <m/>
    <s v="CPF ERS"/>
    <s v="D"/>
    <n v="53768.4"/>
    <s v="BIF"/>
    <n v="0"/>
    <n v="26.08"/>
    <s v="USD"/>
    <n v="21.51"/>
    <s v="9UN1085"/>
    <s v="Christian Aid"/>
    <s v="I2281"/>
    <n v="103265"/>
    <s v="FHA"/>
    <d v="2023-05-08T00:00:00"/>
    <d v="2023-05-08T00:00:00"/>
    <s v="TKA"/>
  </r>
  <r>
    <s v="BUR_SAL_2024/001"/>
    <n v="4699"/>
    <s v="2024/001"/>
    <d v="2023-04-30T00:00:00"/>
    <n v="3130"/>
    <x v="2"/>
    <m/>
    <s v="CPF ERS"/>
    <s v="D"/>
    <n v="515956"/>
    <s v="BIF"/>
    <n v="0"/>
    <n v="250.22"/>
    <s v="USD"/>
    <n v="206.38"/>
    <s v="9UN1085"/>
    <s v="Christian Aid"/>
    <s v="I2281"/>
    <n v="117871"/>
    <s v="FHA"/>
    <d v="2023-05-08T00:00:00"/>
    <d v="2023-05-08T00:00:00"/>
    <s v="TKA"/>
  </r>
  <r>
    <s v="BUR_SAL_2024/001"/>
    <n v="4699"/>
    <s v="2024/001"/>
    <d v="2023-04-30T00:00:00"/>
    <n v="3130"/>
    <x v="2"/>
    <m/>
    <s v="CPF ERS"/>
    <s v="D"/>
    <n v="173614.5"/>
    <s v="BIF"/>
    <n v="0"/>
    <n v="84.2"/>
    <s v="USD"/>
    <n v="69.45"/>
    <s v="9UN1085"/>
    <s v="Christian Aid"/>
    <s v="I2281"/>
    <n v="103321"/>
    <s v="FHA"/>
    <d v="2023-05-08T00:00:00"/>
    <d v="2023-05-08T00:00:00"/>
    <s v="TKA"/>
  </r>
  <r>
    <s v="BUR_SAL_2024/001"/>
    <n v="4699"/>
    <s v="2024/001"/>
    <d v="2023-04-30T00:00:00"/>
    <n v="3130"/>
    <x v="2"/>
    <m/>
    <s v="CPF ERS"/>
    <s v="D"/>
    <n v="54103.8"/>
    <s v="BIF"/>
    <n v="0"/>
    <n v="26.24"/>
    <s v="USD"/>
    <n v="21.64"/>
    <s v="9UN1085"/>
    <s v="Christian Aid"/>
    <s v="I2281"/>
    <n v="117427"/>
    <s v="FHA"/>
    <d v="2023-05-08T00:00:00"/>
    <d v="2023-05-08T00:00:00"/>
    <s v="TKA"/>
  </r>
  <r>
    <s v="BUR_SAL_2024/001"/>
    <n v="4699"/>
    <s v="2024/001"/>
    <d v="2023-04-30T00:00:00"/>
    <n v="3130"/>
    <x v="2"/>
    <m/>
    <s v="CPF ERS"/>
    <s v="D"/>
    <n v="180346"/>
    <s v="BIF"/>
    <n v="0"/>
    <n v="87.46"/>
    <s v="USD"/>
    <n v="72.14"/>
    <s v="9UN1085"/>
    <s v="Christian Aid"/>
    <s v="I2281"/>
    <n v="117872"/>
    <s v="FHA"/>
    <d v="2023-05-08T00:00:00"/>
    <d v="2023-05-08T00:00:00"/>
    <s v="TKA"/>
  </r>
  <r>
    <s v="BUR_SAL_2024/001"/>
    <n v="4699"/>
    <s v="2024/001"/>
    <d v="2023-04-30T00:00:00"/>
    <n v="3130"/>
    <x v="2"/>
    <m/>
    <s v="CPF ERS"/>
    <s v="D"/>
    <n v="38631"/>
    <s v="BIF"/>
    <n v="0"/>
    <n v="18.73"/>
    <s v="USD"/>
    <n v="15.45"/>
    <s v="9UN1085"/>
    <s v="Christian Aid"/>
    <s v="I2281"/>
    <n v="103328"/>
    <s v="FHA"/>
    <d v="2023-05-08T00:00:00"/>
    <d v="2023-05-08T00:00:00"/>
    <s v="TKA"/>
  </r>
  <r>
    <s v="BUR_SAL_2024/001"/>
    <n v="4699"/>
    <s v="2024/001"/>
    <d v="2023-04-30T00:00:00"/>
    <n v="3130"/>
    <x v="2"/>
    <m/>
    <s v="CPF ERS"/>
    <s v="D"/>
    <n v="63755.9"/>
    <s v="BIF"/>
    <n v="0"/>
    <n v="30.92"/>
    <s v="USD"/>
    <n v="25.5"/>
    <s v="9UN1085"/>
    <s v="Christian Aid"/>
    <s v="I2281"/>
    <n v="117293"/>
    <s v="FHA"/>
    <d v="2023-05-08T00:00:00"/>
    <d v="2023-05-08T00:00:00"/>
    <s v="TKA"/>
  </r>
  <r>
    <s v="CFR03_04 2023"/>
    <n v="4779"/>
    <s v="2024/001"/>
    <d v="2023-04-03T00:00:00"/>
    <n v="3600"/>
    <x v="1"/>
    <m/>
    <s v="03.02.14.UN_Bk Charge on GBR Fund Transfer"/>
    <s v="D"/>
    <n v="11.11"/>
    <s v="USD"/>
    <n v="0"/>
    <n v="11.11"/>
    <s v="USD"/>
    <n v="9.01"/>
    <s v="9UN1085"/>
    <s v="Christian Aid"/>
    <s v="I2281"/>
    <n v="0"/>
    <s v="FHA"/>
    <d v="2023-05-09T00:00:00"/>
    <d v="2023-05-09T00:00:00"/>
    <s v="TKA"/>
  </r>
  <r>
    <s v="CHQ0003060"/>
    <n v="4760"/>
    <s v="2024/001"/>
    <d v="2023-04-14T00:00:00"/>
    <n v="3420"/>
    <x v="1"/>
    <m/>
    <s v="03.02.09.UN_PYT Staff Airtime_Zephirin_April_2023"/>
    <s v="D"/>
    <n v="25000"/>
    <s v="BIF"/>
    <n v="0"/>
    <n v="12.12"/>
    <s v="USD"/>
    <n v="9.84"/>
    <s v="9UN1085"/>
    <s v="Christian Aid"/>
    <s v="I2281"/>
    <n v="0"/>
    <s v="FHA"/>
    <d v="2023-05-04T00:00:00"/>
    <d v="2023-05-09T00:00:00"/>
    <s v="TKA"/>
  </r>
  <r>
    <s v="CHQ0003060"/>
    <n v="4760"/>
    <s v="2024/001"/>
    <d v="2023-04-14T00:00:00"/>
    <n v="3420"/>
    <x v="1"/>
    <m/>
    <s v="03.02.09.UN_PYT Staff Airtime_Fabrice_April_2023"/>
    <s v="D"/>
    <n v="25000"/>
    <s v="BIF"/>
    <n v="0"/>
    <n v="12.12"/>
    <s v="USD"/>
    <n v="9.84"/>
    <s v="9UN1085"/>
    <s v="Christian Aid"/>
    <s v="I2281"/>
    <n v="0"/>
    <s v="FHA"/>
    <d v="2023-05-04T00:00:00"/>
    <d v="2023-05-09T00:00:00"/>
    <s v="TKA"/>
  </r>
  <r>
    <s v="FACT002/2023"/>
    <n v="4732"/>
    <s v="2024/001"/>
    <d v="2023-04-04T00:00:00"/>
    <n v="3175"/>
    <x v="1"/>
    <m/>
    <s v="03.02.05.UN.PYT CD House Rent_Apr_June 2023"/>
    <s v="D"/>
    <n v="825183"/>
    <s v="BIF"/>
    <n v="0"/>
    <n v="400.19"/>
    <s v="USD"/>
    <n v="324.64999999999998"/>
    <s v="9UN1085"/>
    <s v="Christian Aid"/>
    <s v="I2281"/>
    <n v="0"/>
    <s v="FHA"/>
    <d v="2023-05-08T00:00:00"/>
    <d v="2023-05-08T00:00:00"/>
    <s v="TKA"/>
  </r>
  <r>
    <s v="FACT1687/2023001"/>
    <n v="4727"/>
    <s v="2024/001"/>
    <d v="2023-04-03T00:00:00"/>
    <n v="3420"/>
    <x v="1"/>
    <m/>
    <s v="03.02.09.UN.PYT internet April 2023"/>
    <s v="D"/>
    <n v="222184"/>
    <s v="BIF"/>
    <n v="0"/>
    <n v="107.75"/>
    <s v="USD"/>
    <n v="87.41"/>
    <s v="9UN1085"/>
    <s v="Christian Aid"/>
    <s v="I2281"/>
    <n v="0"/>
    <s v="FHA"/>
    <d v="2023-05-08T00:00:00"/>
    <d v="2023-05-08T00:00:00"/>
    <s v="TKA"/>
  </r>
  <r>
    <s v="FACT3034456_3038794_3043208"/>
    <n v="4764"/>
    <s v="2024/001"/>
    <d v="2023-04-25T00:00:00"/>
    <n v="3420"/>
    <x v="1"/>
    <m/>
    <s v="03.02.09.UN_PYT Office Telephone invoice_March 23"/>
    <s v="D"/>
    <n v="138839"/>
    <s v="BIF"/>
    <n v="0"/>
    <n v="67.33"/>
    <s v="USD"/>
    <n v="54.62"/>
    <s v="9UN1085"/>
    <s v="Christian Aid"/>
    <s v="I2281"/>
    <n v="0"/>
    <s v="FHA"/>
    <d v="2023-05-04T00:00:00"/>
    <d v="2023-05-09T00:00:00"/>
    <s v="TKA"/>
  </r>
  <r>
    <s v="B Bank Charges_BIF Account"/>
    <n v="4857"/>
    <s v="2024/002"/>
    <d v="2023-05-31T00:00:00"/>
    <n v="3600"/>
    <x v="1"/>
    <m/>
    <s v="03.02.14.UN Bank charges_BIF_May 2023"/>
    <s v="D"/>
    <n v="80000"/>
    <s v="BIF"/>
    <n v="0"/>
    <n v="38.94"/>
    <s v="USD"/>
    <n v="31.1"/>
    <s v="9UN1085"/>
    <s v="Christian Aid"/>
    <s v="I2281"/>
    <n v="0"/>
    <s v="DND"/>
    <d v="2023-06-05T00:00:00"/>
    <d v="2023-06-05T00:00:00"/>
    <s v="TKA"/>
  </r>
  <r>
    <s v="B CV1001"/>
    <n v="4850"/>
    <s v="2024/002"/>
    <d v="2023-05-23T00:00:00"/>
    <n v="3490"/>
    <x v="1"/>
    <m/>
    <s v="03.02.06.UN-Office Supplies"/>
    <s v="D"/>
    <n v="106000"/>
    <s v="BIF"/>
    <n v="0"/>
    <n v="51.6"/>
    <s v="USD"/>
    <n v="41.2"/>
    <s v="9UN1085"/>
    <s v="Christian Aid"/>
    <s v="I2281"/>
    <n v="0"/>
    <s v="DND"/>
    <d v="2023-06-05T00:00:00"/>
    <d v="2023-06-05T00:00:00"/>
    <s v="TKA"/>
  </r>
  <r>
    <s v="B CV986"/>
    <n v="4835"/>
    <s v="2024/002"/>
    <d v="2023-05-10T00:00:00"/>
    <n v="3490"/>
    <x v="1"/>
    <m/>
    <s v="03.02.06.UN Office supplies"/>
    <s v="D"/>
    <n v="156000"/>
    <s v="BIF"/>
    <n v="0"/>
    <n v="75.94"/>
    <s v="USD"/>
    <n v="60.64"/>
    <s v="9UN1085"/>
    <s v="Christian Aid"/>
    <s v="I2281"/>
    <n v="0"/>
    <s v="DND"/>
    <d v="2023-06-04T00:00:00"/>
    <d v="2023-06-05T00:00:00"/>
    <s v="TKA"/>
  </r>
  <r>
    <s v="B CV987"/>
    <n v="4837"/>
    <s v="2024/002"/>
    <d v="2023-05-10T00:00:00"/>
    <n v="3490"/>
    <x v="1"/>
    <m/>
    <s v="03.02.06.UN Purchase of Notebooks"/>
    <s v="D"/>
    <n v="30000"/>
    <s v="BIF"/>
    <n v="0"/>
    <n v="14.6"/>
    <s v="USD"/>
    <n v="11.66"/>
    <s v="9UN1085"/>
    <s v="Christian Aid"/>
    <s v="I2281"/>
    <n v="0"/>
    <s v="DND"/>
    <d v="2023-06-04T00:00:00"/>
    <d v="2023-06-05T00:00:00"/>
    <s v="TKA"/>
  </r>
  <r>
    <s v="B CV991"/>
    <n v="4840"/>
    <s v="2024/002"/>
    <d v="2023-05-12T00:00:00"/>
    <n v="3490"/>
    <x v="1"/>
    <m/>
    <s v="03.02.06.UN Zephirin's key for Office"/>
    <s v="D"/>
    <n v="10000"/>
    <s v="BIF"/>
    <n v="0"/>
    <n v="4.87"/>
    <s v="USD"/>
    <n v="3.89"/>
    <s v="9UN1085"/>
    <s v="Christian Aid"/>
    <s v="I2281"/>
    <n v="0"/>
    <s v="DND"/>
    <d v="2023-06-04T00:00:00"/>
    <d v="2023-06-05T00:00:00"/>
    <s v="TKA"/>
  </r>
  <r>
    <s v="B FACT1687/20230501"/>
    <n v="4938"/>
    <s v="2024/002"/>
    <d v="2023-05-02T00:00:00"/>
    <n v="3420"/>
    <x v="1"/>
    <m/>
    <s v="03.02.09.UN-Internet subscription_INVOICE_May23"/>
    <s v="D"/>
    <n v="222775"/>
    <s v="BIF"/>
    <n v="0"/>
    <n v="108.44"/>
    <s v="USD"/>
    <n v="86.59"/>
    <s v="9UN1085"/>
    <s v="Christian Aid"/>
    <s v="I2281"/>
    <n v="0"/>
    <s v="DND"/>
    <d v="2023-06-05T00:00:00"/>
    <d v="2023-06-05T00:00:00"/>
    <s v="TKA"/>
  </r>
  <r>
    <s v="B FACT3047642"/>
    <n v="4937"/>
    <s v="2024/002"/>
    <d v="2023-05-10T00:00:00"/>
    <n v="3420"/>
    <x v="1"/>
    <m/>
    <s v="03.02.09.UN-Invoice for Landline payment_April23"/>
    <s v="D"/>
    <n v="35381"/>
    <s v="BIF"/>
    <n v="0"/>
    <n v="17.22"/>
    <s v="USD"/>
    <n v="13.75"/>
    <s v="9UN1085"/>
    <s v="Christian Aid"/>
    <s v="I2281"/>
    <n v="0"/>
    <s v="DND"/>
    <d v="2023-06-05T00:00:00"/>
    <d v="2023-06-05T00:00:00"/>
    <s v="TKA"/>
  </r>
  <r>
    <s v="BUR_SAL_2024/002"/>
    <n v="4798"/>
    <s v="2024/002"/>
    <d v="2023-05-30T00:00:00"/>
    <n v="3110"/>
    <x v="2"/>
    <m/>
    <s v="Salary"/>
    <s v="D"/>
    <n v="43870.1"/>
    <s v="BIF"/>
    <n v="0"/>
    <n v="21.36"/>
    <s v="USD"/>
    <n v="17.55"/>
    <s v="9UN1085"/>
    <s v="Christian Aid"/>
    <s v="I2281"/>
    <n v="102955"/>
    <s v="FHA"/>
    <d v="2023-06-02T00:00:00"/>
    <d v="2023-06-02T00:00:00"/>
    <s v="TKA"/>
  </r>
  <r>
    <s v="BUR_SAL_2024/002"/>
    <n v="4798"/>
    <s v="2024/002"/>
    <d v="2023-05-30T00:00:00"/>
    <n v="3110"/>
    <x v="2"/>
    <m/>
    <s v="Salary"/>
    <s v="D"/>
    <n v="17345.55"/>
    <s v="BIF"/>
    <n v="0"/>
    <n v="8.44"/>
    <s v="USD"/>
    <n v="6.94"/>
    <s v="9UN1085"/>
    <s v="Christian Aid"/>
    <s v="I2281"/>
    <n v="103265"/>
    <s v="FHA"/>
    <d v="2023-06-02T00:00:00"/>
    <d v="2023-06-02T00:00:00"/>
    <s v="TKA"/>
  </r>
  <r>
    <s v="BUR_SAL_2024/002"/>
    <n v="4798"/>
    <s v="2024/002"/>
    <d v="2023-05-30T00:00:00"/>
    <n v="3110"/>
    <x v="2"/>
    <m/>
    <s v="Salary"/>
    <s v="D"/>
    <n v="162886"/>
    <s v="BIF"/>
    <n v="0"/>
    <n v="79.290000000000006"/>
    <s v="USD"/>
    <n v="65.150000000000006"/>
    <s v="9UN1085"/>
    <s v="Christian Aid"/>
    <s v="I2281"/>
    <n v="117871"/>
    <s v="FHA"/>
    <d v="2023-06-02T00:00:00"/>
    <d v="2023-06-02T00:00:00"/>
    <s v="TKA"/>
  </r>
  <r>
    <s v="BUR_SAL_2024/002"/>
    <n v="4798"/>
    <s v="2024/002"/>
    <d v="2023-05-30T00:00:00"/>
    <n v="3110"/>
    <x v="2"/>
    <m/>
    <s v="Salary"/>
    <s v="D"/>
    <n v="56134"/>
    <s v="BIF"/>
    <n v="0"/>
    <n v="27.32"/>
    <s v="USD"/>
    <n v="22.45"/>
    <s v="9UN1085"/>
    <s v="Christian Aid"/>
    <s v="I2281"/>
    <n v="103321"/>
    <s v="FHA"/>
    <d v="2023-06-02T00:00:00"/>
    <d v="2023-06-02T00:00:00"/>
    <s v="TKA"/>
  </r>
  <r>
    <s v="BUR_SAL_2024/002"/>
    <n v="4798"/>
    <s v="2024/002"/>
    <d v="2023-05-30T00:00:00"/>
    <n v="3110"/>
    <x v="2"/>
    <m/>
    <s v="Salary"/>
    <s v="D"/>
    <n v="17446.05"/>
    <s v="BIF"/>
    <n v="0"/>
    <n v="8.49"/>
    <s v="USD"/>
    <n v="6.98"/>
    <s v="9UN1085"/>
    <s v="Christian Aid"/>
    <s v="I2281"/>
    <n v="117427"/>
    <s v="FHA"/>
    <d v="2023-06-02T00:00:00"/>
    <d v="2023-06-02T00:00:00"/>
    <s v="TKA"/>
  </r>
  <r>
    <s v="BUR_SAL_2024/002"/>
    <n v="4798"/>
    <s v="2024/002"/>
    <d v="2023-05-30T00:00:00"/>
    <n v="3110"/>
    <x v="2"/>
    <m/>
    <s v="Salary"/>
    <s v="D"/>
    <n v="58154"/>
    <s v="BIF"/>
    <n v="0"/>
    <n v="28.31"/>
    <s v="USD"/>
    <n v="23.26"/>
    <s v="9UN1085"/>
    <s v="Christian Aid"/>
    <s v="I2281"/>
    <n v="117872"/>
    <s v="FHA"/>
    <d v="2023-06-02T00:00:00"/>
    <d v="2023-06-02T00:00:00"/>
    <s v="TKA"/>
  </r>
  <r>
    <s v="BUR_SAL_2024/002"/>
    <n v="4798"/>
    <s v="2024/002"/>
    <d v="2023-05-30T00:00:00"/>
    <n v="3110"/>
    <x v="2"/>
    <m/>
    <s v="Salary"/>
    <s v="D"/>
    <n v="14019.3"/>
    <s v="BIF"/>
    <n v="0"/>
    <n v="6.82"/>
    <s v="USD"/>
    <n v="5.61"/>
    <s v="9UN1085"/>
    <s v="Christian Aid"/>
    <s v="I2281"/>
    <n v="103328"/>
    <s v="FHA"/>
    <d v="2023-06-02T00:00:00"/>
    <d v="2023-06-02T00:00:00"/>
    <s v="TKA"/>
  </r>
  <r>
    <s v="BUR_SAL_2024/002"/>
    <n v="4798"/>
    <s v="2024/002"/>
    <d v="2023-05-30T00:00:00"/>
    <n v="3110"/>
    <x v="2"/>
    <m/>
    <s v="Salary"/>
    <s v="D"/>
    <n v="19936.7"/>
    <s v="BIF"/>
    <n v="0"/>
    <n v="9.6999999999999993"/>
    <s v="USD"/>
    <n v="7.97"/>
    <s v="9UN1085"/>
    <s v="Christian Aid"/>
    <s v="I2281"/>
    <n v="117293"/>
    <s v="FHA"/>
    <d v="2023-06-02T00:00:00"/>
    <d v="2023-06-02T00:00:00"/>
    <s v="TKA"/>
  </r>
  <r>
    <s v="BUR_SAL_2024/002"/>
    <n v="4798"/>
    <s v="2024/002"/>
    <d v="2023-05-30T00:00:00"/>
    <n v="3130"/>
    <x v="2"/>
    <m/>
    <s v="CPF ERS"/>
    <s v="D"/>
    <n v="4387"/>
    <s v="BIF"/>
    <n v="0"/>
    <n v="2.14"/>
    <s v="USD"/>
    <n v="1.75"/>
    <s v="9UN1085"/>
    <s v="Christian Aid"/>
    <s v="I2281"/>
    <n v="102955"/>
    <s v="FHA"/>
    <d v="2023-06-02T00:00:00"/>
    <d v="2023-06-02T00:00:00"/>
    <s v="TKA"/>
  </r>
  <r>
    <s v="BUR_SAL_2024/002"/>
    <n v="4798"/>
    <s v="2024/002"/>
    <d v="2023-05-30T00:00:00"/>
    <n v="3130"/>
    <x v="2"/>
    <m/>
    <s v="CPF ERS"/>
    <s v="D"/>
    <n v="1734.6"/>
    <s v="BIF"/>
    <n v="0"/>
    <n v="0.84"/>
    <s v="USD"/>
    <n v="0.69"/>
    <s v="9UN1085"/>
    <s v="Christian Aid"/>
    <s v="I2281"/>
    <n v="103265"/>
    <s v="FHA"/>
    <d v="2023-06-02T00:00:00"/>
    <d v="2023-06-02T00:00:00"/>
    <s v="TKA"/>
  </r>
  <r>
    <s v="BUR_SAL_2024/002"/>
    <n v="4798"/>
    <s v="2024/002"/>
    <d v="2023-05-30T00:00:00"/>
    <n v="3130"/>
    <x v="2"/>
    <m/>
    <s v="CPF ERS"/>
    <s v="D"/>
    <n v="16289"/>
    <s v="BIF"/>
    <n v="0"/>
    <n v="7.93"/>
    <s v="USD"/>
    <n v="6.52"/>
    <s v="9UN1085"/>
    <s v="Christian Aid"/>
    <s v="I2281"/>
    <n v="117871"/>
    <s v="FHA"/>
    <d v="2023-06-02T00:00:00"/>
    <d v="2023-06-02T00:00:00"/>
    <s v="TKA"/>
  </r>
  <r>
    <s v="BUR_SAL_2024/002"/>
    <n v="4798"/>
    <s v="2024/002"/>
    <d v="2023-05-30T00:00:00"/>
    <n v="3130"/>
    <x v="2"/>
    <m/>
    <s v="CPF ERS"/>
    <s v="D"/>
    <n v="5613.5"/>
    <s v="BIF"/>
    <n v="0"/>
    <n v="2.73"/>
    <s v="USD"/>
    <n v="2.25"/>
    <s v="9UN1085"/>
    <s v="Christian Aid"/>
    <s v="I2281"/>
    <n v="103321"/>
    <s v="FHA"/>
    <d v="2023-06-02T00:00:00"/>
    <d v="2023-06-02T00:00:00"/>
    <s v="TKA"/>
  </r>
  <r>
    <s v="BUR_SAL_2024/002"/>
    <n v="4798"/>
    <s v="2024/002"/>
    <d v="2023-05-30T00:00:00"/>
    <n v="3130"/>
    <x v="2"/>
    <m/>
    <s v="CPF ERS"/>
    <s v="D"/>
    <n v="1744.65"/>
    <s v="BIF"/>
    <n v="0"/>
    <n v="0.85"/>
    <s v="USD"/>
    <n v="0.7"/>
    <s v="9UN1085"/>
    <s v="Christian Aid"/>
    <s v="I2281"/>
    <n v="117427"/>
    <s v="FHA"/>
    <d v="2023-06-02T00:00:00"/>
    <d v="2023-06-02T00:00:00"/>
    <s v="TKA"/>
  </r>
  <r>
    <s v="BUR_SAL_2024/002"/>
    <n v="4798"/>
    <s v="2024/002"/>
    <d v="2023-05-30T00:00:00"/>
    <n v="3130"/>
    <x v="2"/>
    <m/>
    <s v="CPF ERS"/>
    <s v="D"/>
    <n v="5815.5"/>
    <s v="BIF"/>
    <n v="0"/>
    <n v="2.83"/>
    <s v="USD"/>
    <n v="2.33"/>
    <s v="9UN1085"/>
    <s v="Christian Aid"/>
    <s v="I2281"/>
    <n v="117872"/>
    <s v="FHA"/>
    <d v="2023-06-02T00:00:00"/>
    <d v="2023-06-02T00:00:00"/>
    <s v="TKA"/>
  </r>
  <r>
    <s v="BUR_SAL_2024/002"/>
    <n v="4798"/>
    <s v="2024/002"/>
    <d v="2023-05-30T00:00:00"/>
    <n v="3130"/>
    <x v="2"/>
    <m/>
    <s v="CPF ERS"/>
    <s v="D"/>
    <n v="1401.9"/>
    <s v="BIF"/>
    <n v="0"/>
    <n v="0.68"/>
    <s v="USD"/>
    <n v="0.56000000000000005"/>
    <s v="9UN1085"/>
    <s v="Christian Aid"/>
    <s v="I2281"/>
    <n v="103328"/>
    <s v="FHA"/>
    <d v="2023-06-02T00:00:00"/>
    <d v="2023-06-02T00:00:00"/>
    <s v="TKA"/>
  </r>
  <r>
    <s v="BUR_SAL_2024/002"/>
    <n v="4798"/>
    <s v="2024/002"/>
    <d v="2023-05-30T00:00:00"/>
    <n v="3130"/>
    <x v="2"/>
    <m/>
    <s v="CPF ERS"/>
    <s v="D"/>
    <n v="1983.7"/>
    <s v="BIF"/>
    <n v="0"/>
    <n v="0.97"/>
    <s v="USD"/>
    <n v="0.79"/>
    <s v="9UN1085"/>
    <s v="Christian Aid"/>
    <s v="I2281"/>
    <n v="117293"/>
    <s v="FHA"/>
    <d v="2023-06-02T00:00:00"/>
    <d v="2023-06-02T00:00:00"/>
    <s v="TKA"/>
  </r>
  <r>
    <s v="BUR_SAL_2024/002"/>
    <n v="4799"/>
    <s v="2024/002"/>
    <d v="2023-05-30T00:00:00"/>
    <n v="3130"/>
    <x v="2"/>
    <m/>
    <s v="CPF ERS"/>
    <s v="D"/>
    <n v="152447.5"/>
    <s v="BIF"/>
    <n v="0"/>
    <n v="74.209999999999994"/>
    <s v="USD"/>
    <n v="60.98"/>
    <s v="9UN1085"/>
    <s v="Christian Aid"/>
    <s v="I2281"/>
    <n v="102955"/>
    <s v="FHA"/>
    <d v="2023-06-05T00:00:00"/>
    <d v="2023-06-05T00:00:00"/>
    <s v="TKA"/>
  </r>
  <r>
    <s v="BUR_SAL_2024/002"/>
    <n v="4799"/>
    <s v="2024/002"/>
    <d v="2023-05-30T00:00:00"/>
    <n v="3130"/>
    <x v="2"/>
    <m/>
    <s v="CPF ERS"/>
    <s v="D"/>
    <n v="55502.85"/>
    <s v="BIF"/>
    <n v="0"/>
    <n v="27.02"/>
    <s v="USD"/>
    <n v="22.2"/>
    <s v="9UN1085"/>
    <s v="Christian Aid"/>
    <s v="I2281"/>
    <n v="103265"/>
    <s v="FHA"/>
    <d v="2023-06-05T00:00:00"/>
    <d v="2023-06-05T00:00:00"/>
    <s v="TKA"/>
  </r>
  <r>
    <s v="BUR_SAL_2024/002"/>
    <n v="4799"/>
    <s v="2024/002"/>
    <d v="2023-05-30T00:00:00"/>
    <n v="3130"/>
    <x v="2"/>
    <m/>
    <s v="CPF ERS"/>
    <s v="D"/>
    <n v="532244"/>
    <s v="BIF"/>
    <n v="0"/>
    <n v="259.08999999999997"/>
    <s v="USD"/>
    <n v="212.9"/>
    <s v="9UN1085"/>
    <s v="Christian Aid"/>
    <s v="I2281"/>
    <n v="117871"/>
    <s v="FHA"/>
    <d v="2023-06-05T00:00:00"/>
    <d v="2023-06-05T00:00:00"/>
    <s v="TKA"/>
  </r>
  <r>
    <s v="BUR_SAL_2024/002"/>
    <n v="4799"/>
    <s v="2024/002"/>
    <d v="2023-05-30T00:00:00"/>
    <n v="3130"/>
    <x v="2"/>
    <m/>
    <s v="CPF ERS"/>
    <s v="D"/>
    <n v="286764.79999999999"/>
    <s v="BIF"/>
    <n v="0"/>
    <n v="139.59"/>
    <s v="USD"/>
    <n v="114.71"/>
    <s v="9UN1085"/>
    <s v="Christian Aid"/>
    <s v="I2281"/>
    <n v="103321"/>
    <s v="FHA"/>
    <d v="2023-06-05T00:00:00"/>
    <d v="2023-06-05T00:00:00"/>
    <s v="TKA"/>
  </r>
  <r>
    <s v="BUR_SAL_2024/002"/>
    <n v="4799"/>
    <s v="2024/002"/>
    <d v="2023-05-30T00:00:00"/>
    <n v="3130"/>
    <x v="2"/>
    <m/>
    <s v="CPF ERS"/>
    <s v="D"/>
    <n v="55848.3"/>
    <s v="BIF"/>
    <n v="0"/>
    <n v="27.19"/>
    <s v="USD"/>
    <n v="22.34"/>
    <s v="9UN1085"/>
    <s v="Christian Aid"/>
    <s v="I2281"/>
    <n v="117427"/>
    <s v="FHA"/>
    <d v="2023-06-05T00:00:00"/>
    <d v="2023-06-05T00:00:00"/>
    <s v="TKA"/>
  </r>
  <r>
    <s v="BUR_SAL_2024/002"/>
    <n v="4799"/>
    <s v="2024/002"/>
    <d v="2023-05-30T00:00:00"/>
    <n v="3130"/>
    <x v="2"/>
    <m/>
    <s v="CPF ERS"/>
    <s v="D"/>
    <n v="297857.59999999998"/>
    <s v="BIF"/>
    <n v="0"/>
    <n v="144.99"/>
    <s v="USD"/>
    <n v="119.14"/>
    <s v="9UN1085"/>
    <s v="Christian Aid"/>
    <s v="I2281"/>
    <n v="117872"/>
    <s v="FHA"/>
    <d v="2023-06-05T00:00:00"/>
    <d v="2023-06-05T00:00:00"/>
    <s v="TKA"/>
  </r>
  <r>
    <s v="BUR_SAL_2024/002"/>
    <n v="4799"/>
    <s v="2024/002"/>
    <d v="2023-05-30T00:00:00"/>
    <n v="3130"/>
    <x v="2"/>
    <m/>
    <s v="CPF ERS"/>
    <s v="D"/>
    <n v="40032.9"/>
    <s v="BIF"/>
    <n v="0"/>
    <n v="19.489999999999998"/>
    <s v="USD"/>
    <n v="16.010000000000002"/>
    <s v="9UN1085"/>
    <s v="Christian Aid"/>
    <s v="I2281"/>
    <n v="103328"/>
    <s v="FHA"/>
    <d v="2023-06-05T00:00:00"/>
    <d v="2023-06-05T00:00:00"/>
    <s v="TKA"/>
  </r>
  <r>
    <s v="BUR_SAL_2024/002"/>
    <n v="4799"/>
    <s v="2024/002"/>
    <d v="2023-05-30T00:00:00"/>
    <n v="3130"/>
    <x v="2"/>
    <m/>
    <s v="CPF ERS"/>
    <s v="D"/>
    <n v="65749.600000000006"/>
    <s v="BIF"/>
    <n v="0"/>
    <n v="32.01"/>
    <s v="USD"/>
    <n v="26.3"/>
    <s v="9UN1085"/>
    <s v="Christian Aid"/>
    <s v="I2281"/>
    <n v="117293"/>
    <s v="FHA"/>
    <d v="2023-06-05T00:00:00"/>
    <d v="2023-06-05T00:00:00"/>
    <s v="TKA"/>
  </r>
  <r>
    <s v="BUR_SAL_2024/002"/>
    <n v="4799"/>
    <s v="2024/002"/>
    <d v="2023-05-30T00:00:00"/>
    <n v="3110"/>
    <x v="2"/>
    <m/>
    <s v="Salary"/>
    <s v="D"/>
    <n v="1524475"/>
    <s v="BIF"/>
    <n v="0"/>
    <n v="742.08"/>
    <s v="USD"/>
    <n v="609.79"/>
    <s v="9UN1085"/>
    <s v="Christian Aid"/>
    <s v="I2281"/>
    <n v="102955"/>
    <s v="FHA"/>
    <d v="2023-06-05T00:00:00"/>
    <d v="2023-06-05T00:00:00"/>
    <s v="TKA"/>
  </r>
  <r>
    <s v="BUR_SAL_2024/002"/>
    <n v="4799"/>
    <s v="2024/002"/>
    <d v="2023-05-30T00:00:00"/>
    <n v="3110"/>
    <x v="2"/>
    <m/>
    <s v="Salary"/>
    <s v="D"/>
    <n v="595528.80000000005"/>
    <s v="BIF"/>
    <n v="0"/>
    <n v="289.89"/>
    <s v="USD"/>
    <n v="238.21"/>
    <s v="9UN1085"/>
    <s v="Christian Aid"/>
    <s v="I2281"/>
    <n v="103265"/>
    <s v="FHA"/>
    <d v="2023-06-05T00:00:00"/>
    <d v="2023-06-05T00:00:00"/>
    <s v="TKA"/>
  </r>
  <r>
    <s v="BUR_SAL_2024/002"/>
    <n v="4799"/>
    <s v="2024/002"/>
    <d v="2023-05-30T00:00:00"/>
    <n v="3110"/>
    <x v="2"/>
    <m/>
    <s v="Salary"/>
    <s v="D"/>
    <n v="5592445"/>
    <s v="BIF"/>
    <n v="0"/>
    <n v="2722.29"/>
    <s v="USD"/>
    <n v="2236.98"/>
    <s v="9UN1085"/>
    <s v="Christian Aid"/>
    <s v="I2281"/>
    <n v="117871"/>
    <s v="FHA"/>
    <d v="2023-06-05T00:00:00"/>
    <d v="2023-06-05T00:00:00"/>
    <s v="TKA"/>
  </r>
  <r>
    <s v="BUR_SAL_2024/002"/>
    <n v="4799"/>
    <s v="2024/002"/>
    <d v="2023-05-30T00:00:00"/>
    <n v="3110"/>
    <x v="2"/>
    <m/>
    <s v="Salary"/>
    <s v="D"/>
    <n v="3083644.8"/>
    <s v="BIF"/>
    <n v="0"/>
    <n v="1501.06"/>
    <s v="USD"/>
    <n v="1233.46"/>
    <s v="9UN1085"/>
    <s v="Christian Aid"/>
    <s v="I2281"/>
    <n v="103321"/>
    <s v="FHA"/>
    <d v="2023-06-05T00:00:00"/>
    <d v="2023-06-05T00:00:00"/>
    <s v="TKA"/>
  </r>
  <r>
    <s v="BUR_SAL_2024/002"/>
    <n v="4799"/>
    <s v="2024/002"/>
    <d v="2023-05-30T00:00:00"/>
    <n v="3110"/>
    <x v="2"/>
    <m/>
    <s v="Salary"/>
    <s v="D"/>
    <n v="598983.44999999995"/>
    <s v="BIF"/>
    <n v="0"/>
    <n v="291.57"/>
    <s v="USD"/>
    <n v="239.59"/>
    <s v="9UN1085"/>
    <s v="Christian Aid"/>
    <s v="I2281"/>
    <n v="117427"/>
    <s v="FHA"/>
    <d v="2023-06-05T00:00:00"/>
    <d v="2023-06-05T00:00:00"/>
    <s v="TKA"/>
  </r>
  <r>
    <s v="BUR_SAL_2024/002"/>
    <n v="4799"/>
    <s v="2024/002"/>
    <d v="2023-05-30T00:00:00"/>
    <n v="3110"/>
    <x v="2"/>
    <m/>
    <s v="Salary"/>
    <s v="D"/>
    <n v="3194579.2"/>
    <s v="BIF"/>
    <n v="0"/>
    <n v="1555.06"/>
    <s v="USD"/>
    <n v="1277.83"/>
    <s v="9UN1085"/>
    <s v="Christian Aid"/>
    <s v="I2281"/>
    <n v="117872"/>
    <s v="FHA"/>
    <d v="2023-06-05T00:00:00"/>
    <d v="2023-06-05T00:00:00"/>
    <s v="TKA"/>
  </r>
  <r>
    <s v="BUR_SAL_2024/002"/>
    <n v="4799"/>
    <s v="2024/002"/>
    <d v="2023-05-30T00:00:00"/>
    <n v="3110"/>
    <x v="2"/>
    <m/>
    <s v="Salary"/>
    <s v="D"/>
    <n v="481329.9"/>
    <s v="BIF"/>
    <n v="0"/>
    <n v="234.3"/>
    <s v="USD"/>
    <n v="192.53"/>
    <s v="9UN1085"/>
    <s v="Christian Aid"/>
    <s v="I2281"/>
    <n v="103328"/>
    <s v="FHA"/>
    <d v="2023-06-05T00:00:00"/>
    <d v="2023-06-05T00:00:00"/>
    <s v="TKA"/>
  </r>
  <r>
    <s v="BUR_SAL_2024/002"/>
    <n v="4799"/>
    <s v="2024/002"/>
    <d v="2023-05-30T00:00:00"/>
    <n v="3110"/>
    <x v="2"/>
    <m/>
    <s v="Salary"/>
    <s v="D"/>
    <n v="684495.8"/>
    <s v="BIF"/>
    <n v="0"/>
    <n v="333.2"/>
    <s v="USD"/>
    <n v="273.8"/>
    <s v="9UN1085"/>
    <s v="Christian Aid"/>
    <s v="I2281"/>
    <n v="117293"/>
    <s v="FHA"/>
    <d v="2023-06-05T00:00:00"/>
    <d v="2023-06-05T00:00:00"/>
    <s v="TKA"/>
  </r>
  <r>
    <s v="BUR_SAL_2024/002"/>
    <n v="4799"/>
    <s v="2024/002"/>
    <d v="2023-05-30T00:00:00"/>
    <n v="3120"/>
    <x v="2"/>
    <m/>
    <s v="INSS"/>
    <s v="D"/>
    <n v="4410"/>
    <s v="BIF"/>
    <n v="0"/>
    <n v="2.15"/>
    <s v="USD"/>
    <n v="1.76"/>
    <s v="9UN1085"/>
    <s v="Christian Aid"/>
    <s v="I2281"/>
    <n v="103265"/>
    <s v="FHA"/>
    <d v="2023-06-05T00:00:00"/>
    <d v="2023-06-05T00:00:00"/>
    <s v="TKA"/>
  </r>
  <r>
    <s v="BUR_SAL_2024/002"/>
    <n v="4799"/>
    <s v="2024/002"/>
    <d v="2023-05-30T00:00:00"/>
    <n v="3120"/>
    <x v="2"/>
    <m/>
    <s v="INSS"/>
    <s v="D"/>
    <n v="29400"/>
    <s v="BIF"/>
    <n v="0"/>
    <n v="14.31"/>
    <s v="USD"/>
    <n v="11.76"/>
    <s v="9UN1085"/>
    <s v="Christian Aid"/>
    <s v="I2281"/>
    <n v="117871"/>
    <s v="FHA"/>
    <d v="2023-06-05T00:00:00"/>
    <d v="2023-06-05T00:00:00"/>
    <s v="TKA"/>
  </r>
  <r>
    <s v="BUR_SAL_2024/002"/>
    <n v="4799"/>
    <s v="2024/002"/>
    <d v="2023-05-30T00:00:00"/>
    <n v="3120"/>
    <x v="2"/>
    <m/>
    <s v="INSS"/>
    <s v="D"/>
    <n v="23520"/>
    <s v="BIF"/>
    <n v="0"/>
    <n v="11.45"/>
    <s v="USD"/>
    <n v="9.41"/>
    <s v="9UN1085"/>
    <s v="Christian Aid"/>
    <s v="I2281"/>
    <n v="103321"/>
    <s v="FHA"/>
    <d v="2023-06-05T00:00:00"/>
    <d v="2023-06-05T00:00:00"/>
    <s v="TKA"/>
  </r>
  <r>
    <s v="BUR_SAL_2024/002"/>
    <n v="4799"/>
    <s v="2024/002"/>
    <d v="2023-05-30T00:00:00"/>
    <n v="3120"/>
    <x v="2"/>
    <m/>
    <s v="INSS"/>
    <s v="D"/>
    <n v="23520"/>
    <s v="BIF"/>
    <n v="0"/>
    <n v="11.45"/>
    <s v="USD"/>
    <n v="1.76"/>
    <s v="9UN1085"/>
    <s v="Christian Aid"/>
    <s v="I2281"/>
    <n v="117872"/>
    <s v="FHA"/>
    <d v="2023-06-05T00:00:00"/>
    <d v="2023-06-05T00:00:00"/>
    <s v="TKA"/>
  </r>
  <r>
    <s v="BUR_SAL_2024/002"/>
    <n v="4799"/>
    <s v="2024/002"/>
    <d v="2023-05-30T00:00:00"/>
    <n v="3120"/>
    <x v="2"/>
    <m/>
    <s v="INSS"/>
    <s v="D"/>
    <n v="8820"/>
    <s v="BIF"/>
    <n v="0"/>
    <n v="4.29"/>
    <s v="USD"/>
    <n v="9.41"/>
    <s v="9UN1085"/>
    <s v="Christian Aid"/>
    <s v="I2281"/>
    <n v="103328"/>
    <s v="FHA"/>
    <d v="2023-06-05T00:00:00"/>
    <d v="2023-06-05T00:00:00"/>
    <s v="TKA"/>
  </r>
  <r>
    <s v="BUR_SAL_2024/002"/>
    <n v="4799"/>
    <s v="2024/002"/>
    <d v="2023-05-30T00:00:00"/>
    <n v="3120"/>
    <x v="2"/>
    <m/>
    <s v="INSS"/>
    <s v="D"/>
    <n v="2940"/>
    <s v="BIF"/>
    <n v="0"/>
    <n v="1.43"/>
    <s v="USD"/>
    <n v="3.53"/>
    <s v="9UN1085"/>
    <s v="Christian Aid"/>
    <s v="I2281"/>
    <n v="117293"/>
    <s v="FHA"/>
    <d v="2023-06-05T00:00:00"/>
    <d v="2023-06-05T00:00:00"/>
    <s v="TKA"/>
  </r>
  <r>
    <s v="BUR_SAL_2024/002"/>
    <n v="4799"/>
    <s v="2024/002"/>
    <d v="2023-05-30T00:00:00"/>
    <n v="3120"/>
    <x v="2"/>
    <m/>
    <s v="INSS"/>
    <s v="D"/>
    <n v="4410"/>
    <s v="BIF"/>
    <n v="0"/>
    <n v="2.15"/>
    <s v="USD"/>
    <n v="1.18"/>
    <s v="9UN1085"/>
    <s v="Christian Aid"/>
    <s v="I2281"/>
    <n v="117427"/>
    <s v="FHA"/>
    <d v="2023-06-05T00:00:00"/>
    <d v="2023-06-05T00:00:00"/>
    <s v="TKA"/>
  </r>
  <r>
    <s v="CHQ0003099"/>
    <n v="4805"/>
    <s v="2024/002"/>
    <d v="2023-05-11T00:00:00"/>
    <n v="3420"/>
    <x v="1"/>
    <m/>
    <s v="03.02.09.UN April2023 Landline Phone - Buj office"/>
    <s v="D"/>
    <n v="35381"/>
    <s v="BIF"/>
    <n v="0"/>
    <n v="17.22"/>
    <s v="USD"/>
    <n v="13.75"/>
    <s v="9UN1085"/>
    <s v="Christian Aid"/>
    <s v="I2281"/>
    <n v="0"/>
    <s v="CBU"/>
    <d v="2023-06-02T00:00:00"/>
    <d v="2023-06-05T00:00:00"/>
    <s v="TKA"/>
  </r>
  <r>
    <s v="CHQ0003099"/>
    <n v="4949"/>
    <s v="2024/002"/>
    <d v="2023-05-11T00:00:00"/>
    <n v="3420"/>
    <x v="1"/>
    <m/>
    <s v="03.02.09.UN April 2023 Landline Phone-Buj office"/>
    <s v="C"/>
    <n v="-35381"/>
    <s v="BIF"/>
    <n v="0"/>
    <n v="-17.22"/>
    <s v="USD"/>
    <n v="-13.75"/>
    <s v="9UN1085"/>
    <s v="Christian Aid"/>
    <s v="I2281"/>
    <n v="0"/>
    <s v="DND"/>
    <d v="2023-06-05T00:00:00"/>
    <d v="2023-06-05T00:00:00"/>
    <s v="TKA"/>
  </r>
  <r>
    <s v="GMDB00002402023/Med.insurance"/>
    <n v="4956"/>
    <s v="2024/002"/>
    <d v="2023-05-02T00:00:00"/>
    <n v="3170"/>
    <x v="2"/>
    <m/>
    <s v="Medical insurance_Philip Mato Galg_May23 toApril24"/>
    <s v="D"/>
    <n v="231094"/>
    <s v="BIF"/>
    <n v="0"/>
    <n v="112.49"/>
    <s v="USD"/>
    <n v="89.83"/>
    <s v="9UN1085"/>
    <s v="Christian Aid"/>
    <s v="I2281"/>
    <n v="0"/>
    <s v="DND"/>
    <d v="2023-06-05T00:00:00"/>
    <d v="2023-06-05T00:00:00"/>
    <s v="TKA"/>
  </r>
  <r>
    <s v="GMDB00002402023/Med.insurance"/>
    <n v="4956"/>
    <s v="2024/002"/>
    <d v="2023-05-02T00:00:00"/>
    <n v="3170"/>
    <x v="2"/>
    <m/>
    <s v="Medical insurance_Beatrice Nij._May23 toApril24"/>
    <s v="D"/>
    <n v="410380"/>
    <s v="BIF"/>
    <n v="0"/>
    <n v="199.76"/>
    <s v="USD"/>
    <n v="159.52000000000001"/>
    <s v="9UN1085"/>
    <s v="Christian Aid"/>
    <s v="I2281"/>
    <n v="0"/>
    <s v="DND"/>
    <d v="2023-06-05T00:00:00"/>
    <d v="2023-06-05T00:00:00"/>
    <s v="TKA"/>
  </r>
  <r>
    <s v="GMDB00002402023/Med.insurance"/>
    <n v="4956"/>
    <s v="2024/002"/>
    <d v="2023-05-02T00:00:00"/>
    <n v="3170"/>
    <x v="2"/>
    <m/>
    <s v="Medical insurance_Fiacre Havy._May23 toApril24"/>
    <s v="D"/>
    <n v="1508810"/>
    <s v="BIF"/>
    <n v="0"/>
    <n v="734.46"/>
    <s v="USD"/>
    <n v="586.49"/>
    <s v="9UN1085"/>
    <s v="Christian Aid"/>
    <s v="I2281"/>
    <n v="0"/>
    <s v="DND"/>
    <d v="2023-06-05T00:00:00"/>
    <d v="2023-06-05T00:00:00"/>
    <s v="TKA"/>
  </r>
  <r>
    <s v="GMDB00002402023/Med.insurance"/>
    <n v="4956"/>
    <s v="2024/002"/>
    <d v="2023-05-02T00:00:00"/>
    <n v="3170"/>
    <x v="2"/>
    <m/>
    <s v="Medical insurance_Colombe Ishimwe_May23 toJune24"/>
    <s v="D"/>
    <n v="47280"/>
    <s v="BIF"/>
    <n v="0"/>
    <n v="23.01"/>
    <s v="USD"/>
    <n v="18.38"/>
    <s v="9UN1085"/>
    <s v="Christian Aid"/>
    <s v="I2281"/>
    <n v="0"/>
    <s v="DND"/>
    <d v="2023-06-05T00:00:00"/>
    <d v="2023-06-05T00:00:00"/>
    <s v="TKA"/>
  </r>
  <r>
    <s v="GMDB00002402023/Med.insurance"/>
    <n v="4956"/>
    <s v="2024/002"/>
    <d v="2023-05-02T00:00:00"/>
    <n v="3170"/>
    <x v="2"/>
    <m/>
    <s v="Medical insurance_Thyve Kaneza_May23 to Nov23"/>
    <s v="D"/>
    <n v="85664"/>
    <s v="BIF"/>
    <n v="0"/>
    <n v="41.7"/>
    <s v="USD"/>
    <n v="33.299999999999997"/>
    <s v="9UN1085"/>
    <s v="Christian Aid"/>
    <s v="I2281"/>
    <n v="0"/>
    <s v="DND"/>
    <d v="2023-06-05T00:00:00"/>
    <d v="2023-06-05T00:00:00"/>
    <s v="TKA"/>
  </r>
  <r>
    <s v="GMDB00002402023/Med.insurance"/>
    <n v="4956"/>
    <s v="2024/002"/>
    <d v="2023-05-02T00:00:00"/>
    <n v="3170"/>
    <x v="2"/>
    <m/>
    <s v="Medical insurance_Zephirin Ndikum_May23 to March24"/>
    <s v="D"/>
    <n v="2007034"/>
    <s v="BIF"/>
    <n v="0"/>
    <n v="976.98"/>
    <s v="USD"/>
    <n v="780.15"/>
    <s v="9UN1085"/>
    <s v="Christian Aid"/>
    <s v="I2281"/>
    <n v="0"/>
    <s v="DND"/>
    <d v="2023-06-05T00:00:00"/>
    <d v="2023-06-05T00:00:00"/>
    <s v="TKA"/>
  </r>
  <r>
    <s v="GMDB00002402023/Med.insurance"/>
    <n v="4956"/>
    <s v="2024/002"/>
    <d v="2023-05-02T00:00:00"/>
    <n v="3170"/>
    <x v="2"/>
    <m/>
    <s v="Medical insurance_Fabrice NINGANZ_May23 to March24"/>
    <s v="D"/>
    <n v="1942838"/>
    <s v="BIF"/>
    <n v="0"/>
    <n v="945.73"/>
    <s v="USD"/>
    <n v="755.2"/>
    <s v="9UN1085"/>
    <s v="Christian Aid"/>
    <s v="I2281"/>
    <n v="0"/>
    <s v="DND"/>
    <d v="2023-06-05T00:00:00"/>
    <d v="2023-06-05T00:00:00"/>
    <s v="TKA"/>
  </r>
  <r>
    <s v="OP0003159"/>
    <n v="4822"/>
    <s v="2024/002"/>
    <d v="2023-05-26T00:00:00"/>
    <n v="3420"/>
    <x v="1"/>
    <m/>
    <s v="Pyt May23 Internet subscription- Buj office"/>
    <s v="D"/>
    <n v="222775"/>
    <s v="BIF"/>
    <n v="0"/>
    <n v="108.44"/>
    <s v="USD"/>
    <n v="86.59"/>
    <s v="9UN1085"/>
    <s v="Christian Aid"/>
    <s v="I2281"/>
    <n v="0"/>
    <s v="CBU"/>
    <d v="2023-06-03T00:00:00"/>
    <d v="2023-06-05T00:00:00"/>
    <s v="TKA"/>
  </r>
  <r>
    <s v="OP0003159/REVERSAL"/>
    <n v="4950"/>
    <s v="2024/002"/>
    <d v="2023-05-26T00:00:00"/>
    <n v="3420"/>
    <x v="1"/>
    <m/>
    <s v="Pyt May23 Internet subscription-Buj office/REVERS."/>
    <s v="C"/>
    <n v="-222775"/>
    <s v="BIF"/>
    <n v="0"/>
    <n v="-108.44"/>
    <s v="USD"/>
    <n v="-86.59"/>
    <s v="9UN1085"/>
    <s v="Christian Aid"/>
    <s v="I2281"/>
    <n v="0"/>
    <s v="DND"/>
    <d v="2023-06-05T00:00:00"/>
    <d v="2023-06-05T00:00:00"/>
    <s v="TKA"/>
  </r>
  <r>
    <s v="OP0003250"/>
    <n v="4912"/>
    <s v="2024/002"/>
    <d v="2023-05-02T00:00:00"/>
    <n v="3440"/>
    <x v="1"/>
    <m/>
    <s v="03.02.06.UN- Purchase 2cartidges for printer"/>
    <s v="D"/>
    <n v="610000"/>
    <s v="BIF"/>
    <n v="0"/>
    <n v="296.94"/>
    <s v="USD"/>
    <n v="237.11"/>
    <s v="9UN1085"/>
    <s v="Christian Aid"/>
    <s v="I2281"/>
    <n v="0"/>
    <s v="CBU"/>
    <d v="2023-06-05T00:00:00"/>
    <d v="2023-06-05T00:00:00"/>
    <s v="TKA"/>
  </r>
  <r>
    <s v="REF JLICB/NBJ/YWT/96/2023"/>
    <n v="4955"/>
    <s v="2024/002"/>
    <d v="2023-05-02T00:00:00"/>
    <n v="3170"/>
    <x v="2"/>
    <m/>
    <s v="PYt Life Insurance _Philip_May 23_Apr 24"/>
    <s v="D"/>
    <n v="149131"/>
    <s v="BIF"/>
    <n v="0"/>
    <n v="72.59"/>
    <s v="USD"/>
    <n v="57.97"/>
    <s v="9UN1085"/>
    <s v="Christian Aid"/>
    <s v="I2281"/>
    <n v="0"/>
    <s v="FHA"/>
    <d v="2023-06-07T00:00:00"/>
    <d v="2023-06-05T00:00:00"/>
    <s v="TKA"/>
  </r>
  <r>
    <s v="REF JLICB/NBJ/YWT/96/2023"/>
    <n v="4955"/>
    <s v="2024/002"/>
    <d v="2023-05-02T00:00:00"/>
    <n v="3170"/>
    <x v="2"/>
    <m/>
    <s v="PYt Life Insurance _Thyve_May 23_Nov 23"/>
    <s v="D"/>
    <n v="29364"/>
    <s v="BIF"/>
    <n v="0"/>
    <n v="14.29"/>
    <s v="USD"/>
    <n v="11.41"/>
    <s v="9UN1085"/>
    <s v="Christian Aid"/>
    <s v="I2281"/>
    <n v="0"/>
    <s v="FHA"/>
    <d v="2023-06-07T00:00:00"/>
    <d v="2023-06-05T00:00:00"/>
    <s v="TKA"/>
  </r>
  <r>
    <s v="REF JLICB/NBJ/YWT/96/2023"/>
    <n v="4955"/>
    <s v="2024/002"/>
    <d v="2023-05-02T00:00:00"/>
    <n v="3170"/>
    <x v="2"/>
    <m/>
    <s v="PYt Life Insurance _Beatrice_May 23_Apr 24"/>
    <s v="D"/>
    <n v="62043"/>
    <s v="BIF"/>
    <n v="0"/>
    <n v="30.2"/>
    <s v="USD"/>
    <n v="24.12"/>
    <s v="9UN1085"/>
    <s v="Christian Aid"/>
    <s v="I2281"/>
    <n v="0"/>
    <s v="FHA"/>
    <d v="2023-06-07T00:00:00"/>
    <d v="2023-06-05T00:00:00"/>
    <s v="TKA"/>
  </r>
  <r>
    <s v="REF JLICB/NBJ/YWT/96/2023"/>
    <n v="4955"/>
    <s v="2024/002"/>
    <d v="2023-05-02T00:00:00"/>
    <n v="3170"/>
    <x v="2"/>
    <m/>
    <s v="PYt Life Insurance _Colombe_May 23_June 24"/>
    <s v="D"/>
    <n v="10251"/>
    <s v="BIF"/>
    <n v="0"/>
    <n v="4.99"/>
    <s v="USD"/>
    <n v="3.98"/>
    <s v="9UN1085"/>
    <s v="Christian Aid"/>
    <s v="I2281"/>
    <n v="0"/>
    <s v="FHA"/>
    <d v="2023-06-07T00:00:00"/>
    <d v="2023-06-05T00:00:00"/>
    <s v="TKA"/>
  </r>
  <r>
    <s v="REF JLICB/NBJ/YWT/96/2023"/>
    <n v="4955"/>
    <s v="2024/002"/>
    <d v="2023-05-02T00:00:00"/>
    <n v="3170"/>
    <x v="2"/>
    <m/>
    <s v="PYt Life Insurance _Zephirin_May 23_Apr 24"/>
    <s v="D"/>
    <n v="508317"/>
    <s v="BIF"/>
    <n v="0"/>
    <n v="247.44"/>
    <s v="USD"/>
    <n v="197.59"/>
    <s v="9UN1085"/>
    <s v="Christian Aid"/>
    <s v="I2281"/>
    <n v="0"/>
    <s v="FHA"/>
    <d v="2023-06-07T00:00:00"/>
    <d v="2023-06-05T00:00:00"/>
    <s v="TKA"/>
  </r>
  <r>
    <s v="REF JLICB/NBJ/YWT/96/2023"/>
    <n v="4955"/>
    <s v="2024/002"/>
    <d v="2023-05-02T00:00:00"/>
    <n v="3170"/>
    <x v="2"/>
    <m/>
    <s v="PYt Life Insurance _Fabrice_May 23_Apr 24"/>
    <s v="D"/>
    <n v="306966"/>
    <s v="BIF"/>
    <n v="0"/>
    <n v="149.41999999999999"/>
    <s v="USD"/>
    <n v="119.32"/>
    <s v="9UN1085"/>
    <s v="Christian Aid"/>
    <s v="I2281"/>
    <n v="0"/>
    <s v="FHA"/>
    <d v="2023-06-07T00:00:00"/>
    <d v="2023-06-05T00:00:00"/>
    <s v="TKA"/>
  </r>
  <r>
    <s v="REF JLICB/NBJ/YWT/96/2023"/>
    <n v="4955"/>
    <s v="2024/002"/>
    <d v="2023-05-02T00:00:00"/>
    <n v="3170"/>
    <x v="2"/>
    <m/>
    <s v="PYt Life Insurance _Fiacre_May 23_Apr 24"/>
    <s v="D"/>
    <n v="286157"/>
    <s v="BIF"/>
    <n v="0"/>
    <n v="139.30000000000001"/>
    <s v="USD"/>
    <n v="111.23"/>
    <s v="9UN1085"/>
    <s v="Christian Aid"/>
    <s v="I2281"/>
    <n v="0"/>
    <s v="FHA"/>
    <d v="2023-06-07T00:00:00"/>
    <d v="2023-06-05T00:00:00"/>
    <s v="TKA"/>
  </r>
  <r>
    <s v="OP139363, OP 139364, OP139365 et OP139361"/>
    <n v="1"/>
    <d v="2023-01-01T00:00:00"/>
    <d v="2023-02-01T00:00:00"/>
    <m/>
    <x v="3"/>
    <s v="S.3.1"/>
    <s v="Executive Secretary's salary for the month of January 2023"/>
    <s v="D"/>
    <n v="382766.2"/>
    <s v="BIF"/>
    <n v="2043.09"/>
    <n v="187.34671502479088"/>
    <s v="USD"/>
    <n v="0"/>
    <s v="9UN1085"/>
    <s v="DUSHIREHAMWE"/>
    <n v="0"/>
    <n v="0"/>
    <n v="0"/>
    <n v="0"/>
    <n v="0"/>
    <n v="0"/>
  </r>
  <r>
    <s v="OP139363, OP 139364, OP139365 et OP139361"/>
    <n v="1"/>
    <d v="2023-01-01T00:00:00"/>
    <d v="2023-02-01T00:00:00"/>
    <m/>
    <x v="3"/>
    <s v="S.3.2"/>
    <s v="Human Resources and Administration Officer's salary for the month of January 2023"/>
    <s v="D"/>
    <n v="113992.3"/>
    <s v="BIF"/>
    <n v="2043.09"/>
    <n v="55.794066830144537"/>
    <s v="USD"/>
    <n v="0"/>
    <s v="9UN1085"/>
    <s v="DUSHIREHAMWE"/>
    <n v="0"/>
    <n v="0"/>
    <n v="0"/>
    <n v="0"/>
    <n v="0"/>
    <n v="0"/>
  </r>
  <r>
    <s v="OP139363, OP 139364, OP139365 et OP139361"/>
    <n v="1"/>
    <d v="2023-01-01T00:00:00"/>
    <d v="2023-02-01T00:00:00"/>
    <m/>
    <x v="3"/>
    <s v="S.3.3"/>
    <s v="Finance Officer's salary for the month of January  2023"/>
    <s v="D"/>
    <n v="183146.6"/>
    <s v="BIF"/>
    <n v="2043.09"/>
    <n v="89.64196388803235"/>
    <s v="USD"/>
    <n v="0"/>
    <s v="9UN1085"/>
    <s v="DUSHIREHAMWE"/>
    <n v="0"/>
    <n v="0"/>
    <n v="0"/>
    <n v="0"/>
    <n v="0"/>
    <n v="0"/>
  </r>
  <r>
    <s v="OP139363, OP 139364, OP139365 et OP139361"/>
    <n v="1"/>
    <d v="2023-01-01T00:00:00"/>
    <d v="2023-02-01T00:00:00"/>
    <m/>
    <x v="3"/>
    <s v="S.3.4"/>
    <s v="Administrative and Financial Assistant's salary for the month of January  2023"/>
    <s v="D"/>
    <n v="133403.6"/>
    <s v="BIF"/>
    <n v="2043.09"/>
    <n v="65.295018819533169"/>
    <s v="USD"/>
    <n v="0"/>
    <s v="9UN1085"/>
    <s v="DUSHIREHAMWE"/>
    <n v="0"/>
    <n v="0"/>
    <n v="0"/>
    <n v="0"/>
    <n v="0"/>
    <n v="0"/>
  </r>
  <r>
    <s v="OP139363, OP 139364, OP139365 et OP139361"/>
    <n v="1"/>
    <d v="2023-01-01T00:00:00"/>
    <d v="2023-02-01T00:00:00"/>
    <m/>
    <x v="3"/>
    <s v="S.3.5"/>
    <s v="Driver's salary for January  2023"/>
    <s v="D"/>
    <n v="345468.5"/>
    <s v="BIF"/>
    <n v="2043.09"/>
    <n v="169.09118051578736"/>
    <s v="USD"/>
    <n v="0"/>
    <s v="9UN1085"/>
    <s v="DUSHIREHAMWE"/>
    <n v="0"/>
    <n v="0"/>
    <n v="0"/>
    <n v="0"/>
    <n v="0"/>
    <n v="0"/>
  </r>
  <r>
    <s v="OP 139367, OP 139368,OP139369 et OP 139366"/>
    <n v="2"/>
    <d v="2023-02-01T00:00:00"/>
    <d v="2023-02-28T00:00:00"/>
    <m/>
    <x v="3"/>
    <s v="S.3.1"/>
    <s v="Executive Secretary's salary for the month of February 2023"/>
    <s v="D"/>
    <n v="382766.2"/>
    <s v="BIF"/>
    <n v="2047.28"/>
    <n v="186.96328787464344"/>
    <s v="USD"/>
    <n v="0"/>
    <s v="9UN1085"/>
    <s v="DUSHIREHAMWE"/>
    <n v="0"/>
    <n v="0"/>
    <n v="0"/>
    <n v="0"/>
    <n v="0"/>
    <n v="0"/>
  </r>
  <r>
    <s v="OP 139367, OP 139368,OP139369 et OP 139366"/>
    <n v="2"/>
    <d v="2023-02-01T00:00:00"/>
    <d v="2023-02-28T00:00:00"/>
    <m/>
    <x v="3"/>
    <s v="S.3.2"/>
    <s v="Human Resources and Administration Officer's salary for the month of February 2023"/>
    <s v="D"/>
    <n v="113992.3"/>
    <s v="BIF"/>
    <n v="2047.28"/>
    <n v="55.679877691375879"/>
    <s v="USD"/>
    <n v="0"/>
    <s v="9UN1085"/>
    <s v="DUSHIREHAMWE"/>
    <n v="0"/>
    <n v="0"/>
    <n v="0"/>
    <n v="0"/>
    <n v="0"/>
    <n v="0"/>
  </r>
  <r>
    <s v="OP 139367, OP 139368,OP139369 et OP 139366"/>
    <n v="2"/>
    <d v="2023-02-01T00:00:00"/>
    <d v="2023-02-28T00:00:00"/>
    <m/>
    <x v="3"/>
    <s v="S.3.3"/>
    <s v="Finance Officer's salary for the month of February 2023"/>
    <s v="D"/>
    <n v="183146.6"/>
    <s v="BIF"/>
    <n v="2047.28"/>
    <n v="89.4585010355203"/>
    <s v="USD"/>
    <n v="0"/>
    <s v="9UN1085"/>
    <s v="DUSHIREHAMWE"/>
    <n v="0"/>
    <n v="0"/>
    <n v="0"/>
    <n v="0"/>
    <n v="0"/>
    <n v="0"/>
  </r>
  <r>
    <s v="OP 139367, OP 139368,OP139369 et OP 139366"/>
    <n v="2"/>
    <d v="2023-02-01T00:00:00"/>
    <d v="2023-02-28T00:00:00"/>
    <m/>
    <x v="3"/>
    <s v="S.3.4"/>
    <s v="Administrative and Financial Assistant's salary for the month of February 2023"/>
    <s v="D"/>
    <n v="133403.6"/>
    <s v="BIF"/>
    <n v="2047.28"/>
    <n v="65.1613848618655"/>
    <s v="USD"/>
    <n v="0"/>
    <s v="9UN1085"/>
    <s v="DUSHIREHAMWE"/>
    <n v="0"/>
    <n v="0"/>
    <n v="0"/>
    <n v="0"/>
    <n v="0"/>
    <n v="0"/>
  </r>
  <r>
    <s v="OP 139367, OP 139368,OP139369 et OP 139366"/>
    <n v="2"/>
    <d v="2023-02-01T00:00:00"/>
    <d v="2023-02-28T00:00:00"/>
    <m/>
    <x v="3"/>
    <s v="S.3.5"/>
    <s v="Driver's salary for February 2023"/>
    <s v="D"/>
    <n v="345468.5"/>
    <s v="BIF"/>
    <n v="2047.28"/>
    <n v="168.74511547028251"/>
    <s v="USD"/>
    <n v="0"/>
    <s v="9UN1085"/>
    <s v="DUSHIREHAMWE"/>
    <n v="0"/>
    <n v="0"/>
    <n v="0"/>
    <n v="0"/>
    <n v="0"/>
    <n v="0"/>
  </r>
  <r>
    <s v="OP139371,OP139372,OP139373 et OP139370"/>
    <n v="3"/>
    <d v="2023-03-01T00:00:00"/>
    <d v="2023-03-28T00:00:00"/>
    <m/>
    <x v="3"/>
    <s v="S.3.1"/>
    <s v="Executive Secretary's salary for the month of March 2023"/>
    <s v="D"/>
    <n v="382766.2"/>
    <s v="BIF"/>
    <n v="2049.2399999999998"/>
    <n v="186.7844664363374"/>
    <s v="USD"/>
    <n v="0"/>
    <s v="9UN1085"/>
    <s v="DUSHIREHAMWE"/>
    <n v="0"/>
    <n v="0"/>
    <n v="0"/>
    <n v="0"/>
    <n v="0"/>
    <n v="0"/>
  </r>
  <r>
    <s v="OP139371,OP139372,OP139373 et OP139370"/>
    <n v="3"/>
    <d v="2023-03-01T00:00:00"/>
    <d v="2023-03-28T00:00:00"/>
    <m/>
    <x v="3"/>
    <s v="S.3.2"/>
    <s v="Human Resources and Administration Officer's salary for the month of March"/>
    <s v="D"/>
    <n v="113992.3"/>
    <s v="BIF"/>
    <n v="2049.2399999999998"/>
    <n v="55.626622552751272"/>
    <s v="USD"/>
    <n v="0"/>
    <s v="9UN1085"/>
    <s v="DUSHIREHAMWE"/>
    <n v="0"/>
    <n v="0"/>
    <n v="0"/>
    <n v="0"/>
    <n v="0"/>
    <n v="0"/>
  </r>
  <r>
    <s v="OP139371,OP139372,OP139373 et OP139370"/>
    <n v="3"/>
    <d v="2023-03-01T00:00:00"/>
    <d v="2023-03-28T00:00:00"/>
    <m/>
    <x v="3"/>
    <s v="S.3.3"/>
    <s v="Finance Officer's salary for the month of March  2023"/>
    <s v="D"/>
    <n v="183146.6"/>
    <s v="BIF"/>
    <n v="2049.2399999999998"/>
    <n v="89.372938260037884"/>
    <s v="USD"/>
    <n v="0"/>
    <s v="9UN1085"/>
    <s v="DUSHIREHAMWE"/>
    <n v="0"/>
    <n v="0"/>
    <n v="0"/>
    <n v="0"/>
    <n v="0"/>
    <n v="0"/>
  </r>
  <r>
    <s v="OP139371,OP139372,OP139373 et OP139370"/>
    <n v="3"/>
    <d v="2023-03-01T00:00:00"/>
    <d v="2023-03-28T00:00:00"/>
    <m/>
    <x v="3"/>
    <s v="S.3.4"/>
    <s v="Administrative and Financial Assistant's salary for the month of March  2023"/>
    <s v="D"/>
    <n v="133403.6"/>
    <s v="BIF"/>
    <n v="2049.2399999999998"/>
    <n v="65.099061115340334"/>
    <s v="USD"/>
    <n v="0"/>
    <s v="9UN1085"/>
    <s v="DUSHIREHAMWE"/>
    <n v="0"/>
    <n v="0"/>
    <n v="0"/>
    <n v="0"/>
    <n v="0"/>
    <n v="0"/>
  </r>
  <r>
    <s v="OP139371,OP139372,OP139373 et OP139370"/>
    <n v="3"/>
    <d v="2023-03-01T00:00:00"/>
    <d v="2023-03-28T00:00:00"/>
    <m/>
    <x v="3"/>
    <s v="S.3.5"/>
    <s v="Driver's salary for March  2023"/>
    <s v="D"/>
    <n v="345468.5"/>
    <s v="BIF"/>
    <n v="2049.2399999999998"/>
    <n v="168.58371884210734"/>
    <s v="USD"/>
    <n v="0"/>
    <s v="9UN1085"/>
    <s v="DUSHIREHAMWE"/>
    <n v="0"/>
    <n v="0"/>
    <n v="0"/>
    <n v="0"/>
    <n v="0"/>
    <n v="0"/>
  </r>
  <r>
    <s v="OP139371,OP139372,OP139373 "/>
    <n v="3"/>
    <d v="2023-03-01T00:00:00"/>
    <d v="2023-03-28T00:00:00"/>
    <m/>
    <x v="3"/>
    <s v="S.3.6"/>
    <s v="Project coordinator's salary for March  2023"/>
    <s v="D"/>
    <n v="754602"/>
    <s v="BIF"/>
    <n v="2049.2399999999998"/>
    <n v="368.23505299525681"/>
    <s v="USD"/>
    <n v="0"/>
    <s v="9UN1085"/>
    <s v="DUSHIREHAMWE"/>
    <n v="0"/>
    <n v="0"/>
    <n v="0"/>
    <n v="0"/>
    <n v="0"/>
    <n v="0"/>
  </r>
  <r>
    <s v="OP 139326, OP 139327,OP139328 et OP 139374"/>
    <n v="4"/>
    <d v="2023-04-01T00:00:00"/>
    <d v="2023-04-28T00:00:00"/>
    <m/>
    <x v="3"/>
    <s v="S.3.1"/>
    <s v="Executive Secretary's salary for the month of April 2023"/>
    <s v="D"/>
    <n v="382766.2"/>
    <s v="BIF"/>
    <n v="20050.46"/>
    <n v="19.090145562745196"/>
    <s v="USD"/>
    <n v="0"/>
    <s v="9UN1085"/>
    <s v="DUSHIREHAMWE"/>
    <n v="0"/>
    <n v="0"/>
    <n v="0"/>
    <n v="0"/>
    <n v="0"/>
    <n v="0"/>
  </r>
  <r>
    <s v="OP 139326, OP 139327,OP139328 et OP 139374"/>
    <n v="4"/>
    <d v="2023-04-01T00:00:00"/>
    <d v="2023-04-28T00:00:00"/>
    <m/>
    <x v="3"/>
    <s v="S.3.2"/>
    <s v="Human Resources and Administration Officer's salary for the month of April 2023"/>
    <s v="D"/>
    <n v="113992.3"/>
    <s v="BIF"/>
    <n v="20050.46"/>
    <n v="5.6852710611128128"/>
    <s v="USD"/>
    <n v="0"/>
    <s v="9UN1085"/>
    <s v="DUSHIREHAMWE"/>
    <n v="0"/>
    <n v="0"/>
    <n v="0"/>
    <n v="0"/>
    <n v="0"/>
    <n v="0"/>
  </r>
  <r>
    <s v="OP 139326, OP 139327,OP139328 et OP 139374"/>
    <n v="4"/>
    <d v="2023-04-01T00:00:00"/>
    <d v="2023-04-28T00:00:00"/>
    <m/>
    <x v="3"/>
    <s v="S.3.3"/>
    <s v="Finance Officer's salary for the month of April 2023"/>
    <s v="D"/>
    <n v="183146.6"/>
    <s v="BIF"/>
    <n v="20050.46"/>
    <n v="9.1342842009609768"/>
    <s v="USD"/>
    <n v="0"/>
    <s v="9UN1085"/>
    <s v="DUSHIREHAMWE"/>
    <n v="0"/>
    <n v="0"/>
    <n v="0"/>
    <n v="0"/>
    <n v="0"/>
    <n v="0"/>
  </r>
  <r>
    <s v="OP 139326, OP 139327,OP139328 et OP 139374"/>
    <n v="4"/>
    <d v="2023-04-01T00:00:00"/>
    <d v="2023-04-28T00:00:00"/>
    <m/>
    <x v="3"/>
    <s v="S.3.4"/>
    <s v="Administrative and Financial Assistant's salary for the month of April 2023"/>
    <s v="D"/>
    <n v="133403.6"/>
    <s v="BIF"/>
    <n v="20050.46"/>
    <n v="6.6533934882291987"/>
    <s v="USD"/>
    <n v="0"/>
    <s v="9UN1085"/>
    <s v="DUSHIREHAMWE"/>
    <n v="0"/>
    <n v="0"/>
    <n v="0"/>
    <n v="0"/>
    <n v="0"/>
    <n v="0"/>
  </r>
  <r>
    <s v="OP 139326, OP 139327,OP139328 et OP 139374"/>
    <n v="4"/>
    <d v="2023-04-01T00:00:00"/>
    <d v="2023-04-28T00:00:00"/>
    <m/>
    <x v="3"/>
    <s v="S.3.5"/>
    <s v="Driver's salary for April  2023"/>
    <s v="D"/>
    <n v="345468.5"/>
    <s v="BIF"/>
    <n v="20050.46"/>
    <n v="17.229953826495752"/>
    <s v="USD"/>
    <n v="0"/>
    <s v="9UN1085"/>
    <s v="DUSHIREHAMWE"/>
    <n v="0"/>
    <n v="0"/>
    <n v="0"/>
    <n v="0"/>
    <n v="0"/>
    <n v="0"/>
  </r>
  <r>
    <s v="OP 139326, OP 139327,OP139328 et OP 139374"/>
    <n v="4"/>
    <d v="2023-04-01T00:00:00"/>
    <d v="2023-04-28T00:00:00"/>
    <m/>
    <x v="3"/>
    <s v="S.3.6"/>
    <s v="Project coordinator's salary for April  2023"/>
    <s v="D"/>
    <n v="1509204"/>
    <s v="BIF"/>
    <n v="20050.46"/>
    <n v="75.270293050633256"/>
    <s v="USD"/>
    <n v="0"/>
    <s v="9UN1085"/>
    <s v="DUSHIREHAMWE"/>
    <n v="0"/>
    <n v="0"/>
    <n v="0"/>
    <n v="0"/>
    <n v="0"/>
    <n v="0"/>
  </r>
  <r>
    <s v="OP139330,OP139331,OP139332et OP 139329"/>
    <n v="5"/>
    <d v="2023-05-01T00:00:00"/>
    <d v="2023-05-31T00:00:00"/>
    <m/>
    <x v="3"/>
    <s v="S.3.1"/>
    <s v="Executive Secretary's salary for the month of May 2023"/>
    <s v="D"/>
    <n v="382766.2"/>
    <s v="BIF"/>
    <n v="2054.29"/>
    <n v="186.32529973859582"/>
    <s v="USD"/>
    <n v="0"/>
    <s v="9UN1085"/>
    <s v="DUSHIREHAMWE"/>
    <n v="0"/>
    <n v="0"/>
    <n v="0"/>
    <n v="0"/>
    <n v="0"/>
    <n v="0"/>
  </r>
  <r>
    <s v="OP139330,OP139331,OP139332et OP 139329"/>
    <n v="5"/>
    <d v="2023-05-01T00:00:00"/>
    <d v="2023-05-31T00:00:00"/>
    <m/>
    <x v="3"/>
    <s v="S.3.2"/>
    <s v="Human Resources and Administration Officer's salary for the month of May 2023"/>
    <s v="D"/>
    <n v="113992.3"/>
    <s v="BIF"/>
    <n v="2054.29"/>
    <n v="55.489877281201778"/>
    <s v="USD"/>
    <n v="0"/>
    <s v="9UN1085"/>
    <s v="DUSHIREHAMWE"/>
    <n v="0"/>
    <n v="0"/>
    <n v="0"/>
    <n v="0"/>
    <n v="0"/>
    <n v="0"/>
  </r>
  <r>
    <s v="OP139330,OP139331,OP139332et OP 139329"/>
    <n v="5"/>
    <d v="2023-05-01T00:00:00"/>
    <d v="2023-05-31T00:00:00"/>
    <m/>
    <x v="3"/>
    <s v="S.3.3"/>
    <s v="Finance Officer's salary for the month of May 2023"/>
    <s v="D"/>
    <n v="183146.6"/>
    <s v="BIF"/>
    <n v="2054.29"/>
    <n v="89.153235424404542"/>
    <s v="USD"/>
    <n v="0"/>
    <s v="9UN1085"/>
    <s v="DUSHIREHAMWE"/>
    <n v="0"/>
    <n v="0"/>
    <n v="0"/>
    <n v="0"/>
    <n v="0"/>
    <n v="0"/>
  </r>
  <r>
    <s v="OP139330,OP139331,OP139332et OP 139329"/>
    <n v="5"/>
    <d v="2023-05-01T00:00:00"/>
    <d v="2023-05-31T00:00:00"/>
    <m/>
    <x v="3"/>
    <s v="S.3.4"/>
    <s v="Administrative and Financial Assistant's salary for the month of May 2023"/>
    <s v="D"/>
    <n v="133403.6"/>
    <s v="BIF"/>
    <n v="2054.29"/>
    <n v="64.939030029839998"/>
    <s v="USD"/>
    <n v="0"/>
    <s v="9UN1085"/>
    <s v="DUSHIREHAMWE"/>
    <n v="0"/>
    <n v="0"/>
    <n v="0"/>
    <n v="0"/>
    <n v="0"/>
    <n v="0"/>
  </r>
  <r>
    <s v="OP139330,OP139331,OP139332et OP 139329"/>
    <n v="5"/>
    <d v="2023-05-01T00:00:00"/>
    <d v="2023-05-31T00:00:00"/>
    <m/>
    <x v="3"/>
    <s v="S.3.5"/>
    <s v="Driver's salary for May  2023"/>
    <s v="D"/>
    <n v="345468.5"/>
    <s v="BIF"/>
    <n v="2054.29"/>
    <n v="168.16929450077643"/>
    <s v="USD"/>
    <n v="0"/>
    <s v="9UN1085"/>
    <s v="DUSHIREHAMWE"/>
    <n v="0"/>
    <n v="0"/>
    <n v="0"/>
    <n v="0"/>
    <n v="0"/>
    <n v="0"/>
  </r>
  <r>
    <s v="OP139330,OP139331,OP139332et OP 139329"/>
    <n v="5"/>
    <d v="2023-05-01T00:00:00"/>
    <d v="2023-05-31T00:00:00"/>
    <m/>
    <x v="3"/>
    <s v="S.3.6"/>
    <s v="Project coordinator's salary for May  2023"/>
    <s v="D"/>
    <n v="1509204"/>
    <s v="BIF"/>
    <n v="2054.29"/>
    <n v="734.65966343602895"/>
    <s v="USD"/>
    <n v="0"/>
    <s v="9UN1085"/>
    <s v="DUSHIREHAMWE"/>
    <n v="0"/>
    <n v="0"/>
    <n v="0"/>
    <n v="0"/>
    <n v="0"/>
    <n v="0"/>
  </r>
  <r>
    <s v="OP139304"/>
    <n v="6"/>
    <d v="2023-01-01T00:00:00"/>
    <d v="2023-01-10T00:00:00"/>
    <m/>
    <x v="3"/>
    <s v="O.3.6"/>
    <s v="Internet for January 2023"/>
    <s v="D"/>
    <n v="70000"/>
    <s v="BIF"/>
    <n v="2043.09"/>
    <n v="34.261828896426493"/>
    <s v="USD"/>
    <n v="0"/>
    <s v="9UN1085"/>
    <s v="DUSHIREHAMWE"/>
    <n v="0"/>
    <n v="0"/>
    <n v="0"/>
    <n v="0"/>
    <n v="0"/>
    <n v="0"/>
  </r>
  <r>
    <s v="OP139306"/>
    <n v="7"/>
    <d v="2023-01-01T00:00:00"/>
    <d v="2023-02-01T00:00:00"/>
    <m/>
    <x v="3"/>
    <s v="O.3.3"/>
    <s v="Bujumbura office rent for January 2023"/>
    <s v="D"/>
    <n v="200000"/>
    <s v="BIF"/>
    <n v="2043.09"/>
    <n v="97.890939704075691"/>
    <s v="USD"/>
    <n v="0"/>
    <s v="9UN1085"/>
    <s v="DUSHIREHAMWE"/>
    <n v="0"/>
    <n v="0"/>
    <n v="0"/>
    <n v="0"/>
    <n v="0"/>
    <n v="0"/>
  </r>
  <r>
    <s v="OP139306"/>
    <n v="8"/>
    <d v="2023-01-01T00:00:00"/>
    <d v="2023-02-01T00:00:00"/>
    <m/>
    <x v="3"/>
    <s v="O.3.7"/>
    <s v="Maintenance equipments for January 2023"/>
    <s v="D"/>
    <n v="60000"/>
    <s v="BIF"/>
    <n v="2043.09"/>
    <n v="29.367281911222708"/>
    <s v="USD"/>
    <n v="0"/>
    <s v="9UN1085"/>
    <s v="DUSHIREHAMWE"/>
    <n v="0"/>
    <n v="0"/>
    <n v="0"/>
    <n v="0"/>
    <n v="0"/>
    <n v="0"/>
  </r>
  <r>
    <s v="OP139307"/>
    <n v="9"/>
    <d v="2023-02-01T00:00:00"/>
    <d v="2023-02-16T00:00:00"/>
    <m/>
    <x v="3"/>
    <s v="O.3.8"/>
    <s v="Guards Bujumbura office for January 2023"/>
    <s v="D"/>
    <n v="36385"/>
    <s v="BIF"/>
    <n v="2043.09"/>
    <n v="17.80880920566397"/>
    <s v="USD"/>
    <n v="0"/>
    <s v="9UN1085"/>
    <s v="DUSHIREHAMWE"/>
    <n v="0"/>
    <n v="0"/>
    <n v="0"/>
    <n v="0"/>
    <n v="0"/>
    <n v="0"/>
  </r>
  <r>
    <s v="OP139308"/>
    <n v="10"/>
    <d v="2023-01-01T00:00:00"/>
    <d v="2023-02-06T00:00:00"/>
    <m/>
    <x v="3"/>
    <s v="O.3.5"/>
    <s v="Telephone fixed  communication for January 2023"/>
    <s v="D"/>
    <n v="30000"/>
    <s v="BIF"/>
    <n v="2043.09"/>
    <n v="14.683640955611354"/>
    <s v="USD"/>
    <n v="0"/>
    <s v="9UN1085"/>
    <s v="DUSHIREHAMWE"/>
    <n v="0"/>
    <n v="0"/>
    <n v="0"/>
    <n v="0"/>
    <n v="0"/>
    <n v="0"/>
  </r>
  <r>
    <s v="OP139309"/>
    <n v="11"/>
    <d v="2023-02-01T00:00:00"/>
    <d v="2023-02-06T00:00:00"/>
    <m/>
    <x v="3"/>
    <s v="O.3.3"/>
    <s v="Bujumbura office rent for February 2023"/>
    <s v="D"/>
    <n v="200000"/>
    <s v="BIF"/>
    <n v="2047.28"/>
    <n v="97.690594349576031"/>
    <s v="USD"/>
    <n v="0"/>
    <s v="9UN1085"/>
    <s v="DUSHIREHAMWE"/>
    <n v="0"/>
    <n v="0"/>
    <n v="0"/>
    <n v="0"/>
    <n v="0"/>
    <n v="0"/>
  </r>
  <r>
    <s v="OP139311"/>
    <n v="12"/>
    <d v="2023-02-01T00:00:00"/>
    <d v="2023-02-10T00:00:00"/>
    <m/>
    <x v="3"/>
    <s v="O.3.6"/>
    <s v="Internet for February 2023"/>
    <s v="D"/>
    <n v="70000"/>
    <s v="BIF"/>
    <n v="2047.28"/>
    <n v="34.191708022351605"/>
    <s v="USD"/>
    <n v="0"/>
    <s v="9UN1085"/>
    <s v="DUSHIREHAMWE"/>
    <n v="0"/>
    <n v="0"/>
    <n v="0"/>
    <n v="0"/>
    <n v="0"/>
    <n v="0"/>
  </r>
  <r>
    <s v="OP139312"/>
    <n v="13"/>
    <d v="2023-02-01T00:00:00"/>
    <d v="2023-02-21T00:00:00"/>
    <m/>
    <x v="3"/>
    <s v="O.3.8"/>
    <s v="Guards Bujumbura office for February 2023"/>
    <s v="D"/>
    <n v="36385"/>
    <s v="BIF"/>
    <n v="2047.28"/>
    <n v="17.772361377046618"/>
    <s v="USD"/>
    <n v="0"/>
    <s v="9UN1085"/>
    <s v="DUSHIREHAMWE"/>
    <n v="0"/>
    <n v="0"/>
    <n v="0"/>
    <n v="0"/>
    <n v="0"/>
    <n v="0"/>
  </r>
  <r>
    <s v="OP139313"/>
    <n v="14"/>
    <d v="2023-02-01T00:00:00"/>
    <d v="2023-02-28T00:00:00"/>
    <m/>
    <x v="3"/>
    <s v="O.3.7"/>
    <s v="Maintenance equipments for February 2023"/>
    <s v="D"/>
    <n v="60000"/>
    <s v="BIF"/>
    <n v="2047.28"/>
    <n v="29.307178304872807"/>
    <s v="USD"/>
    <n v="0"/>
    <s v="9UN1085"/>
    <s v="DUSHIREHAMWE"/>
    <n v="0"/>
    <n v="0"/>
    <n v="0"/>
    <n v="0"/>
    <n v="0"/>
    <n v="0"/>
  </r>
  <r>
    <s v="OP139314"/>
    <n v="15"/>
    <d v="2023-03-01T00:00:00"/>
    <d v="2023-03-13T00:00:00"/>
    <m/>
    <x v="3"/>
    <s v="O.3.6"/>
    <s v="Internet for March 2023"/>
    <s v="D"/>
    <n v="70000"/>
    <s v="BIF"/>
    <n v="2049.2399999999998"/>
    <n v="34.159005289765965"/>
    <s v="USD"/>
    <n v="0"/>
    <s v="9UN1085"/>
    <s v="DUSHIREHAMWE"/>
    <n v="0"/>
    <n v="0"/>
    <n v="0"/>
    <n v="0"/>
    <n v="0"/>
    <n v="0"/>
  </r>
  <r>
    <s v="OP139314"/>
    <n v="16"/>
    <d v="2023-02-01T00:00:00"/>
    <d v="2023-03-13T00:00:00"/>
    <m/>
    <x v="3"/>
    <s v="O.3.5"/>
    <s v="Telephone fixed  communication for February 2023"/>
    <s v="D"/>
    <n v="30000"/>
    <s v="BIF"/>
    <n v="2047.28"/>
    <n v="14.653589152436403"/>
    <s v="USD"/>
    <n v="0"/>
    <s v="9UN1085"/>
    <s v="DUSHIREHAMWE"/>
    <n v="0"/>
    <n v="0"/>
    <n v="0"/>
    <n v="0"/>
    <n v="0"/>
    <n v="0"/>
  </r>
  <r>
    <s v="OP139320"/>
    <n v="17"/>
    <d v="2023-04-01T00:00:00"/>
    <d v="2023-04-14T00:00:00"/>
    <m/>
    <x v="3"/>
    <s v="O.3.6"/>
    <s v="Internet for April 2023"/>
    <s v="D"/>
    <n v="70000"/>
    <s v="BIF"/>
    <n v="2049.2399999999998"/>
    <n v="34.159005289765965"/>
    <s v="USD"/>
    <n v="0"/>
    <s v="9UN1085"/>
    <s v="DUSHIREHAMWE"/>
    <n v="0"/>
    <n v="0"/>
    <n v="0"/>
    <n v="0"/>
    <n v="0"/>
    <n v="0"/>
  </r>
  <r>
    <s v="OP139320"/>
    <n v="18"/>
    <d v="2023-03-01T00:00:00"/>
    <d v="2023-04-14T00:00:00"/>
    <m/>
    <x v="3"/>
    <s v="O.3.5"/>
    <s v="Telephone fixed  communication for March 2023"/>
    <s v="D"/>
    <n v="30000"/>
    <s v="BIF"/>
    <n v="2049.2399999999998"/>
    <n v="14.639573695613985"/>
    <s v="USD"/>
    <n v="0"/>
    <s v="9UN1085"/>
    <s v="DUSHIREHAMWE"/>
    <n v="0"/>
    <n v="0"/>
    <n v="0"/>
    <n v="0"/>
    <n v="0"/>
    <n v="0"/>
  </r>
  <r>
    <s v="OP139315"/>
    <n v="19"/>
    <d v="2023-03-01T00:00:00"/>
    <d v="2023-03-17T00:00:00"/>
    <m/>
    <x v="3"/>
    <s v="O.3.3"/>
    <s v="Bujumbura office rent for March 2023"/>
    <s v="D"/>
    <n v="200000"/>
    <s v="BIF"/>
    <n v="2049.2399999999998"/>
    <n v="97.597157970759895"/>
    <s v="USD"/>
    <n v="0"/>
    <s v="9UN1085"/>
    <s v="DUSHIREHAMWE"/>
    <n v="0"/>
    <n v="0"/>
    <n v="0"/>
    <n v="0"/>
    <n v="0"/>
    <n v="0"/>
  </r>
  <r>
    <s v="OP139316"/>
    <n v="20"/>
    <d v="2023-03-01T00:00:00"/>
    <d v="2023-03-27T00:00:00"/>
    <m/>
    <x v="3"/>
    <s v="O.3.8"/>
    <s v="Guards Bujumbura office for March 2023"/>
    <s v="D"/>
    <n v="36385"/>
    <s v="BIF"/>
    <n v="2049.2399999999998"/>
    <n v="17.755362963830496"/>
    <s v="USD"/>
    <n v="0"/>
    <s v="9UN1085"/>
    <s v="DUSHIREHAMWE"/>
    <n v="0"/>
    <n v="0"/>
    <n v="0"/>
    <n v="0"/>
    <n v="0"/>
    <n v="0"/>
  </r>
  <r>
    <s v="OP139318"/>
    <n v="21"/>
    <d v="2023-03-01T00:00:00"/>
    <d v="2023-03-31T00:00:00"/>
    <m/>
    <x v="3"/>
    <s v="O.3.7"/>
    <s v="Maintenance equipments for March 2023"/>
    <s v="D"/>
    <n v="60000"/>
    <s v="BIF"/>
    <n v="2049.2399999999998"/>
    <n v="29.279147391227969"/>
    <s v="USD"/>
    <n v="0"/>
    <s v="9UN1085"/>
    <s v="DUSHIREHAMWE"/>
    <n v="0"/>
    <n v="0"/>
    <n v="0"/>
    <n v="0"/>
    <n v="0"/>
    <n v="0"/>
  </r>
  <r>
    <s v="OP139322"/>
    <n v="22"/>
    <d v="2023-04-01T00:00:00"/>
    <d v="2023-05-03T00:00:00"/>
    <m/>
    <x v="3"/>
    <s v="O.3.3"/>
    <s v="Bujumbura office rent for April 2023"/>
    <s v="D"/>
    <n v="200000"/>
    <s v="BIF"/>
    <n v="2050.46"/>
    <n v="97.539088789832519"/>
    <s v="USD"/>
    <n v="0"/>
    <s v="9UN1085"/>
    <s v="DUSHIREHAMWE"/>
    <n v="0"/>
    <n v="0"/>
    <n v="0"/>
    <n v="0"/>
    <n v="0"/>
    <n v="0"/>
  </r>
  <r>
    <s v="OP139322"/>
    <n v="23"/>
    <d v="2023-04-01T00:00:00"/>
    <d v="2023-05-03T00:00:00"/>
    <m/>
    <x v="3"/>
    <s v="O.3.7"/>
    <s v="Maintenance equipments for April 2023"/>
    <s v="D"/>
    <n v="60000"/>
    <s v="BIF"/>
    <n v="2050.46"/>
    <n v="29.261726636949756"/>
    <s v="USD"/>
    <n v="0"/>
    <s v="9UN1085"/>
    <s v="DUSHIREHAMWE"/>
    <n v="0"/>
    <n v="0"/>
    <n v="0"/>
    <n v="0"/>
    <n v="0"/>
    <n v="0"/>
  </r>
  <r>
    <s v="OP139323"/>
    <n v="24"/>
    <d v="2023-04-01T00:00:00"/>
    <d v="2023-05-05T00:00:00"/>
    <m/>
    <x v="3"/>
    <s v="O.3.5"/>
    <s v="Telephone fixed  communication for April 2023"/>
    <s v="D"/>
    <n v="30000"/>
    <s v="BIF"/>
    <n v="2050.46"/>
    <n v="14.630863318474878"/>
    <s v="USD"/>
    <n v="0"/>
    <s v="9UN1085"/>
    <s v="DUSHIREHAMWE"/>
    <n v="0"/>
    <n v="0"/>
    <n v="0"/>
    <n v="0"/>
    <n v="0"/>
    <n v="0"/>
  </r>
  <r>
    <s v="OP139324"/>
    <n v="25"/>
    <d v="2023-05-01T00:00:00"/>
    <d v="2023-05-16T00:00:00"/>
    <m/>
    <x v="3"/>
    <s v="O.3.6"/>
    <s v="Internet for May 2023"/>
    <s v="D"/>
    <n v="70000"/>
    <s v="BIF"/>
    <n v="2054.29"/>
    <n v="34.075033223157391"/>
    <s v="USD"/>
    <n v="0"/>
    <s v="9UN1085"/>
    <s v="DUSHIREHAMWE"/>
    <n v="0"/>
    <n v="0"/>
    <n v="0"/>
    <n v="0"/>
    <n v="0"/>
    <n v="0"/>
  </r>
  <r>
    <s v="OP139324"/>
    <n v="26"/>
    <d v="2023-05-01T00:00:00"/>
    <d v="2023-05-16T00:00:00"/>
    <m/>
    <x v="3"/>
    <s v="O.3.3"/>
    <s v="Bujumbura office rent for May 2023"/>
    <s v="D"/>
    <n v="200000"/>
    <s v="BIF"/>
    <n v="2054.29"/>
    <n v="97.357237780449694"/>
    <s v="USD"/>
    <n v="0"/>
    <s v="9UN1085"/>
    <s v="DUSHIREHAMWE"/>
    <n v="0"/>
    <n v="0"/>
    <n v="0"/>
    <n v="0"/>
    <n v="0"/>
    <n v="0"/>
  </r>
  <r>
    <s v="CHQ0002341"/>
    <n v="1"/>
    <d v="2023-05-01T00:00:00"/>
    <d v="2023-05-19T00:00:00"/>
    <m/>
    <x v="3"/>
    <s v="O.4.6"/>
    <s v="Frais attestation identite bancaire"/>
    <s v="D"/>
    <n v="20000"/>
    <s v="BIF"/>
    <n v="2054.29"/>
    <n v="9.735723778044969"/>
    <s v="USD"/>
    <n v="0"/>
    <s v="9UN1085"/>
    <s v="COCAFEM"/>
    <n v="0"/>
    <n v="0"/>
    <n v="0"/>
    <n v="0"/>
    <n v="0"/>
    <n v="0"/>
  </r>
  <r>
    <s v="B Bank Charges_USD Account"/>
    <n v="5055"/>
    <s v="2024/003"/>
    <d v="2023-06-30T00:00:00"/>
    <n v="3600"/>
    <x v="1"/>
    <m/>
    <s v="03.02.14.UN-Bank charges _ USD Account_June23"/>
    <s v="D"/>
    <n v="43"/>
    <s v="USD"/>
    <n v="0"/>
    <n v="43"/>
    <s v="USD"/>
    <n v="34.69"/>
    <s v="9UN1085"/>
    <s v="Christian Aid"/>
    <s v="I2281"/>
    <n v="0"/>
    <s v="DND"/>
    <d v="2023-07-05T00:00:00"/>
    <d v="2023-07-05T00:00:00"/>
    <s v="TKA"/>
  </r>
  <r>
    <s v="B CHQ0003137"/>
    <n v="4990"/>
    <s v="2024/003"/>
    <d v="2023-06-26T00:00:00"/>
    <n v="3420"/>
    <x v="1"/>
    <m/>
    <s v="03.02.09.UN-Airtime for Zephirin&amp;Fabrice_May2023"/>
    <s v="D"/>
    <n v="50000"/>
    <s v="BIF"/>
    <n v="0"/>
    <n v="17.91"/>
    <s v="USD"/>
    <n v="14.45"/>
    <s v="9UN1085"/>
    <s v="Christian Aid"/>
    <s v="I2281"/>
    <n v="0"/>
    <s v="DND"/>
    <d v="2023-07-04T00:00:00"/>
    <d v="2023-07-05T00:00:00"/>
    <s v="TKA"/>
  </r>
  <r>
    <s v="B CV1010"/>
    <n v="5004"/>
    <s v="2024/003"/>
    <d v="2023-06-02T00:00:00"/>
    <n v="3170"/>
    <x v="2"/>
    <m/>
    <s v="04.01.01.UN.Reimbursmnt on eye care costs"/>
    <s v="D"/>
    <n v="80000"/>
    <s v="BIF"/>
    <n v="0"/>
    <n v="28.65"/>
    <s v="USD"/>
    <n v="23.11"/>
    <s v="9UN1085"/>
    <s v="Christian Aid"/>
    <s v="I2281"/>
    <n v="0"/>
    <s v="DND"/>
    <d v="2023-07-05T00:00:00"/>
    <d v="2023-07-05T00:00:00"/>
    <s v="TKA"/>
  </r>
  <r>
    <s v="B FACT3052066"/>
    <n v="4999"/>
    <s v="2024/003"/>
    <d v="2023-06-30T00:00:00"/>
    <n v="3420"/>
    <x v="1"/>
    <m/>
    <s v="03.02.09.UN-Landline Payment_May2023"/>
    <s v="D"/>
    <n v="140000"/>
    <s v="BIF"/>
    <n v="0"/>
    <n v="50.13"/>
    <s v="USD"/>
    <n v="40.450000000000003"/>
    <s v="9UN1085"/>
    <s v="Christian Aid"/>
    <s v="I2281"/>
    <n v="0"/>
    <s v="DND"/>
    <d v="2023-07-04T00:00:00"/>
    <d v="2023-07-05T00:00:00"/>
    <s v="TKA"/>
  </r>
  <r>
    <s v="B OV0003181"/>
    <n v="4978"/>
    <s v="2024/003"/>
    <d v="2023-06-20T00:00:00"/>
    <n v="3440"/>
    <x v="1"/>
    <m/>
    <s v="03.02.06.UN Purchase of catridges"/>
    <s v="D"/>
    <n v="500000"/>
    <s v="BIF"/>
    <n v="0"/>
    <n v="179.05"/>
    <s v="USD"/>
    <n v="144.46"/>
    <s v="9UN1085"/>
    <s v="Christian Aid"/>
    <s v="I2281"/>
    <n v="0"/>
    <s v="DND"/>
    <d v="2023-07-04T00:00:00"/>
    <d v="2023-07-05T00:00:00"/>
    <s v="TKA"/>
  </r>
  <r>
    <s v="B TICKET0081608653"/>
    <n v="5090"/>
    <s v="2024/003"/>
    <d v="2023-06-12T00:00:00"/>
    <n v="3350"/>
    <x v="4"/>
    <m/>
    <s v="03.02.11.UN-Fuel vehicle A418 A IT- 44.72L"/>
    <s v="D"/>
    <n v="145340"/>
    <s v="BIF"/>
    <n v="0"/>
    <n v="52.05"/>
    <s v="USD"/>
    <n v="41.99"/>
    <s v="9UN1085"/>
    <s v="Christian Aid"/>
    <s v="I2281"/>
    <n v="0"/>
    <s v="DND"/>
    <d v="2023-07-05T00:00:00"/>
    <d v="2023-07-05T00:00:00"/>
    <s v="TKA"/>
  </r>
  <r>
    <s v="BUR_SAL_2024/003"/>
    <n v="4967"/>
    <s v="2024/003"/>
    <d v="2023-06-30T00:00:00"/>
    <n v="3130"/>
    <x v="2"/>
    <m/>
    <s v="CPF ERS"/>
    <s v="D"/>
    <n v="205107.4"/>
    <s v="BIF"/>
    <n v="0"/>
    <n v="73.45"/>
    <s v="USD"/>
    <n v="61.53"/>
    <s v="9UN1085"/>
    <s v="Christian Aid"/>
    <s v="I2281"/>
    <n v="102955"/>
    <s v="FHA"/>
    <d v="2023-07-04T00:00:00"/>
    <d v="2023-07-04T00:00:00"/>
    <s v="TKA"/>
  </r>
  <r>
    <s v="BUR_SAL_2024/003"/>
    <n v="4967"/>
    <s v="2024/003"/>
    <d v="2023-06-30T00:00:00"/>
    <n v="3130"/>
    <x v="2"/>
    <m/>
    <s v="CPF ERS"/>
    <s v="D"/>
    <n v="55502.85"/>
    <s v="BIF"/>
    <n v="0"/>
    <n v="19.88"/>
    <s v="USD"/>
    <n v="16.649999999999999"/>
    <s v="9UN1085"/>
    <s v="Christian Aid"/>
    <s v="I2281"/>
    <n v="103265"/>
    <s v="FHA"/>
    <d v="2023-07-04T00:00:00"/>
    <d v="2023-07-04T00:00:00"/>
    <s v="TKA"/>
  </r>
  <r>
    <s v="BUR_SAL_2024/003"/>
    <n v="4967"/>
    <s v="2024/003"/>
    <d v="2023-06-30T00:00:00"/>
    <n v="3130"/>
    <x v="2"/>
    <m/>
    <s v="CPF ERS"/>
    <s v="D"/>
    <n v="532244"/>
    <s v="BIF"/>
    <n v="0"/>
    <n v="190.6"/>
    <s v="USD"/>
    <n v="159.66999999999999"/>
    <s v="9UN1085"/>
    <s v="Christian Aid"/>
    <s v="I2281"/>
    <n v="117871"/>
    <s v="FHA"/>
    <d v="2023-07-04T00:00:00"/>
    <d v="2023-07-04T00:00:00"/>
    <s v="TKA"/>
  </r>
  <r>
    <s v="BUR_SAL_2024/003"/>
    <n v="4967"/>
    <s v="2024/003"/>
    <d v="2023-06-30T00:00:00"/>
    <n v="3130"/>
    <x v="2"/>
    <m/>
    <s v="CPF ERS"/>
    <s v="D"/>
    <n v="286764.79999999999"/>
    <s v="BIF"/>
    <n v="0"/>
    <n v="102.69"/>
    <s v="USD"/>
    <n v="86.03"/>
    <s v="9UN1085"/>
    <s v="Christian Aid"/>
    <s v="I2281"/>
    <n v="103321"/>
    <s v="FHA"/>
    <d v="2023-07-04T00:00:00"/>
    <d v="2023-07-04T00:00:00"/>
    <s v="TKA"/>
  </r>
  <r>
    <s v="BUR_SAL_2024/003"/>
    <n v="4967"/>
    <s v="2024/003"/>
    <d v="2023-06-30T00:00:00"/>
    <n v="3130"/>
    <x v="2"/>
    <m/>
    <s v="CPF ERS"/>
    <s v="D"/>
    <n v="55848.3"/>
    <s v="BIF"/>
    <n v="0"/>
    <n v="20"/>
    <s v="USD"/>
    <n v="16.75"/>
    <s v="9UN1085"/>
    <s v="Christian Aid"/>
    <s v="I2281"/>
    <n v="117427"/>
    <s v="FHA"/>
    <d v="2023-07-04T00:00:00"/>
    <d v="2023-07-04T00:00:00"/>
    <s v="TKA"/>
  </r>
  <r>
    <s v="BUR_SAL_2024/003"/>
    <n v="4967"/>
    <s v="2024/003"/>
    <d v="2023-06-30T00:00:00"/>
    <n v="3130"/>
    <x v="2"/>
    <m/>
    <s v="CPF ERS"/>
    <s v="D"/>
    <n v="297857.59999999998"/>
    <s v="BIF"/>
    <n v="0"/>
    <n v="106.66"/>
    <s v="USD"/>
    <n v="89.36"/>
    <s v="9UN1085"/>
    <s v="Christian Aid"/>
    <s v="I2281"/>
    <n v="117872"/>
    <s v="FHA"/>
    <d v="2023-07-04T00:00:00"/>
    <d v="2023-07-04T00:00:00"/>
    <s v="TKA"/>
  </r>
  <r>
    <s v="BUR_SAL_2024/003"/>
    <n v="4967"/>
    <s v="2024/003"/>
    <d v="2023-06-30T00:00:00"/>
    <n v="3130"/>
    <x v="2"/>
    <m/>
    <s v="CPF ERS"/>
    <s v="D"/>
    <n v="40032.9"/>
    <s v="BIF"/>
    <n v="0"/>
    <n v="14.34"/>
    <s v="USD"/>
    <n v="12.01"/>
    <s v="9UN1085"/>
    <s v="Christian Aid"/>
    <s v="I2281"/>
    <n v="103328"/>
    <s v="FHA"/>
    <d v="2023-07-04T00:00:00"/>
    <d v="2023-07-04T00:00:00"/>
    <s v="TKA"/>
  </r>
  <r>
    <s v="BUR_SAL_2024/003"/>
    <n v="4967"/>
    <s v="2024/003"/>
    <d v="2023-06-30T00:00:00"/>
    <n v="3130"/>
    <x v="2"/>
    <m/>
    <s v="CPF ERS"/>
    <s v="D"/>
    <n v="65749.600000000006"/>
    <s v="BIF"/>
    <n v="0"/>
    <n v="23.55"/>
    <s v="USD"/>
    <n v="19.72"/>
    <s v="9UN1085"/>
    <s v="Christian Aid"/>
    <s v="I2281"/>
    <n v="117293"/>
    <s v="FHA"/>
    <d v="2023-07-04T00:00:00"/>
    <d v="2023-07-04T00:00:00"/>
    <s v="TKA"/>
  </r>
  <r>
    <s v="BUR_SAL_2024/003"/>
    <n v="4967"/>
    <s v="2024/003"/>
    <d v="2023-06-30T00:00:00"/>
    <n v="3120"/>
    <x v="2"/>
    <m/>
    <s v="INSS"/>
    <s v="D"/>
    <n v="4410"/>
    <s v="BIF"/>
    <n v="0"/>
    <n v="1.58"/>
    <s v="USD"/>
    <n v="1.32"/>
    <s v="9UN1085"/>
    <s v="Christian Aid"/>
    <s v="I2281"/>
    <n v="103265"/>
    <s v="FHA"/>
    <d v="2023-07-04T00:00:00"/>
    <d v="2023-07-04T00:00:00"/>
    <s v="TKA"/>
  </r>
  <r>
    <s v="BUR_SAL_2024/003"/>
    <n v="4967"/>
    <s v="2024/003"/>
    <d v="2023-06-30T00:00:00"/>
    <n v="3120"/>
    <x v="2"/>
    <m/>
    <s v="INSS"/>
    <s v="D"/>
    <n v="29400"/>
    <s v="BIF"/>
    <n v="0"/>
    <n v="10.53"/>
    <s v="USD"/>
    <n v="8.82"/>
    <s v="9UN1085"/>
    <s v="Christian Aid"/>
    <s v="I2281"/>
    <n v="117871"/>
    <s v="FHA"/>
    <d v="2023-07-04T00:00:00"/>
    <d v="2023-07-04T00:00:00"/>
    <s v="TKA"/>
  </r>
  <r>
    <s v="BUR_SAL_2024/003"/>
    <n v="4967"/>
    <s v="2024/003"/>
    <d v="2023-06-30T00:00:00"/>
    <n v="3120"/>
    <x v="2"/>
    <m/>
    <s v="INSS"/>
    <s v="D"/>
    <n v="23520"/>
    <s v="BIF"/>
    <n v="0"/>
    <n v="8.42"/>
    <s v="USD"/>
    <n v="7.06"/>
    <s v="9UN1085"/>
    <s v="Christian Aid"/>
    <s v="I2281"/>
    <n v="103321"/>
    <s v="FHA"/>
    <d v="2023-07-04T00:00:00"/>
    <d v="2023-07-04T00:00:00"/>
    <s v="TKA"/>
  </r>
  <r>
    <s v="BUR_SAL_2024/003"/>
    <n v="4967"/>
    <s v="2024/003"/>
    <d v="2023-06-30T00:00:00"/>
    <n v="3120"/>
    <x v="2"/>
    <m/>
    <s v="INSS"/>
    <s v="D"/>
    <n v="4410"/>
    <s v="BIF"/>
    <n v="0"/>
    <n v="1.58"/>
    <s v="USD"/>
    <n v="1.32"/>
    <s v="9UN1085"/>
    <s v="Christian Aid"/>
    <s v="I2281"/>
    <n v="117427"/>
    <s v="FHA"/>
    <d v="2023-07-04T00:00:00"/>
    <d v="2023-07-04T00:00:00"/>
    <s v="TKA"/>
  </r>
  <r>
    <s v="BUR_SAL_2024/003"/>
    <n v="4967"/>
    <s v="2024/003"/>
    <d v="2023-06-30T00:00:00"/>
    <n v="3120"/>
    <x v="2"/>
    <m/>
    <s v="INSS"/>
    <s v="D"/>
    <n v="23520"/>
    <s v="BIF"/>
    <n v="0"/>
    <n v="8.42"/>
    <s v="USD"/>
    <n v="7.06"/>
    <s v="9UN1085"/>
    <s v="Christian Aid"/>
    <s v="I2281"/>
    <n v="117872"/>
    <s v="FHA"/>
    <d v="2023-07-04T00:00:00"/>
    <d v="2023-07-04T00:00:00"/>
    <s v="TKA"/>
  </r>
  <r>
    <s v="BUR_SAL_2024/003"/>
    <n v="4967"/>
    <s v="2024/003"/>
    <d v="2023-06-30T00:00:00"/>
    <n v="3120"/>
    <x v="2"/>
    <m/>
    <s v="INSS"/>
    <s v="D"/>
    <n v="8820"/>
    <s v="BIF"/>
    <n v="0"/>
    <n v="3.16"/>
    <s v="USD"/>
    <n v="2.65"/>
    <s v="9UN1085"/>
    <s v="Christian Aid"/>
    <s v="I2281"/>
    <n v="103328"/>
    <s v="FHA"/>
    <d v="2023-07-04T00:00:00"/>
    <d v="2023-07-04T00:00:00"/>
    <s v="TKA"/>
  </r>
  <r>
    <s v="BUR_SAL_2024/003"/>
    <n v="4967"/>
    <s v="2024/003"/>
    <d v="2023-06-30T00:00:00"/>
    <n v="3120"/>
    <x v="2"/>
    <m/>
    <s v="INSS"/>
    <s v="D"/>
    <n v="2940"/>
    <s v="BIF"/>
    <n v="0"/>
    <n v="1.05"/>
    <s v="USD"/>
    <n v="0.88"/>
    <s v="9UN1085"/>
    <s v="Christian Aid"/>
    <s v="I2281"/>
    <n v="117293"/>
    <s v="FHA"/>
    <d v="2023-07-04T00:00:00"/>
    <d v="2023-07-04T00:00:00"/>
    <s v="TKA"/>
  </r>
  <r>
    <s v="BUR_SAL_2024/003"/>
    <n v="4967"/>
    <s v="2024/003"/>
    <d v="2023-06-30T00:00:00"/>
    <n v="3110"/>
    <x v="2"/>
    <m/>
    <s v="Salary"/>
    <s v="D"/>
    <n v="2051074.3"/>
    <s v="BIF"/>
    <n v="0"/>
    <n v="734.5"/>
    <s v="USD"/>
    <n v="615.32000000000005"/>
    <s v="9UN1085"/>
    <s v="Christian Aid"/>
    <s v="I2281"/>
    <n v="102955"/>
    <s v="FHA"/>
    <d v="2023-07-04T00:00:00"/>
    <d v="2023-07-04T00:00:00"/>
    <s v="TKA"/>
  </r>
  <r>
    <s v="BUR_SAL_2024/003"/>
    <n v="4967"/>
    <s v="2024/003"/>
    <d v="2023-06-30T00:00:00"/>
    <n v="3110"/>
    <x v="2"/>
    <m/>
    <s v="Salary"/>
    <s v="D"/>
    <n v="595528.80000000005"/>
    <s v="BIF"/>
    <n v="0"/>
    <n v="213.26"/>
    <s v="USD"/>
    <n v="178.66"/>
    <s v="9UN1085"/>
    <s v="Christian Aid"/>
    <s v="I2281"/>
    <n v="103265"/>
    <s v="FHA"/>
    <d v="2023-07-04T00:00:00"/>
    <d v="2023-07-04T00:00:00"/>
    <s v="TKA"/>
  </r>
  <r>
    <s v="BUR_SAL_2024/003"/>
    <n v="4967"/>
    <s v="2024/003"/>
    <d v="2023-06-30T00:00:00"/>
    <n v="3110"/>
    <x v="2"/>
    <m/>
    <s v="Salary"/>
    <s v="D"/>
    <n v="5592445"/>
    <s v="BIF"/>
    <n v="0"/>
    <n v="2002.68"/>
    <s v="USD"/>
    <n v="1677.73"/>
    <s v="9UN1085"/>
    <s v="Christian Aid"/>
    <s v="I2281"/>
    <n v="117871"/>
    <s v="FHA"/>
    <d v="2023-07-04T00:00:00"/>
    <d v="2023-07-04T00:00:00"/>
    <s v="TKA"/>
  </r>
  <r>
    <s v="BUR_SAL_2024/003"/>
    <n v="4967"/>
    <s v="2024/003"/>
    <d v="2023-06-30T00:00:00"/>
    <n v="3110"/>
    <x v="2"/>
    <m/>
    <s v="Salary"/>
    <s v="D"/>
    <n v="3083644.8"/>
    <s v="BIF"/>
    <n v="0"/>
    <n v="1104.27"/>
    <s v="USD"/>
    <n v="925.09"/>
    <s v="9UN1085"/>
    <s v="Christian Aid"/>
    <s v="I2281"/>
    <n v="103321"/>
    <s v="FHA"/>
    <d v="2023-07-04T00:00:00"/>
    <d v="2023-07-04T00:00:00"/>
    <s v="TKA"/>
  </r>
  <r>
    <s v="BUR_SAL_2024/003"/>
    <n v="4967"/>
    <s v="2024/003"/>
    <d v="2023-06-30T00:00:00"/>
    <n v="3110"/>
    <x v="2"/>
    <m/>
    <s v="Salary"/>
    <s v="D"/>
    <n v="598983.44999999995"/>
    <s v="BIF"/>
    <n v="0"/>
    <n v="214.5"/>
    <s v="USD"/>
    <n v="179.7"/>
    <s v="9UN1085"/>
    <s v="Christian Aid"/>
    <s v="I2281"/>
    <n v="117427"/>
    <s v="FHA"/>
    <d v="2023-07-04T00:00:00"/>
    <d v="2023-07-04T00:00:00"/>
    <s v="TKA"/>
  </r>
  <r>
    <s v="BUR_SAL_2024/003"/>
    <n v="4967"/>
    <s v="2024/003"/>
    <d v="2023-06-30T00:00:00"/>
    <n v="3110"/>
    <x v="2"/>
    <m/>
    <s v="Salary"/>
    <s v="D"/>
    <n v="3194579.2"/>
    <s v="BIF"/>
    <n v="0"/>
    <n v="1143.99"/>
    <s v="USD"/>
    <n v="958.37"/>
    <s v="9UN1085"/>
    <s v="Christian Aid"/>
    <s v="I2281"/>
    <n v="117872"/>
    <s v="FHA"/>
    <d v="2023-07-04T00:00:00"/>
    <d v="2023-07-04T00:00:00"/>
    <s v="TKA"/>
  </r>
  <r>
    <s v="BUR_SAL_2024/003"/>
    <n v="4967"/>
    <s v="2024/003"/>
    <d v="2023-06-30T00:00:00"/>
    <n v="3110"/>
    <x v="2"/>
    <m/>
    <s v="Salary"/>
    <s v="D"/>
    <n v="481329.9"/>
    <s v="BIF"/>
    <n v="0"/>
    <n v="172.37"/>
    <s v="USD"/>
    <n v="144.4"/>
    <s v="9UN1085"/>
    <s v="Christian Aid"/>
    <s v="I2281"/>
    <n v="103328"/>
    <s v="FHA"/>
    <d v="2023-07-04T00:00:00"/>
    <d v="2023-07-04T00:00:00"/>
    <s v="TKA"/>
  </r>
  <r>
    <s v="BUR_SAL_2024/003"/>
    <n v="4967"/>
    <s v="2024/003"/>
    <d v="2023-06-30T00:00:00"/>
    <n v="3110"/>
    <x v="2"/>
    <m/>
    <s v="Salary"/>
    <s v="D"/>
    <n v="684495.8"/>
    <s v="BIF"/>
    <n v="0"/>
    <n v="245.12"/>
    <s v="USD"/>
    <n v="205.35"/>
    <s v="9UN1085"/>
    <s v="Christian Aid"/>
    <s v="I2281"/>
    <n v="117293"/>
    <s v="FHA"/>
    <d v="2023-07-04T00:00:00"/>
    <d v="2023-07-04T00:00:00"/>
    <s v="TKA"/>
  </r>
  <r>
    <s v="CHQ1615423"/>
    <n v="1"/>
    <d v="2023-06-01T00:00:00"/>
    <d v="2023-06-15T00:00:00"/>
    <m/>
    <x v="3"/>
    <s v="O.1.3"/>
    <s v="Buja  Office rent jan-May 2023"/>
    <s v="D"/>
    <n v="40000"/>
    <s v="BIF"/>
    <n v="2801.6"/>
    <n v="14.277555682467161"/>
    <s v="USD"/>
    <n v="0"/>
    <s v="9UN1085"/>
    <s v="RFP"/>
    <n v="0"/>
    <n v="0"/>
    <n v="0"/>
    <n v="0"/>
    <n v="0"/>
    <n v="0"/>
  </r>
  <r>
    <s v="CHQ1615422"/>
    <n v="2"/>
    <d v="2023-06-01T00:00:00"/>
    <d v="2023-06-15T00:00:00"/>
    <m/>
    <x v="3"/>
    <s v="O.1.9"/>
    <s v="Water and electricity January 2023"/>
    <s v="D"/>
    <n v="45000"/>
    <s v="BIF"/>
    <n v="2801.6"/>
    <n v="16.062250142775557"/>
    <s v="USD"/>
    <n v="0"/>
    <s v="9UN1085"/>
    <s v="RFP"/>
    <n v="0"/>
    <n v="0"/>
    <n v="0"/>
    <n v="0"/>
    <n v="0"/>
    <n v="0"/>
  </r>
  <r>
    <s v="CHQ1615422"/>
    <n v="2"/>
    <d v="2023-06-01T00:00:00"/>
    <d v="2023-06-15T00:00:00"/>
    <m/>
    <x v="3"/>
    <s v="O.1.9"/>
    <s v="Water and electricity February 2023"/>
    <s v="D"/>
    <n v="45000"/>
    <s v="BIF"/>
    <n v="2801.6"/>
    <n v="16.062250142775557"/>
    <s v="USD"/>
    <n v="0"/>
    <s v="9UN1085"/>
    <s v="RFP"/>
    <n v="0"/>
    <n v="0"/>
    <n v="0"/>
    <n v="0"/>
    <n v="0"/>
    <n v="0"/>
  </r>
  <r>
    <s v="CHQ1615422"/>
    <n v="2"/>
    <d v="2023-06-01T00:00:00"/>
    <d v="2023-06-15T00:00:00"/>
    <m/>
    <x v="3"/>
    <s v="O.1.9"/>
    <s v="Water and electricity March 2023"/>
    <s v="D"/>
    <n v="45000"/>
    <s v="BIF"/>
    <n v="2801.6"/>
    <n v="16.062250142775557"/>
    <s v="USD"/>
    <n v="0"/>
    <s v="9UN1085"/>
    <s v="RFP"/>
    <n v="0"/>
    <n v="0"/>
    <n v="0"/>
    <n v="0"/>
    <n v="0"/>
    <n v="0"/>
  </r>
  <r>
    <s v="CHQ1615422"/>
    <n v="2"/>
    <d v="2023-06-01T00:00:00"/>
    <d v="2023-06-15T00:00:00"/>
    <m/>
    <x v="3"/>
    <s v="O.1.9"/>
    <s v="Water and electricity April 2023"/>
    <s v="D"/>
    <n v="45000"/>
    <s v="BIF"/>
    <n v="2801.6"/>
    <n v="16.062250142775557"/>
    <s v="USD"/>
    <n v="0"/>
    <s v="9UN1085"/>
    <s v="RFP"/>
    <n v="0"/>
    <n v="0"/>
    <n v="0"/>
    <n v="0"/>
    <n v="0"/>
    <n v="0"/>
  </r>
  <r>
    <s v="CHQ1615422"/>
    <n v="2"/>
    <d v="2023-06-01T00:00:00"/>
    <d v="2023-06-15T00:00:00"/>
    <m/>
    <x v="3"/>
    <s v="O.1.9"/>
    <s v="Water and electricity May 2023"/>
    <s v="D"/>
    <n v="45000"/>
    <s v="BIF"/>
    <n v="2801.6"/>
    <n v="16.062250142775557"/>
    <s v="USD"/>
    <n v="0"/>
    <s v="9UN1085"/>
    <s v="RFP"/>
    <n v="0"/>
    <n v="0"/>
    <n v="0"/>
    <n v="0"/>
    <n v="0"/>
    <n v="0"/>
  </r>
  <r>
    <s v="34/06/PB/2023"/>
    <n v="3"/>
    <d v="2023-06-01T00:00:00"/>
    <d v="2023-06-19T00:00:00"/>
    <m/>
    <x v="3"/>
    <s v="S.1.2"/>
    <s v="Salary of the project coordinator January 2023"/>
    <s v="D"/>
    <n v="1318589"/>
    <s v="BIF"/>
    <n v="2801.6"/>
    <n v="470.65569674471732"/>
    <s v="USD"/>
    <n v="0"/>
    <s v="9UN1085"/>
    <s v="RFP"/>
    <n v="0"/>
    <n v="0"/>
    <n v="0"/>
    <n v="0"/>
    <n v="0"/>
    <n v="0"/>
  </r>
  <r>
    <s v="34/06/PB/2023"/>
    <n v="3"/>
    <d v="2023-06-01T00:00:00"/>
    <d v="2023-06-19T00:00:00"/>
    <m/>
    <x v="3"/>
    <s v="S.1.2"/>
    <s v="Salary of the project coordinator February 2023"/>
    <s v="D"/>
    <n v="1318589"/>
    <s v="BIF"/>
    <n v="2801.6"/>
    <n v="470.65569674471732"/>
    <s v="USD"/>
    <n v="0"/>
    <s v="9UN1085"/>
    <s v="RFP"/>
    <n v="0"/>
    <n v="0"/>
    <n v="0"/>
    <n v="0"/>
    <n v="0"/>
    <n v="0"/>
  </r>
  <r>
    <s v="34/06/PB/2023"/>
    <n v="3"/>
    <d v="2023-06-01T00:00:00"/>
    <d v="2023-06-19T00:00:00"/>
    <m/>
    <x v="3"/>
    <s v="S.1.2"/>
    <s v="Salary of the project coordinator March 2023"/>
    <s v="D"/>
    <n v="1318589"/>
    <s v="BIF"/>
    <n v="2801.6"/>
    <n v="470.65569674471732"/>
    <s v="USD"/>
    <n v="0"/>
    <s v="9UN1085"/>
    <s v="RFP"/>
    <n v="0"/>
    <n v="0"/>
    <n v="0"/>
    <n v="0"/>
    <n v="0"/>
    <n v="0"/>
  </r>
  <r>
    <s v="34/06/PB/2023"/>
    <n v="3"/>
    <d v="2023-06-01T00:00:00"/>
    <d v="2023-06-19T00:00:00"/>
    <m/>
    <x v="3"/>
    <s v="S.1.2"/>
    <s v="Salary of the project coordinator April 2023"/>
    <s v="D"/>
    <n v="1318589"/>
    <s v="BIF"/>
    <n v="2801.6"/>
    <n v="470.65569674471732"/>
    <s v="USD"/>
    <n v="0"/>
    <s v="9UN1085"/>
    <s v="RFP"/>
    <n v="0"/>
    <n v="0"/>
    <n v="0"/>
    <n v="0"/>
    <n v="0"/>
    <n v="0"/>
  </r>
  <r>
    <s v="34/06/PB/2023"/>
    <n v="3"/>
    <d v="2023-06-01T00:00:00"/>
    <d v="2023-06-19T00:00:00"/>
    <m/>
    <x v="3"/>
    <s v="S.1.2"/>
    <s v="Salary of the project coordinator May 2023"/>
    <s v="D"/>
    <n v="1318589"/>
    <s v="BIF"/>
    <n v="2801.6"/>
    <n v="470.65569674471732"/>
    <s v="USD"/>
    <n v="0"/>
    <s v="9UN1085"/>
    <s v="RFP"/>
    <n v="0"/>
    <n v="0"/>
    <n v="0"/>
    <n v="0"/>
    <n v="0"/>
    <n v="0"/>
  </r>
  <r>
    <s v="42/06/PB/2023"/>
    <n v="4"/>
    <d v="2023-06-01T00:00:00"/>
    <d v="2023-06-23T00:00:00"/>
    <m/>
    <x v="3"/>
    <s v="O.1.5"/>
    <s v="Salary of the guard Buja January 2023"/>
    <s v="D"/>
    <n v="133677"/>
    <s v="BIF"/>
    <n v="2801.6"/>
    <n v="47.714520274129072"/>
    <s v="USD"/>
    <n v="0"/>
    <s v="9UN1085"/>
    <s v="RFP"/>
    <n v="0"/>
    <n v="0"/>
    <n v="0"/>
    <n v="0"/>
    <n v="0"/>
    <n v="0"/>
  </r>
  <r>
    <s v="42/06/PB/2023"/>
    <n v="4"/>
    <d v="2023-06-01T00:00:00"/>
    <d v="2023-06-23T00:00:00"/>
    <m/>
    <x v="3"/>
    <s v="O.1.5"/>
    <s v="Salary of the guard Buja February 2023"/>
    <s v="D"/>
    <n v="133677"/>
    <s v="BIF"/>
    <n v="2801.6"/>
    <n v="47.714520274129072"/>
    <s v="USD"/>
    <n v="0"/>
    <s v="9UN1085"/>
    <s v="RFP"/>
    <n v="0"/>
    <n v="0"/>
    <n v="0"/>
    <n v="0"/>
    <n v="0"/>
    <n v="0"/>
  </r>
  <r>
    <s v="42/06/PB/2023"/>
    <n v="4"/>
    <d v="2023-06-01T00:00:00"/>
    <d v="2023-06-23T00:00:00"/>
    <m/>
    <x v="3"/>
    <s v="O.1.5"/>
    <s v="Salary of the guard Buja March 2023"/>
    <s v="D"/>
    <n v="133677"/>
    <s v="BIF"/>
    <n v="2801.6"/>
    <n v="47.714520274129072"/>
    <s v="USD"/>
    <n v="0"/>
    <s v="9UN1085"/>
    <s v="RFP"/>
    <n v="0"/>
    <n v="0"/>
    <n v="0"/>
    <n v="0"/>
    <n v="0"/>
    <n v="0"/>
  </r>
  <r>
    <s v="42/06/PB/2023"/>
    <n v="4"/>
    <d v="2023-06-01T00:00:00"/>
    <d v="2023-06-23T00:00:00"/>
    <m/>
    <x v="3"/>
    <s v="O.1.5"/>
    <s v="Salary of the guard Buja April 2023"/>
    <s v="D"/>
    <n v="133677"/>
    <s v="BIF"/>
    <n v="2801.6"/>
    <n v="47.714520274129072"/>
    <s v="USD"/>
    <n v="0"/>
    <s v="9UN1085"/>
    <s v="RFP"/>
    <n v="0"/>
    <n v="0"/>
    <n v="0"/>
    <n v="0"/>
    <n v="0"/>
    <n v="0"/>
  </r>
  <r>
    <s v="42/06/PB/2023"/>
    <n v="4"/>
    <d v="2023-06-01T00:00:00"/>
    <d v="2023-06-23T00:00:00"/>
    <m/>
    <x v="3"/>
    <s v="O.1.5"/>
    <s v="Salary of the guard Buja May 2023"/>
    <s v="D"/>
    <n v="133677"/>
    <s v="BIF"/>
    <n v="2801.6"/>
    <n v="47.714520274129072"/>
    <s v="USD"/>
    <n v="0"/>
    <s v="9UN1085"/>
    <s v="RFP"/>
    <n v="0"/>
    <n v="0"/>
    <n v="0"/>
    <n v="0"/>
    <n v="0"/>
    <n v="0"/>
  </r>
  <r>
    <s v="42/06/PB/2023"/>
    <n v="4"/>
    <d v="2023-06-01T00:00:00"/>
    <d v="2023-06-23T00:00:00"/>
    <m/>
    <x v="3"/>
    <s v="S.1.1"/>
    <s v="Salary of the country representative January 2023"/>
    <s v="D"/>
    <n v="295714"/>
    <s v="BIF"/>
    <n v="2801.6"/>
    <n v="105.55182752712736"/>
    <s v="USD"/>
    <n v="0"/>
    <s v="9UN1085"/>
    <s v="RFP"/>
    <n v="0"/>
    <n v="0"/>
    <n v="0"/>
    <n v="0"/>
    <n v="0"/>
    <n v="0"/>
  </r>
  <r>
    <s v="42/06/PB/2023"/>
    <n v="4"/>
    <d v="2023-06-01T00:00:00"/>
    <d v="2023-06-23T00:00:00"/>
    <m/>
    <x v="3"/>
    <s v="S.1.1"/>
    <s v="Salary of the country representative February 2023"/>
    <s v="D"/>
    <n v="295714"/>
    <s v="BIF"/>
    <n v="2801.6"/>
    <n v="105.55182752712736"/>
    <s v="USD"/>
    <n v="0"/>
    <s v="9UN1085"/>
    <s v="RFP"/>
    <n v="0"/>
    <n v="0"/>
    <n v="0"/>
    <n v="0"/>
    <n v="0"/>
    <n v="0"/>
  </r>
  <r>
    <s v="42/06/PB/2023"/>
    <n v="4"/>
    <d v="2023-06-01T00:00:00"/>
    <d v="2023-06-23T00:00:00"/>
    <m/>
    <x v="3"/>
    <s v="S.1.1"/>
    <s v="Salary of the country representative March 2023"/>
    <s v="D"/>
    <n v="295714"/>
    <s v="BIF"/>
    <n v="2801.6"/>
    <n v="105.55182752712736"/>
    <s v="USD"/>
    <n v="0"/>
    <s v="9UN1085"/>
    <s v="RFP"/>
    <n v="0"/>
    <n v="0"/>
    <n v="0"/>
    <n v="0"/>
    <n v="0"/>
    <n v="0"/>
  </r>
  <r>
    <s v="42/06/PB/2023"/>
    <n v="4"/>
    <d v="2023-06-01T00:00:00"/>
    <d v="2023-06-23T00:00:00"/>
    <m/>
    <x v="3"/>
    <s v="S.1.1"/>
    <s v="Salary of the country representative April 2023"/>
    <s v="D"/>
    <n v="295714"/>
    <s v="BIF"/>
    <n v="2801.6"/>
    <n v="105.55182752712736"/>
    <s v="USD"/>
    <n v="0"/>
    <s v="9UN1085"/>
    <s v="RFP"/>
    <n v="0"/>
    <n v="0"/>
    <n v="0"/>
    <n v="0"/>
    <n v="0"/>
    <n v="0"/>
  </r>
  <r>
    <s v="42/06/PB/2023"/>
    <n v="4"/>
    <d v="2023-06-01T00:00:00"/>
    <d v="2023-06-23T00:00:00"/>
    <m/>
    <x v="3"/>
    <s v="S.1.1"/>
    <s v="Salary of the country representative May 2023"/>
    <s v="D"/>
    <n v="295714"/>
    <s v="BIF"/>
    <n v="2801.6"/>
    <n v="105.55182752712736"/>
    <s v="USD"/>
    <n v="0"/>
    <s v="9UN1085"/>
    <s v="RFP"/>
    <n v="0"/>
    <n v="0"/>
    <n v="0"/>
    <n v="0"/>
    <n v="0"/>
    <n v="0"/>
  </r>
  <r>
    <s v="42/06/PB/2023"/>
    <n v="4"/>
    <d v="2023-06-01T00:00:00"/>
    <d v="2023-06-23T00:00:00"/>
    <m/>
    <x v="3"/>
    <s v="S.1.6"/>
    <s v="Salary of the cleaner January 2023"/>
    <s v="D"/>
    <n v="26424"/>
    <s v="BIF"/>
    <n v="2801.6"/>
    <n v="9.4317532838378071"/>
    <s v="USD"/>
    <n v="0"/>
    <s v="9UN1085"/>
    <s v="RFP"/>
    <n v="0"/>
    <n v="0"/>
    <n v="0"/>
    <n v="0"/>
    <n v="0"/>
    <n v="0"/>
  </r>
  <r>
    <s v="42/06/PB/2023"/>
    <n v="4"/>
    <d v="2023-06-01T00:00:00"/>
    <d v="2023-06-23T00:00:00"/>
    <m/>
    <x v="3"/>
    <s v="S.1.6"/>
    <s v="Salary of the cleaner February 2023"/>
    <s v="D"/>
    <n v="26424"/>
    <s v="BIF"/>
    <n v="2801.6"/>
    <n v="9.4317532838378071"/>
    <s v="USD"/>
    <n v="0"/>
    <s v="9UN1085"/>
    <s v="RFP"/>
    <n v="0"/>
    <n v="0"/>
    <n v="0"/>
    <n v="0"/>
    <n v="0"/>
    <n v="0"/>
  </r>
  <r>
    <s v="42/06/PB/2023"/>
    <n v="4"/>
    <d v="2023-06-01T00:00:00"/>
    <d v="2023-06-23T00:00:00"/>
    <m/>
    <x v="3"/>
    <s v="S.1.6"/>
    <s v="Salary of the cleaner March 2023"/>
    <s v="D"/>
    <n v="26424"/>
    <s v="BIF"/>
    <n v="2801.6"/>
    <n v="9.4317532838378071"/>
    <s v="USD"/>
    <n v="0"/>
    <s v="9UN1085"/>
    <s v="RFP"/>
    <n v="0"/>
    <n v="0"/>
    <n v="0"/>
    <n v="0"/>
    <n v="0"/>
    <n v="0"/>
  </r>
  <r>
    <s v="42/06/PB/2023"/>
    <n v="4"/>
    <d v="2023-06-01T00:00:00"/>
    <d v="2023-06-23T00:00:00"/>
    <m/>
    <x v="3"/>
    <s v="S.1.6"/>
    <s v="Salary of the cleaner April 2023"/>
    <s v="D"/>
    <n v="26424"/>
    <s v="BIF"/>
    <n v="2801.6"/>
    <n v="9.4317532838378071"/>
    <s v="USD"/>
    <n v="0"/>
    <s v="9UN1085"/>
    <s v="RFP"/>
    <n v="0"/>
    <n v="0"/>
    <n v="0"/>
    <n v="0"/>
    <n v="0"/>
    <n v="0"/>
  </r>
  <r>
    <s v="42/06/PB/2023"/>
    <n v="4"/>
    <d v="2023-06-01T00:00:00"/>
    <d v="2023-06-23T00:00:00"/>
    <m/>
    <x v="3"/>
    <s v="S.1.6"/>
    <s v="Salary of the cleaner May 2023"/>
    <s v="D"/>
    <n v="26424"/>
    <s v="BIF"/>
    <n v="2801.6"/>
    <n v="9.4317532838378071"/>
    <s v="USD"/>
    <n v="0"/>
    <s v="9UN1085"/>
    <s v="RFP"/>
    <n v="0"/>
    <n v="0"/>
    <n v="0"/>
    <n v="0"/>
    <n v="0"/>
    <n v="0"/>
  </r>
  <r>
    <s v="42/06/PB/2023"/>
    <n v="4"/>
    <d v="2023-06-01T00:00:00"/>
    <d v="2023-06-23T00:00:00"/>
    <m/>
    <x v="3"/>
    <s v="S.1.5"/>
    <s v="Salary of the communication officer January 2023"/>
    <s v="D"/>
    <n v="124619"/>
    <s v="BIF"/>
    <n v="2801.6"/>
    <n v="44.48136778983438"/>
    <s v="USD"/>
    <n v="0"/>
    <s v="9UN1085"/>
    <s v="RFP"/>
    <n v="0"/>
    <n v="0"/>
    <n v="0"/>
    <n v="0"/>
    <n v="0"/>
    <n v="0"/>
  </r>
  <r>
    <s v="42/06/PB/2023"/>
    <n v="4"/>
    <d v="2023-06-01T00:00:00"/>
    <d v="2023-06-23T00:00:00"/>
    <m/>
    <x v="3"/>
    <s v="S.1.5"/>
    <s v="Salary of the communication officer February 2023"/>
    <s v="D"/>
    <n v="124619"/>
    <s v="BIF"/>
    <n v="2801.6"/>
    <n v="44.48136778983438"/>
    <s v="USD"/>
    <n v="0"/>
    <s v="9UN1085"/>
    <s v="RFP"/>
    <n v="0"/>
    <n v="0"/>
    <n v="0"/>
    <n v="0"/>
    <n v="0"/>
    <n v="0"/>
  </r>
  <r>
    <s v="42/06/PB/2023"/>
    <n v="4"/>
    <d v="2023-06-01T00:00:00"/>
    <d v="2023-06-23T00:00:00"/>
    <m/>
    <x v="3"/>
    <s v="S.1.5"/>
    <s v="Salary of the communication officer March 2023"/>
    <s v="D"/>
    <n v="124619"/>
    <s v="BIF"/>
    <n v="2801.6"/>
    <n v="44.48136778983438"/>
    <s v="USD"/>
    <n v="0"/>
    <s v="9UN1085"/>
    <s v="RFP"/>
    <n v="0"/>
    <n v="0"/>
    <n v="0"/>
    <n v="0"/>
    <n v="0"/>
    <n v="0"/>
  </r>
  <r>
    <s v="42/06/PB/2023"/>
    <n v="4"/>
    <d v="2023-06-01T00:00:00"/>
    <d v="2023-06-23T00:00:00"/>
    <m/>
    <x v="3"/>
    <s v="S.1.5"/>
    <s v="Salary of the communication officer April 2023"/>
    <s v="D"/>
    <n v="124619"/>
    <s v="BIF"/>
    <n v="2801.6"/>
    <n v="44.48136778983438"/>
    <s v="USD"/>
    <n v="0"/>
    <s v="9UN1085"/>
    <s v="RFP"/>
    <n v="0"/>
    <n v="0"/>
    <n v="0"/>
    <n v="0"/>
    <n v="0"/>
    <n v="0"/>
  </r>
  <r>
    <s v="42/06/PB/2023"/>
    <n v="4"/>
    <d v="2023-06-01T00:00:00"/>
    <d v="2023-06-23T00:00:00"/>
    <m/>
    <x v="3"/>
    <s v="S.1.5"/>
    <s v="Salary of the communication officer May 2023"/>
    <s v="D"/>
    <n v="124619"/>
    <s v="BIF"/>
    <n v="2801.6"/>
    <n v="44.48136778983438"/>
    <s v="USD"/>
    <n v="0"/>
    <s v="9UN1085"/>
    <s v="RFP"/>
    <n v="0"/>
    <n v="0"/>
    <n v="0"/>
    <n v="0"/>
    <n v="0"/>
    <n v="0"/>
  </r>
  <r>
    <s v="42/06/PB/2023"/>
    <n v="4"/>
    <d v="2023-06-01T00:00:00"/>
    <d v="2023-06-23T00:00:00"/>
    <m/>
    <x v="3"/>
    <s v="S.1.4"/>
    <s v="Salary of the accounts secretary January 2023"/>
    <s v="D"/>
    <n v="70817"/>
    <s v="BIF"/>
    <n v="2801.6"/>
    <n v="25.277341519131927"/>
    <s v="USD"/>
    <n v="0"/>
    <s v="9UN1085"/>
    <s v="RFP"/>
    <n v="0"/>
    <n v="0"/>
    <n v="0"/>
    <n v="0"/>
    <n v="0"/>
    <n v="0"/>
  </r>
  <r>
    <s v="42/06/PB/2023"/>
    <n v="4"/>
    <d v="2023-06-01T00:00:00"/>
    <d v="2023-06-23T00:00:00"/>
    <m/>
    <x v="3"/>
    <s v="S.1.4"/>
    <s v="Salary of the accounts secretary February 2023"/>
    <s v="D"/>
    <n v="70817"/>
    <s v="BIF"/>
    <n v="2801.6"/>
    <n v="25.277341519131927"/>
    <s v="USD"/>
    <n v="0"/>
    <s v="9UN1085"/>
    <s v="RFP"/>
    <n v="0"/>
    <n v="0"/>
    <n v="0"/>
    <n v="0"/>
    <n v="0"/>
    <n v="0"/>
  </r>
  <r>
    <s v="42/06/PB/2023"/>
    <n v="4"/>
    <d v="2023-06-01T00:00:00"/>
    <d v="2023-06-23T00:00:00"/>
    <m/>
    <x v="3"/>
    <s v="S.1.4"/>
    <s v="Salary of the accounts secretary March 2023"/>
    <s v="D"/>
    <n v="70817"/>
    <s v="BIF"/>
    <n v="2801.6"/>
    <n v="25.277341519131927"/>
    <s v="USD"/>
    <n v="0"/>
    <s v="9UN1085"/>
    <s v="RFP"/>
    <n v="0"/>
    <n v="0"/>
    <n v="0"/>
    <n v="0"/>
    <n v="0"/>
    <n v="0"/>
  </r>
  <r>
    <s v="42/06/PB/2023"/>
    <n v="4"/>
    <d v="2023-06-01T00:00:00"/>
    <d v="2023-06-23T00:00:00"/>
    <m/>
    <x v="3"/>
    <s v="S.1.4"/>
    <s v="Salary of the accounts secretary April 2023"/>
    <s v="D"/>
    <n v="70817"/>
    <s v="BIF"/>
    <n v="2801.6"/>
    <n v="25.277341519131927"/>
    <s v="USD"/>
    <n v="0"/>
    <s v="9UN1085"/>
    <s v="RFP"/>
    <n v="0"/>
    <n v="0"/>
    <n v="0"/>
    <n v="0"/>
    <n v="0"/>
    <n v="0"/>
  </r>
  <r>
    <s v="42/06/PB/2023"/>
    <n v="4"/>
    <d v="2023-06-01T00:00:00"/>
    <d v="2023-06-23T00:00:00"/>
    <m/>
    <x v="3"/>
    <s v="S.1.4"/>
    <s v="Salary of the accounts secretary May 2023"/>
    <s v="D"/>
    <n v="70817"/>
    <s v="BIF"/>
    <n v="2801.6"/>
    <n v="25.277341519131927"/>
    <s v="USD"/>
    <n v="0"/>
    <s v="9UN1085"/>
    <s v="RFP"/>
    <n v="0"/>
    <n v="0"/>
    <n v="0"/>
    <n v="0"/>
    <n v="0"/>
    <n v="0"/>
  </r>
  <r>
    <s v="42/06/PB/2023"/>
    <n v="4"/>
    <d v="2023-06-01T00:00:00"/>
    <d v="2023-06-23T00:00:00"/>
    <m/>
    <x v="3"/>
    <s v="S.1.3"/>
    <s v="Salary of the accountant January 2023"/>
    <s v="D"/>
    <n v="295714"/>
    <s v="BIF"/>
    <n v="2801.6"/>
    <n v="105.55182752712736"/>
    <s v="USD"/>
    <n v="0"/>
    <s v="9UN1085"/>
    <s v="RFP"/>
    <n v="0"/>
    <n v="0"/>
    <n v="0"/>
    <n v="0"/>
    <n v="0"/>
    <n v="0"/>
  </r>
  <r>
    <s v="42/06/PB/2023"/>
    <n v="4"/>
    <d v="2023-06-01T00:00:00"/>
    <d v="2023-06-23T00:00:00"/>
    <m/>
    <x v="3"/>
    <s v="S.1.3"/>
    <s v="Salary of the accountant February 2023"/>
    <s v="D"/>
    <n v="295714"/>
    <s v="BIF"/>
    <n v="2801.6"/>
    <n v="105.55182752712736"/>
    <s v="USD"/>
    <n v="0"/>
    <s v="9UN1085"/>
    <s v="RFP"/>
    <n v="0"/>
    <n v="0"/>
    <n v="0"/>
    <n v="0"/>
    <n v="0"/>
    <n v="0"/>
  </r>
  <r>
    <s v="42/06/PB/2023"/>
    <n v="4"/>
    <d v="2023-06-01T00:00:00"/>
    <d v="2023-06-23T00:00:00"/>
    <m/>
    <x v="3"/>
    <s v="S.1.3"/>
    <s v="Salary of the accountant March 2023"/>
    <s v="D"/>
    <n v="295714"/>
    <s v="BIF"/>
    <n v="2801.6"/>
    <n v="105.55182752712736"/>
    <s v="USD"/>
    <n v="0"/>
    <s v="9UN1085"/>
    <s v="RFP"/>
    <n v="0"/>
    <n v="0"/>
    <n v="0"/>
    <n v="0"/>
    <n v="0"/>
    <n v="0"/>
  </r>
  <r>
    <s v="42/06/PB/2023"/>
    <n v="4"/>
    <d v="2023-06-01T00:00:00"/>
    <d v="2023-06-23T00:00:00"/>
    <m/>
    <x v="3"/>
    <s v="S.1.3"/>
    <s v="Salary of the accountant April 2023"/>
    <s v="D"/>
    <n v="295714"/>
    <s v="BIF"/>
    <n v="2801.6"/>
    <n v="105.55182752712736"/>
    <s v="USD"/>
    <n v="0"/>
    <s v="9UN1085"/>
    <s v="RFP"/>
    <n v="0"/>
    <n v="0"/>
    <n v="0"/>
    <n v="0"/>
    <n v="0"/>
    <n v="0"/>
  </r>
  <r>
    <s v="42/06/PB/2023"/>
    <n v="4"/>
    <d v="2023-06-01T00:00:00"/>
    <d v="2023-06-23T00:00:00"/>
    <m/>
    <x v="3"/>
    <s v="S.1.3"/>
    <s v="Salary of the accountant May 2023"/>
    <s v="D"/>
    <n v="295714"/>
    <s v="BIF"/>
    <n v="2801.6"/>
    <n v="105.55182752712736"/>
    <s v="USD"/>
    <n v="0"/>
    <s v="9UN1085"/>
    <s v="RFP"/>
    <n v="0"/>
    <n v="0"/>
    <n v="0"/>
    <n v="0"/>
    <n v="0"/>
    <n v="0"/>
  </r>
  <r>
    <s v="CHQ1615428"/>
    <n v="5"/>
    <d v="2023-06-01T00:00:00"/>
    <d v="2023-06-24T00:00:00"/>
    <m/>
    <x v="3"/>
    <s v="O.1.8"/>
    <s v="Office supplies Jan- April 2023"/>
    <s v="D"/>
    <n v="471500"/>
    <s v="BIF"/>
    <n v="2801.6"/>
    <n v="168.29668760708168"/>
    <s v="USD"/>
    <n v="0"/>
    <s v="9UN1085"/>
    <s v="RFP"/>
    <n v="0"/>
    <n v="0"/>
    <n v="0"/>
    <n v="0"/>
    <n v="0"/>
    <n v="0"/>
  </r>
  <r>
    <s v="43/06/PB/2023"/>
    <n v="6"/>
    <d v="2023-06-30T00:00:00"/>
    <d v="2023-06-30T00:00:00"/>
    <m/>
    <x v="3"/>
    <s v="S.1.2"/>
    <s v="Salary of the project coordinator June 2023"/>
    <s v="D"/>
    <n v="1318589"/>
    <s v="BIF"/>
    <n v="2801.6"/>
    <n v="470.65569674471732"/>
    <s v="USD"/>
    <n v="0"/>
    <s v="9UN1085"/>
    <s v="RFP"/>
    <n v="0"/>
    <n v="0"/>
    <n v="0"/>
    <n v="0"/>
    <n v="0"/>
    <n v="0"/>
  </r>
  <r>
    <s v="43/06/PB/2023"/>
    <n v="6"/>
    <d v="2023-06-30T00:00:00"/>
    <d v="2023-06-30T00:00:00"/>
    <m/>
    <x v="3"/>
    <s v="O.1.5"/>
    <s v="Salary of the guard Buja June 2023"/>
    <s v="D"/>
    <n v="133677"/>
    <s v="BIF"/>
    <n v="2801.6"/>
    <n v="47.714520274129072"/>
    <s v="USD"/>
    <n v="0"/>
    <s v="9UN1085"/>
    <s v="RFP"/>
    <n v="0"/>
    <n v="0"/>
    <n v="0"/>
    <n v="0"/>
    <n v="0"/>
    <n v="0"/>
  </r>
  <r>
    <s v="43/06/PB/2023"/>
    <n v="6"/>
    <d v="2023-06-30T00:00:00"/>
    <d v="2023-06-30T00:00:00"/>
    <m/>
    <x v="3"/>
    <s v="S.1.1"/>
    <s v="Salary of the country representative June 2023"/>
    <s v="D"/>
    <n v="295714"/>
    <s v="BIF"/>
    <n v="2801.6"/>
    <n v="105.55182752712736"/>
    <s v="USD"/>
    <n v="0"/>
    <s v="9UN1085"/>
    <s v="RFP"/>
    <n v="0"/>
    <n v="0"/>
    <n v="0"/>
    <n v="0"/>
    <n v="0"/>
    <n v="0"/>
  </r>
  <r>
    <s v="43/06/PB/2023"/>
    <n v="6"/>
    <d v="2023-06-30T00:00:00"/>
    <d v="2023-06-30T00:00:00"/>
    <m/>
    <x v="3"/>
    <s v="S.1.6"/>
    <s v="Salary of the cleaner June 2023"/>
    <s v="D"/>
    <n v="26424"/>
    <s v="BIF"/>
    <n v="2801.6"/>
    <n v="9.4317532838378071"/>
    <s v="USD"/>
    <n v="0"/>
    <s v="9UN1085"/>
    <s v="RFP"/>
    <n v="0"/>
    <n v="0"/>
    <n v="0"/>
    <n v="0"/>
    <n v="0"/>
    <n v="0"/>
  </r>
  <r>
    <s v="43/06/PB/2023"/>
    <n v="6"/>
    <d v="2023-06-30T00:00:00"/>
    <d v="2023-06-30T00:00:00"/>
    <m/>
    <x v="3"/>
    <s v="S.1.5"/>
    <s v="Salary of the communication officer June 2023"/>
    <s v="D"/>
    <n v="124619"/>
    <s v="BIF"/>
    <n v="2801.6"/>
    <n v="44.48136778983438"/>
    <s v="USD"/>
    <n v="0"/>
    <s v="9UN1085"/>
    <s v="RFP"/>
    <n v="0"/>
    <n v="0"/>
    <n v="0"/>
    <n v="0"/>
    <n v="0"/>
    <n v="0"/>
  </r>
  <r>
    <s v="43/06/PB/2023"/>
    <n v="6"/>
    <d v="2023-06-30T00:00:00"/>
    <d v="2023-06-30T00:00:00"/>
    <m/>
    <x v="3"/>
    <s v="S.1.4"/>
    <s v="Salary of the accounts secretary June 2023"/>
    <s v="D"/>
    <n v="70817"/>
    <s v="BIF"/>
    <n v="2801.6"/>
    <n v="25.277341519131927"/>
    <s v="USD"/>
    <n v="0"/>
    <s v="9UN1085"/>
    <s v="RFP"/>
    <n v="0"/>
    <n v="0"/>
    <n v="0"/>
    <n v="0"/>
    <n v="0"/>
    <n v="0"/>
  </r>
  <r>
    <s v="43/06/PB/2023"/>
    <n v="6"/>
    <d v="2023-06-30T00:00:00"/>
    <d v="2023-06-30T00:00:00"/>
    <m/>
    <x v="3"/>
    <s v="S.1.3"/>
    <s v="Salary of the accountant June 2023"/>
    <s v="D"/>
    <n v="295714"/>
    <s v="BIF"/>
    <n v="2801.6"/>
    <n v="105.55182752712736"/>
    <s v="USD"/>
    <n v="0"/>
    <s v="9UN1085"/>
    <s v="RFP"/>
    <n v="0"/>
    <n v="0"/>
    <n v="0"/>
    <n v="0"/>
    <n v="0"/>
    <n v="0"/>
  </r>
  <r>
    <s v="CHQ1615429"/>
    <n v="7"/>
    <d v="2023-06-30T00:00:00"/>
    <d v="2023-06-30T00:00:00"/>
    <m/>
    <x v="3"/>
    <s v="O.1.8"/>
    <s v="Office supplies_May 2023"/>
    <s v="D"/>
    <n v="96000"/>
    <s v="BIF"/>
    <n v="2801.6"/>
    <n v="34.266133637921186"/>
    <s v="USD"/>
    <n v="0"/>
    <s v="9UN1085"/>
    <s v="RFP"/>
    <n v="0"/>
    <n v="0"/>
    <n v="0"/>
    <n v="0"/>
    <n v="0"/>
    <n v="0"/>
  </r>
  <r>
    <s v="CHQ1615431"/>
    <n v="8"/>
    <d v="2023-06-30T00:00:00"/>
    <d v="2023-06-30T00:00:00"/>
    <m/>
    <x v="3"/>
    <s v="O.1.7"/>
    <s v="Internet June 2023"/>
    <s v="D"/>
    <n v="117000"/>
    <s v="BIF"/>
    <n v="2801.6"/>
    <n v="41.761850371216447"/>
    <s v="USD"/>
    <n v="0"/>
    <s v="9UN1085"/>
    <s v="RFP"/>
    <n v="0"/>
    <n v="0"/>
    <n v="0"/>
    <n v="0"/>
    <n v="0"/>
    <n v="0"/>
  </r>
  <r>
    <s v="CHQ1615430"/>
    <n v="9"/>
    <d v="2023-06-30T00:00:00"/>
    <d v="2023-06-30T00:00:00"/>
    <m/>
    <x v="3"/>
    <s v="O.1.11"/>
    <s v="Telephone jan-june 2023 "/>
    <s v="D"/>
    <n v="135000"/>
    <s v="BIF"/>
    <n v="2801.6"/>
    <n v="48.186750428326675"/>
    <s v="USD"/>
    <n v="0"/>
    <s v="9UN1085"/>
    <s v="RFP"/>
    <n v="0"/>
    <n v="0"/>
    <n v="0"/>
    <n v="0"/>
    <n v="0"/>
    <n v="0"/>
  </r>
  <r>
    <s v="CHQ1615429"/>
    <n v="10"/>
    <d v="2023-06-30T00:00:00"/>
    <d v="2023-06-30T00:00:00"/>
    <m/>
    <x v="3"/>
    <s v="O.1.8"/>
    <s v="Office supplies_June 2023"/>
    <s v="D"/>
    <n v="96000"/>
    <s v="BIF"/>
    <n v="2801.6"/>
    <n v="34.266133637921186"/>
    <s v="USD"/>
    <n v="0"/>
    <s v="9UN1085"/>
    <s v="RFP"/>
    <n v="0"/>
    <n v="0"/>
    <n v="0"/>
    <n v="0"/>
    <n v="0"/>
    <n v="0"/>
  </r>
  <r>
    <s v="CHQ1615426"/>
    <n v="11"/>
    <d v="2023-06-30T00:00:00"/>
    <d v="2023-06-30T00:00:00"/>
    <m/>
    <x v="3"/>
    <s v="O.1.7"/>
    <s v="Internet Jan-May 2023"/>
    <s v="D"/>
    <n v="450000"/>
    <s v="BIF"/>
    <n v="2801.6"/>
    <n v="160.62250142775557"/>
    <s v="USD"/>
    <n v="0"/>
    <s v="9UN1085"/>
    <s v="RFP"/>
    <n v="0"/>
    <n v="0"/>
    <n v="0"/>
    <n v="0"/>
    <n v="0"/>
    <n v="0"/>
  </r>
  <r>
    <s v="CHQ1615433"/>
    <n v="12"/>
    <d v="2023-06-30T00:00:00"/>
    <d v="2023-06-30T00:00:00"/>
    <m/>
    <x v="3"/>
    <s v="O.1.1"/>
    <s v="Laptop"/>
    <s v="D"/>
    <n v="2800000"/>
    <s v="BIF"/>
    <n v="2801.6"/>
    <n v="999.42889777270136"/>
    <s v="USD"/>
    <n v="0"/>
    <s v="9UN1085"/>
    <s v="RFP"/>
    <n v="0"/>
    <n v="0"/>
    <n v="0"/>
    <n v="0"/>
    <n v="0"/>
    <n v="0"/>
  </r>
  <r>
    <s v="CHQ1615432"/>
    <n v="13"/>
    <d v="2023-06-30T00:00:00"/>
    <d v="2023-06-30T00:00:00"/>
    <m/>
    <x v="3"/>
    <s v="O.1.2"/>
    <s v="Printer"/>
    <s v="D"/>
    <n v="950000"/>
    <s v="BIF"/>
    <n v="2801.6"/>
    <n v="339.09194745859509"/>
    <s v="USD"/>
    <n v="0"/>
    <s v="9UN1085"/>
    <s v="RFP"/>
    <n v="0"/>
    <n v="0"/>
    <n v="0"/>
    <n v="0"/>
    <n v="0"/>
    <n v="0"/>
  </r>
  <r>
    <s v="43/07/PB/2023"/>
    <n v="14"/>
    <d v="2023-06-30T00:00:00"/>
    <d v="2023-06-30T00:00:00"/>
    <m/>
    <x v="3"/>
    <s v="O.1.4"/>
    <s v="Rutana Office rent and advance_May 2023"/>
    <s v="D"/>
    <n v="450000"/>
    <s v="BIF"/>
    <n v="2801.6"/>
    <n v="160.62250142775557"/>
    <s v="USD"/>
    <n v="0"/>
    <s v="9UN1085"/>
    <s v="RFP"/>
    <n v="0"/>
    <n v="0"/>
    <n v="0"/>
    <n v="0"/>
    <n v="0"/>
    <n v="0"/>
  </r>
  <r>
    <s v="44/07/PB/2023"/>
    <n v="15"/>
    <d v="2023-06-30T00:00:00"/>
    <d v="2023-06-30T00:00:00"/>
    <m/>
    <x v="3"/>
    <s v="O.1.4"/>
    <s v="Rutana Office rent_June 2023"/>
    <s v="D"/>
    <n v="150000"/>
    <s v="BIF"/>
    <n v="2801.6"/>
    <n v="53.540833809251858"/>
    <s v="USD"/>
    <n v="0"/>
    <s v="9UN1085"/>
    <s v="RFP"/>
    <n v="0"/>
    <n v="0"/>
    <n v="0"/>
    <n v="0"/>
    <n v="0"/>
    <n v="0"/>
  </r>
  <r>
    <s v="CHQ1615424"/>
    <n v="16"/>
    <d v="2023-06-30T00:00:00"/>
    <d v="2023-06-30T00:00:00"/>
    <m/>
    <x v="3"/>
    <s v="O.1.9"/>
    <s v="Water and electricity"/>
    <s v="D"/>
    <n v="45000"/>
    <s v="BIF"/>
    <n v="2801.6"/>
    <n v="16.062250142775557"/>
    <s v="USD"/>
    <n v="0"/>
    <s v="9UN1085"/>
    <s v="RFP"/>
    <n v="0"/>
    <n v="0"/>
    <n v="0"/>
    <n v="0"/>
    <n v="0"/>
    <n v="0"/>
  </r>
  <r>
    <s v="CHQ1615425"/>
    <n v="17"/>
    <d v="2023-06-30T00:00:00"/>
    <d v="2023-06-30T00:00:00"/>
    <m/>
    <x v="3"/>
    <s v="O.1.3"/>
    <s v="Buja  Office rent  june 2023 "/>
    <s v="D"/>
    <n v="8000"/>
    <s v="BIF"/>
    <n v="2801.6"/>
    <n v="2.8555111364934325"/>
    <s v="USD"/>
    <n v="0"/>
    <s v="9UN1085"/>
    <s v="RFP"/>
    <n v="0"/>
    <n v="0"/>
    <n v="0"/>
    <n v="0"/>
    <n v="0"/>
    <n v="0"/>
  </r>
  <r>
    <s v="Historique BIF"/>
    <n v="18"/>
    <d v="2023-06-30T00:00:00"/>
    <d v="2023-06-30T00:00:00"/>
    <m/>
    <x v="3"/>
    <s v="O.1.8"/>
    <s v="Bank charges BIF"/>
    <s v="D"/>
    <n v="10700"/>
    <s v="BIF"/>
    <n v="2801.6"/>
    <n v="3.819246145059966"/>
    <s v="USD"/>
    <n v="0"/>
    <s v="9UN1085"/>
    <s v="RFP"/>
    <n v="0"/>
    <n v="0"/>
    <n v="0"/>
    <n v="0"/>
    <n v="0"/>
    <n v="0"/>
  </r>
  <r>
    <s v="Historique USD"/>
    <n v="19"/>
    <d v="2023-06-23T00:00:00"/>
    <d v="2023-06-30T00:00:00"/>
    <m/>
    <x v="3"/>
    <s v="O.1.8"/>
    <s v="Bank charges USD"/>
    <s v="D"/>
    <n v="199993.55539999995"/>
    <s v="BIF"/>
    <n v="2823.97"/>
    <n v="70.819999999999993"/>
    <s v="USD"/>
    <n v="0"/>
    <s v="9UN1085"/>
    <s v="RFP"/>
    <n v="0"/>
    <n v="0"/>
    <n v="0"/>
    <n v="0"/>
    <n v="0"/>
    <n v="0"/>
  </r>
  <r>
    <s v="OP 166978"/>
    <n v="27"/>
    <d v="2023-06-30T00:00:00"/>
    <d v="2023-06-26T00:00:00"/>
    <m/>
    <x v="3"/>
    <s v="S.3.1"/>
    <s v="Executive Secretary's salary for the month of june  2023"/>
    <s v="D"/>
    <n v="382766.2"/>
    <s v="BIF"/>
    <n v="2802.3999950000002"/>
    <n v="136.58514155114392"/>
    <s v="USD"/>
    <n v="0"/>
    <s v="9UN1085"/>
    <s v="DUSHIREHAMWE"/>
    <n v="0"/>
    <n v="0"/>
    <n v="0"/>
    <n v="0"/>
    <n v="0"/>
    <n v="0"/>
  </r>
  <r>
    <s v="OP 166978"/>
    <n v="27"/>
    <d v="2023-06-30T00:00:00"/>
    <d v="2023-06-26T00:00:00"/>
    <m/>
    <x v="3"/>
    <s v="S.3.2"/>
    <s v="Human Resources and Administration Officer's salary for the month of June 2023"/>
    <s v="D"/>
    <n v="113992.3"/>
    <s v="BIF"/>
    <n v="2802.3999950000002"/>
    <n v="40.676670069720004"/>
    <s v="USD"/>
    <n v="0"/>
    <s v="9UN1085"/>
    <s v="DUSHIREHAMWE"/>
    <n v="0"/>
    <n v="0"/>
    <n v="0"/>
    <n v="0"/>
    <n v="0"/>
    <n v="0"/>
  </r>
  <r>
    <s v="OP 166978"/>
    <n v="27"/>
    <d v="2023-06-30T00:00:00"/>
    <d v="2023-06-26T00:00:00"/>
    <m/>
    <x v="3"/>
    <s v="S.3.3"/>
    <s v="Finance Officer's salary for the month of June 2023"/>
    <s v="D"/>
    <n v="183146.6"/>
    <s v="BIF"/>
    <n v="2802.3999950000002"/>
    <n v="65.353482845692056"/>
    <s v="USD"/>
    <n v="0"/>
    <s v="9UN1085"/>
    <s v="DUSHIREHAMWE"/>
    <n v="0"/>
    <n v="0"/>
    <n v="0"/>
    <n v="0"/>
    <n v="0"/>
    <n v="0"/>
  </r>
  <r>
    <s v="OP 166978"/>
    <n v="27"/>
    <d v="2023-06-30T00:00:00"/>
    <d v="2023-06-26T00:00:00"/>
    <m/>
    <x v="3"/>
    <s v="S.3.4"/>
    <s v="Administrative and Financial Assistant's salary for the month of June 2023"/>
    <s v="D"/>
    <n v="133403.6"/>
    <s v="BIF"/>
    <n v="2802.3999950000002"/>
    <n v="47.60334007922377"/>
    <s v="USD"/>
    <n v="0"/>
    <s v="9UN1085"/>
    <s v="DUSHIREHAMWE"/>
    <n v="0"/>
    <n v="0"/>
    <n v="0"/>
    <n v="0"/>
    <n v="0"/>
    <n v="0"/>
  </r>
  <r>
    <s v="OP 166978"/>
    <n v="27"/>
    <d v="2023-06-30T00:00:00"/>
    <d v="2023-06-26T00:00:00"/>
    <m/>
    <x v="3"/>
    <s v="S.3.5"/>
    <s v="Driver's salary for June  2023"/>
    <s v="D"/>
    <n v="345468.5"/>
    <s v="BIF"/>
    <n v="2802.3999950000002"/>
    <n v="123.27594226961878"/>
    <s v="USD"/>
    <n v="0"/>
    <s v="9UN1085"/>
    <s v="DUSHIREHAMWE"/>
    <n v="0"/>
    <n v="0"/>
    <n v="0"/>
    <n v="0"/>
    <n v="0"/>
    <n v="0"/>
  </r>
  <r>
    <s v="OP 166978"/>
    <n v="27"/>
    <d v="2023-06-30T00:00:00"/>
    <d v="2023-06-26T00:00:00"/>
    <m/>
    <x v="3"/>
    <s v="S.3.6"/>
    <s v="Project coordinator's salary for June  2023"/>
    <s v="D"/>
    <n v="1509204"/>
    <s v="BIF"/>
    <n v="2802.3999950000002"/>
    <n v="538.53982396970423"/>
    <s v="USD"/>
    <n v="0"/>
    <s v="9UN1085"/>
    <s v="DUSHIREHAMWE"/>
    <n v="0"/>
    <n v="0"/>
    <n v="0"/>
    <n v="0"/>
    <n v="0"/>
    <n v="0"/>
  </r>
  <r>
    <s v="OP 150953"/>
    <n v="28"/>
    <d v="2023-06-30T00:00:00"/>
    <d v="2023-06-12T00:00:00"/>
    <m/>
    <x v="3"/>
    <s v="O.3.5"/>
    <s v="Telephone fixed  communication for May 2023"/>
    <s v="D"/>
    <n v="30000"/>
    <s v="BIF"/>
    <n v="2802.3999950000002"/>
    <n v="10.705109924894929"/>
    <s v="USD"/>
    <n v="0"/>
    <s v="9UN1085"/>
    <s v="DUSHIREHAMWE"/>
    <n v="0"/>
    <n v="0"/>
    <n v="0"/>
    <n v="0"/>
    <n v="0"/>
    <n v="0"/>
  </r>
  <r>
    <s v="OP 166979"/>
    <n v="29"/>
    <d v="2023-06-30T00:00:00"/>
    <d v="2023-06-26T00:00:00"/>
    <m/>
    <x v="3"/>
    <s v="O.3.4"/>
    <s v="RUYIGI office rent for March-June 2023"/>
    <s v="D"/>
    <n v="600000"/>
    <s v="BIF"/>
    <n v="2802.3999950000002"/>
    <n v="214.10219849789857"/>
    <s v="USD"/>
    <n v="0"/>
    <s v="9UN1085"/>
    <s v="DUSHIREHAMWE"/>
    <n v="0"/>
    <n v="0"/>
    <n v="0"/>
    <n v="0"/>
    <n v="0"/>
    <n v="0"/>
  </r>
  <r>
    <s v="OP 166983"/>
    <n v="30"/>
    <d v="2023-06-30T00:00:00"/>
    <d v="2023-06-30T00:00:00"/>
    <m/>
    <x v="3"/>
    <s v="O.3.3"/>
    <s v="Bujumbura office rent for June 2023"/>
    <s v="D"/>
    <n v="200000"/>
    <s v="BIF"/>
    <n v="2802.3999950000002"/>
    <n v="71.367399499299523"/>
    <s v="USD"/>
    <n v="0"/>
    <s v="9UN1085"/>
    <s v="DUSHIREHAMWE"/>
    <n v="0"/>
    <n v="0"/>
    <n v="0"/>
    <n v="0"/>
    <n v="0"/>
    <n v="0"/>
  </r>
  <r>
    <s v="OP 166983"/>
    <n v="31"/>
    <d v="2023-06-30T00:00:00"/>
    <d v="2023-06-30T00:00:00"/>
    <m/>
    <x v="3"/>
    <s v="O.3.6"/>
    <s v="Internet for June 2023"/>
    <s v="D"/>
    <n v="70000"/>
    <s v="BIF"/>
    <n v="2802.3999950000002"/>
    <n v="24.978589824754835"/>
    <s v="USD"/>
    <n v="0"/>
    <s v="9UN1085"/>
    <s v="DUSHIREHAMWE"/>
    <n v="0"/>
    <n v="0"/>
    <n v="0"/>
    <n v="0"/>
    <n v="0"/>
    <n v="0"/>
  </r>
  <r>
    <s v="OP 166983"/>
    <n v="32"/>
    <d v="2023-06-30T00:00:00"/>
    <d v="2023-06-30T00:00:00"/>
    <m/>
    <x v="3"/>
    <s v="O.3.7"/>
    <s v="Maintenance equipments for June 2023"/>
    <s v="D"/>
    <n v="60000"/>
    <s v="BIF"/>
    <n v="2802.3999950000002"/>
    <n v="21.410219849789858"/>
    <s v="USD"/>
    <n v="0"/>
    <s v="9UN1085"/>
    <s v="DUSHIREHAMWE"/>
    <n v="0"/>
    <n v="0"/>
    <n v="0"/>
    <n v="0"/>
    <n v="0"/>
    <n v="0"/>
  </r>
  <r>
    <s v="OP 166983"/>
    <n v="33"/>
    <d v="2023-06-30T00:00:00"/>
    <d v="2023-06-30T00:00:00"/>
    <m/>
    <x v="3"/>
    <s v="O.3.8"/>
    <s v="Guards Bujumbura office for June 2023"/>
    <s v="D"/>
    <n v="29495"/>
    <s v="BIF"/>
    <n v="2802.3999950000002"/>
    <n v="10.524907241159196"/>
    <s v="USD"/>
    <n v="0"/>
    <s v="9UN1085"/>
    <s v="DUSHIREHAMWE"/>
    <n v="0"/>
    <n v="0"/>
    <n v="0"/>
    <n v="0"/>
    <n v="0"/>
    <n v="0"/>
  </r>
  <r>
    <s v="OP 139325"/>
    <n v="34"/>
    <d v="2023-06-30T00:00:00"/>
    <d v="2023-06-07T00:00:00"/>
    <m/>
    <x v="3"/>
    <s v="O.3.7"/>
    <s v="Maintenance equipments for May 2023"/>
    <s v="D"/>
    <n v="60000"/>
    <s v="BIF"/>
    <n v="2802.3999950000002"/>
    <n v="21.410219849789858"/>
    <s v="USD"/>
    <n v="0"/>
    <s v="9UN1085"/>
    <s v="DUSHIREHAMWE"/>
    <n v="0"/>
    <n v="0"/>
    <n v="0"/>
    <n v="0"/>
    <n v="0"/>
    <n v="0"/>
  </r>
  <r>
    <s v="OP 150957"/>
    <n v="35"/>
    <d v="2023-06-30T00:00:00"/>
    <d v="2023-06-30T00:00:00"/>
    <m/>
    <x v="3"/>
    <s v="O.3.8"/>
    <s v="Guards Bujumbura office for April 2023"/>
    <s v="D"/>
    <n v="29495"/>
    <s v="BIF"/>
    <n v="2802.3999950000002"/>
    <n v="10.524907241159196"/>
    <s v="USD"/>
    <n v="0"/>
    <s v="9UN1085"/>
    <s v="DUSHIREHAMWE"/>
    <n v="0"/>
    <n v="0"/>
    <n v="0"/>
    <n v="0"/>
    <n v="0"/>
    <n v="0"/>
  </r>
  <r>
    <s v="OP 150956"/>
    <n v="36"/>
    <d v="2023-06-30T00:00:00"/>
    <d v="2023-06-30T00:00:00"/>
    <m/>
    <x v="3"/>
    <s v="O.3.8"/>
    <s v="Guards Bujumbura office for May 2023"/>
    <s v="D"/>
    <n v="29495"/>
    <s v="BIF"/>
    <n v="2802.3999950000002"/>
    <n v="10.524907241159196"/>
    <s v="USD"/>
    <n v="0"/>
    <s v="9UN1085"/>
    <s v="DUSHIREHAMWE"/>
    <n v="0"/>
    <n v="0"/>
    <n v="0"/>
    <n v="0"/>
    <n v="0"/>
    <n v="0"/>
  </r>
  <r>
    <s v="OP 166932"/>
    <n v="37"/>
    <d v="2023-06-30T00:00:00"/>
    <d v="2023-06-30T00:00:00"/>
    <m/>
    <x v="3"/>
    <s v="O.3.10"/>
    <s v="Office supplies ( printing purchase order books)"/>
    <s v="D"/>
    <n v="88500"/>
    <s v="BIF"/>
    <n v="2802.3999950000002"/>
    <n v="31.580074278440037"/>
    <s v="USD"/>
    <n v="0"/>
    <s v="9UN1085"/>
    <s v="DUSHIREHAMWE"/>
    <n v="0"/>
    <n v="0"/>
    <n v="0"/>
    <n v="0"/>
    <n v="0"/>
    <n v="0"/>
  </r>
  <r>
    <s v="bank statement"/>
    <n v="38"/>
    <d v="2023-06-30T00:00:00"/>
    <d v="2023-06-12T00:00:00"/>
    <m/>
    <x v="3"/>
    <s v="O.3.12"/>
    <s v="Bank Charges ( BRB )"/>
    <s v="D"/>
    <n v="199993.55539999995"/>
    <s v="BIF"/>
    <n v="2823.97"/>
    <n v="70.819999999999993"/>
    <s v="USD"/>
    <n v="0"/>
    <s v="9UN1085"/>
    <s v="DUSHIREHAMWE"/>
    <n v="0"/>
    <n v="0"/>
    <n v="0"/>
    <n v="0"/>
    <n v="0"/>
    <n v="0"/>
  </r>
  <r>
    <s v="bank statement"/>
    <n v="38"/>
    <d v="2023-06-30T00:00:00"/>
    <d v="2023-06-30T00:00:00"/>
    <m/>
    <x v="3"/>
    <s v="O.3.12"/>
    <s v="Bank Charges ( BANCOBU )"/>
    <s v="D"/>
    <n v="31075"/>
    <s v="BIF"/>
    <n v="2802.3999950000002"/>
    <n v="11.088709697203663"/>
    <s v="USD"/>
    <n v="0"/>
    <s v="9UN1085"/>
    <s v="DUSHIREHAMWE"/>
    <n v="0"/>
    <n v="0"/>
    <n v="0"/>
    <n v="0"/>
    <n v="0"/>
    <n v="0"/>
  </r>
  <r>
    <s v="CHQ 8904410"/>
    <n v="4"/>
    <d v="2023-06-01T00:00:00"/>
    <d v="2023-06-30T00:00:00"/>
    <m/>
    <x v="3"/>
    <s v="O.2.3"/>
    <s v="Communication(telephone fixe)"/>
    <s v="D"/>
    <n v="155855"/>
    <s v="BIF"/>
    <n v="2803.6597999999999"/>
    <n v="55.589840108275624"/>
    <s v="USD"/>
    <n v="0"/>
    <s v="9UN1085"/>
    <s v="YELI"/>
    <n v="0"/>
    <n v="0"/>
    <n v="0"/>
    <n v="0"/>
    <n v="0"/>
    <n v="0"/>
  </r>
  <r>
    <s v="CHQ 8904411"/>
    <n v="5"/>
    <d v="2023-06-01T00:00:00"/>
    <d v="2023-06-30T00:00:00"/>
    <m/>
    <x v="3"/>
    <s v="O.2.7"/>
    <s v="Office supplies"/>
    <s v="D"/>
    <n v="747500"/>
    <s v="BIF"/>
    <n v="2803.6597999999999"/>
    <n v="266.61579981993538"/>
    <s v="USD"/>
    <n v="0"/>
    <s v="9UN1085"/>
    <s v="YELI"/>
    <n v="0"/>
    <n v="0"/>
    <n v="0"/>
    <n v="0"/>
    <n v="0"/>
    <n v="0"/>
  </r>
  <r>
    <s v="CHQ8904412"/>
    <n v="6"/>
    <d v="2023-06-01T00:00:00"/>
    <d v="2023-06-30T00:00:00"/>
    <m/>
    <x v="3"/>
    <s v="O.2.4"/>
    <s v="Office rent Janvier -juin 2023"/>
    <s v="D"/>
    <n v="870000"/>
    <s v="BIF"/>
    <n v="2803.6597999999999"/>
    <n v="310.30869009142981"/>
    <s v="USD"/>
    <n v="0"/>
    <s v="9UN1085"/>
    <s v="YELI"/>
    <n v="0"/>
    <n v="0"/>
    <n v="0"/>
    <n v="0"/>
    <n v="0"/>
    <n v="0"/>
  </r>
  <r>
    <s v="CHQ8904413"/>
    <n v="7"/>
    <d v="2023-06-01T00:00:00"/>
    <d v="2023-06-30T00:00:00"/>
    <m/>
    <x v="3"/>
    <s v="O.2.1"/>
    <s v="Laptop HP"/>
    <s v="D"/>
    <n v="4050000"/>
    <s v="BIF"/>
    <n v="2803.6597999999999"/>
    <n v="1444.5404538738974"/>
    <s v="USD"/>
    <n v="0"/>
    <s v="9UN1085"/>
    <s v="YELI"/>
    <n v="0"/>
    <n v="0"/>
    <n v="0"/>
    <n v="0"/>
    <n v="0"/>
    <n v="0"/>
  </r>
  <r>
    <s v="OV 017"/>
    <n v="8"/>
    <d v="2023-06-01T00:00:00"/>
    <d v="2023-06-30T00:00:00"/>
    <m/>
    <x v="3"/>
    <s v="S.2.1"/>
    <s v="Executive Director( Salaire janvier 2023)"/>
    <s v="D"/>
    <n v="280972"/>
    <s v="BIF"/>
    <n v="2803.6597999999999"/>
    <n v="100.21615318663127"/>
    <s v="USD"/>
    <n v="0"/>
    <s v="9UN1085"/>
    <s v="YELI"/>
    <n v="0"/>
    <n v="0"/>
    <n v="0"/>
    <n v="0"/>
    <n v="0"/>
    <n v="0"/>
  </r>
  <r>
    <s v="OV018"/>
    <n v="8"/>
    <d v="2023-06-01T00:00:00"/>
    <d v="2023-06-30T00:00:00"/>
    <m/>
    <x v="3"/>
    <s v="S.2.1"/>
    <s v="Executive Director( salaire fevrier2023)"/>
    <s v="D"/>
    <n v="280972"/>
    <s v="BIF"/>
    <n v="2803.6597999999999"/>
    <n v="100.21615318663127"/>
    <s v="USD"/>
    <n v="0"/>
    <s v="9UN1085"/>
    <s v="YELI"/>
    <n v="0"/>
    <n v="0"/>
    <n v="0"/>
    <n v="0"/>
    <n v="0"/>
    <n v="0"/>
  </r>
  <r>
    <s v="OV 019"/>
    <n v="8"/>
    <d v="2023-06-01T00:00:00"/>
    <d v="2023-06-30T00:00:00"/>
    <m/>
    <x v="3"/>
    <s v="S.2.1"/>
    <s v="Executive Director(salaire Mars 2023)"/>
    <s v="D"/>
    <n v="280972"/>
    <s v="BIF"/>
    <n v="2803.6597999999999"/>
    <n v="100.21615318663127"/>
    <s v="USD"/>
    <n v="0"/>
    <s v="9UN1085"/>
    <s v="YELI"/>
    <n v="0"/>
    <n v="0"/>
    <n v="0"/>
    <n v="0"/>
    <n v="0"/>
    <n v="0"/>
  </r>
  <r>
    <s v="OV 020"/>
    <n v="8"/>
    <d v="2023-06-01T00:00:00"/>
    <d v="2023-06-30T00:00:00"/>
    <m/>
    <x v="3"/>
    <s v="S.2.1"/>
    <s v="Executive Director( salaire avril 2023)"/>
    <s v="D"/>
    <n v="280972"/>
    <s v="BIF"/>
    <n v="2803.6597999999999"/>
    <n v="100.21615318663127"/>
    <s v="USD"/>
    <n v="0"/>
    <s v="9UN1085"/>
    <s v="YELI"/>
    <n v="0"/>
    <n v="0"/>
    <n v="0"/>
    <n v="0"/>
    <n v="0"/>
    <n v="0"/>
  </r>
  <r>
    <s v="OV 021"/>
    <n v="8"/>
    <d v="2023-06-01T00:00:00"/>
    <d v="2023-06-30T00:00:00"/>
    <m/>
    <x v="3"/>
    <s v="S.2.1"/>
    <s v="Executive Director( salaire Mai 2023)"/>
    <s v="D"/>
    <n v="280972"/>
    <s v="BIF"/>
    <n v="2803.6597999999999"/>
    <n v="100.21615318663127"/>
    <s v="USD"/>
    <n v="0"/>
    <s v="9UN1085"/>
    <s v="YELI"/>
    <n v="0"/>
    <n v="0"/>
    <n v="0"/>
    <n v="0"/>
    <n v="0"/>
    <n v="0"/>
  </r>
  <r>
    <s v="OV 022"/>
    <n v="8"/>
    <d v="2023-06-01T00:00:00"/>
    <d v="2023-06-30T00:00:00"/>
    <m/>
    <x v="3"/>
    <s v="S.2.1"/>
    <s v="Executive Director(salaire juin 2023)"/>
    <s v="D"/>
    <n v="280972"/>
    <s v="BIF"/>
    <n v="2803.6597999999999"/>
    <n v="100.21615318663127"/>
    <s v="USD"/>
    <n v="0"/>
    <s v="9UN1085"/>
    <s v="YELI"/>
    <n v="0"/>
    <n v="0"/>
    <n v="0"/>
    <n v="0"/>
    <n v="0"/>
    <n v="0"/>
  </r>
  <r>
    <s v="OV 017"/>
    <n v="8"/>
    <d v="2023-06-01T00:00:00"/>
    <d v="2023-06-30T00:00:00"/>
    <m/>
    <x v="3"/>
    <s v="S.2.2"/>
    <s v="Financial and Administrative Manager( Salaire janvier 2023)"/>
    <s v="D"/>
    <n v="152000"/>
    <s v="BIF"/>
    <n v="2803.6597999999999"/>
    <n v="54.214851602180836"/>
    <s v="USD"/>
    <n v="0"/>
    <s v="9UN1085"/>
    <s v="YELI"/>
    <n v="0"/>
    <n v="0"/>
    <n v="0"/>
    <n v="0"/>
    <n v="0"/>
    <n v="0"/>
  </r>
  <r>
    <s v="OV018"/>
    <n v="8"/>
    <d v="2023-06-01T00:00:00"/>
    <d v="2023-06-30T00:00:00"/>
    <m/>
    <x v="3"/>
    <s v="S.2.2"/>
    <s v="Financial and Administrative Manager(salaire fevrier2023)"/>
    <s v="D"/>
    <n v="152000"/>
    <s v="BIF"/>
    <n v="2803.6597999999999"/>
    <n v="54.214851602180836"/>
    <s v="USD"/>
    <n v="0"/>
    <s v="9UN1085"/>
    <s v="YELI"/>
    <n v="0"/>
    <n v="0"/>
    <n v="0"/>
    <n v="0"/>
    <n v="0"/>
    <n v="0"/>
  </r>
  <r>
    <s v="OV 019"/>
    <n v="8"/>
    <d v="2023-06-01T00:00:00"/>
    <d v="2023-06-30T00:00:00"/>
    <m/>
    <x v="3"/>
    <s v="S.2.2"/>
    <s v="Financial and Administrative Manager (salaire Mars 2023)"/>
    <s v="D"/>
    <n v="152000"/>
    <s v="BIF"/>
    <n v="2803.6597999999999"/>
    <n v="54.214851602180836"/>
    <s v="USD"/>
    <n v="0"/>
    <s v="9UN1085"/>
    <s v="YELI"/>
    <n v="0"/>
    <n v="0"/>
    <n v="0"/>
    <n v="0"/>
    <n v="0"/>
    <n v="0"/>
  </r>
  <r>
    <s v="OV 020"/>
    <n v="8"/>
    <d v="2023-06-01T00:00:00"/>
    <d v="2023-06-30T00:00:00"/>
    <m/>
    <x v="3"/>
    <s v="S.2.2"/>
    <s v="Financial and Administrative Manager ( salaire avril 2023)"/>
    <s v="D"/>
    <n v="152000"/>
    <s v="BIF"/>
    <n v="2803.6597999999999"/>
    <n v="54.214851602180836"/>
    <s v="USD"/>
    <n v="0"/>
    <s v="9UN1085"/>
    <s v="YELI"/>
    <n v="0"/>
    <n v="0"/>
    <n v="0"/>
    <n v="0"/>
    <n v="0"/>
    <n v="0"/>
  </r>
  <r>
    <s v="OV 021"/>
    <n v="8"/>
    <d v="2023-06-01T00:00:00"/>
    <d v="2023-06-30T00:00:00"/>
    <m/>
    <x v="3"/>
    <s v="S.2.2"/>
    <s v="Financial and Administrative Manager ( salaire Mai 2023)"/>
    <s v="D"/>
    <n v="152000"/>
    <s v="BIF"/>
    <n v="2803.6597999999999"/>
    <n v="54.214851602180836"/>
    <s v="USD"/>
    <n v="0"/>
    <s v="9UN1085"/>
    <s v="YELI"/>
    <n v="0"/>
    <n v="0"/>
    <n v="0"/>
    <n v="0"/>
    <n v="0"/>
    <n v="0"/>
  </r>
  <r>
    <s v="OV 022"/>
    <n v="8"/>
    <d v="2023-06-01T00:00:00"/>
    <d v="2023-06-30T00:00:00"/>
    <m/>
    <x v="3"/>
    <s v="S.2.2"/>
    <s v="Financial and Administrative Manager (salaire juin 2023)"/>
    <s v="D"/>
    <n v="152000"/>
    <s v="BIF"/>
    <n v="2803.6597999999999"/>
    <n v="54.214851602180836"/>
    <s v="USD"/>
    <n v="0"/>
    <s v="9UN1085"/>
    <s v="YELI"/>
    <n v="0"/>
    <n v="0"/>
    <n v="0"/>
    <n v="0"/>
    <n v="0"/>
    <n v="0"/>
  </r>
  <r>
    <s v="OV 017"/>
    <n v="8"/>
    <d v="2023-06-01T00:00:00"/>
    <d v="2023-06-30T00:00:00"/>
    <m/>
    <x v="3"/>
    <s v="S.2.3"/>
    <s v="Monitoring and Evaluation (salaire janvier 2023)"/>
    <s v="D"/>
    <n v="281314"/>
    <s v="BIF"/>
    <n v="2803.6597999999999"/>
    <n v="100.33813660273618"/>
    <s v="USD"/>
    <n v="0"/>
    <s v="9UN1085"/>
    <s v="YELI"/>
    <n v="0"/>
    <n v="0"/>
    <n v="0"/>
    <n v="0"/>
    <n v="0"/>
    <n v="0"/>
  </r>
  <r>
    <s v="OV018"/>
    <n v="8"/>
    <d v="2023-06-01T00:00:00"/>
    <d v="2023-06-30T00:00:00"/>
    <m/>
    <x v="3"/>
    <s v="S.2.3"/>
    <s v="Monitoring and Evaluation(salaire fevrier  2023)"/>
    <s v="D"/>
    <n v="281314"/>
    <s v="BIF"/>
    <n v="2803.6597999999999"/>
    <n v="100.33813660273618"/>
    <s v="USD"/>
    <n v="0"/>
    <s v="9UN1085"/>
    <s v="YELI"/>
    <n v="0"/>
    <n v="0"/>
    <n v="0"/>
    <n v="0"/>
    <n v="0"/>
    <n v="0"/>
  </r>
  <r>
    <s v="OV 019"/>
    <n v="8"/>
    <d v="2023-06-01T00:00:00"/>
    <d v="2023-06-30T00:00:00"/>
    <m/>
    <x v="3"/>
    <s v="S.2.3"/>
    <s v="Monitoring and Evaluation( salaire mars 2023"/>
    <s v="D"/>
    <n v="281314"/>
    <s v="BIF"/>
    <n v="2803.6597999999999"/>
    <n v="100.33813660273618"/>
    <s v="USD"/>
    <n v="0"/>
    <s v="9UN1085"/>
    <s v="YELI"/>
    <n v="0"/>
    <n v="0"/>
    <n v="0"/>
    <n v="0"/>
    <n v="0"/>
    <n v="0"/>
  </r>
  <r>
    <s v="OV 020"/>
    <n v="8"/>
    <d v="2023-06-01T00:00:00"/>
    <d v="2023-06-30T00:00:00"/>
    <m/>
    <x v="3"/>
    <s v="S.2.3"/>
    <s v="Monitoring and Evaluation( salaire avril 2023)"/>
    <s v="D"/>
    <n v="281314"/>
    <s v="BIF"/>
    <n v="2803.6597999999999"/>
    <n v="100.33813660273618"/>
    <s v="USD"/>
    <n v="0"/>
    <s v="9UN1085"/>
    <s v="YELI"/>
    <n v="0"/>
    <n v="0"/>
    <n v="0"/>
    <n v="0"/>
    <n v="0"/>
    <n v="0"/>
  </r>
  <r>
    <s v="OV 021"/>
    <n v="8"/>
    <d v="2023-06-01T00:00:00"/>
    <d v="2023-06-30T00:00:00"/>
    <m/>
    <x v="3"/>
    <s v="S.2.3"/>
    <s v="Monitoring and Evaluation(salaire mai 2023)"/>
    <s v="D"/>
    <n v="281314"/>
    <s v="BIF"/>
    <n v="2803.6597999999999"/>
    <n v="100.33813660273618"/>
    <s v="USD"/>
    <n v="0"/>
    <s v="9UN1085"/>
    <s v="YELI"/>
    <n v="0"/>
    <n v="0"/>
    <n v="0"/>
    <n v="0"/>
    <n v="0"/>
    <n v="0"/>
  </r>
  <r>
    <s v="OV 022"/>
    <n v="8"/>
    <d v="2023-06-01T00:00:00"/>
    <d v="2023-06-30T00:00:00"/>
    <m/>
    <x v="3"/>
    <s v="S.2.3"/>
    <s v="Monitoring and Evaluation( salaire juin 2023)"/>
    <s v="D"/>
    <n v="281314"/>
    <s v="BIF"/>
    <n v="2803.6597999999999"/>
    <n v="100.33813660273618"/>
    <s v="USD"/>
    <n v="0"/>
    <s v="9UN1085"/>
    <s v="YELI"/>
    <n v="0"/>
    <n v="0"/>
    <n v="0"/>
    <n v="0"/>
    <n v="0"/>
    <n v="0"/>
  </r>
  <r>
    <s v="OV 017"/>
    <n v="8"/>
    <d v="2023-06-01T00:00:00"/>
    <d v="2023-06-30T00:00:00"/>
    <m/>
    <x v="3"/>
    <s v="S.2.4"/>
    <s v="Project Manager(salaire janvier 2023)"/>
    <s v="D"/>
    <n v="590902"/>
    <s v="BIF"/>
    <n v="2803.6597999999999"/>
    <n v="210.76094895678855"/>
    <s v="USD"/>
    <n v="0"/>
    <s v="9UN1085"/>
    <s v="YELI"/>
    <n v="0"/>
    <n v="0"/>
    <n v="0"/>
    <n v="0"/>
    <n v="0"/>
    <n v="0"/>
  </r>
  <r>
    <s v="OV018"/>
    <n v="8"/>
    <d v="2023-06-01T00:00:00"/>
    <d v="2023-06-30T00:00:00"/>
    <m/>
    <x v="3"/>
    <s v="S.2.4"/>
    <s v="Project Manager(salaire fevrier  2023)"/>
    <s v="D"/>
    <n v="945443"/>
    <s v="BIF"/>
    <n v="2803.6597999999999"/>
    <n v="337.21744699553062"/>
    <s v="USD"/>
    <n v="0"/>
    <s v="9UN1085"/>
    <s v="YELI"/>
    <n v="0"/>
    <n v="0"/>
    <n v="0"/>
    <n v="0"/>
    <n v="0"/>
    <n v="0"/>
  </r>
  <r>
    <s v="OV 019"/>
    <n v="8"/>
    <d v="2023-06-01T00:00:00"/>
    <d v="2023-06-30T00:00:00"/>
    <m/>
    <x v="3"/>
    <s v="S.2.4"/>
    <s v="Project Manager( salaire mars 2023"/>
    <s v="D"/>
    <n v="945443"/>
    <s v="BIF"/>
    <n v="2803.6597999999999"/>
    <n v="337.21744699553062"/>
    <s v="USD"/>
    <n v="0"/>
    <s v="9UN1085"/>
    <s v="YELI"/>
    <n v="0"/>
    <n v="0"/>
    <n v="0"/>
    <n v="0"/>
    <n v="0"/>
    <n v="0"/>
  </r>
  <r>
    <s v="OV 020"/>
    <n v="8"/>
    <d v="2023-06-01T00:00:00"/>
    <d v="2023-06-30T00:00:00"/>
    <m/>
    <x v="3"/>
    <s v="S.2.4"/>
    <s v="Project Manager( salaire avril 2023)"/>
    <s v="D"/>
    <n v="945443"/>
    <s v="BIF"/>
    <n v="2803.6597999999999"/>
    <n v="337.21744699553062"/>
    <s v="USD"/>
    <n v="0"/>
    <s v="9UN1085"/>
    <s v="YELI"/>
    <n v="0"/>
    <n v="0"/>
    <n v="0"/>
    <n v="0"/>
    <n v="0"/>
    <n v="0"/>
  </r>
  <r>
    <s v="OV 021"/>
    <n v="8"/>
    <d v="2023-06-01T00:00:00"/>
    <d v="2023-06-30T00:00:00"/>
    <m/>
    <x v="3"/>
    <s v="S.2.4"/>
    <s v="Project Manager(salaire mai 2023)"/>
    <s v="D"/>
    <n v="945443"/>
    <s v="BIF"/>
    <n v="2803.6597999999999"/>
    <n v="337.21744699553062"/>
    <s v="USD"/>
    <n v="0"/>
    <s v="9UN1085"/>
    <s v="YELI"/>
    <n v="0"/>
    <n v="0"/>
    <n v="0"/>
    <n v="0"/>
    <n v="0"/>
    <n v="0"/>
  </r>
  <r>
    <s v="OV 022"/>
    <n v="8"/>
    <d v="2023-06-01T00:00:00"/>
    <d v="2023-06-30T00:00:00"/>
    <m/>
    <x v="3"/>
    <s v="S.2.4"/>
    <s v="Project Manager( salaire juin 2023)"/>
    <s v="D"/>
    <n v="945443"/>
    <s v="BIF"/>
    <n v="2803.6597999999999"/>
    <n v="337.21744699553062"/>
    <s v="USD"/>
    <n v="0"/>
    <s v="9UN1085"/>
    <s v="YELI"/>
    <n v="0"/>
    <n v="0"/>
    <n v="0"/>
    <n v="0"/>
    <n v="0"/>
    <n v="0"/>
  </r>
  <r>
    <s v="OV 017"/>
    <n v="8"/>
    <d v="2023-06-01T00:00:00"/>
    <d v="2023-06-30T00:00:00"/>
    <m/>
    <x v="3"/>
    <s v="S.2.5"/>
    <s v="Capacity building  Officer(salaire janvier 2023)"/>
    <s v="D"/>
    <n v="369886"/>
    <s v="BIF"/>
    <n v="2803.6597999999999"/>
    <n v="131.92970131397541"/>
    <s v="USD"/>
    <n v="0"/>
    <s v="9UN1085"/>
    <s v="YELI"/>
    <n v="0"/>
    <n v="0"/>
    <n v="0"/>
    <n v="0"/>
    <n v="0"/>
    <n v="0"/>
  </r>
  <r>
    <s v="OV018"/>
    <n v="8"/>
    <d v="2023-06-01T00:00:00"/>
    <d v="2023-06-30T00:00:00"/>
    <m/>
    <x v="3"/>
    <s v="S.2.5"/>
    <s v="Capacity building  Officer(salaire fevrier  2023)"/>
    <s v="D"/>
    <n v="369886"/>
    <s v="BIF"/>
    <n v="2803.6597999999999"/>
    <n v="131.92970131397541"/>
    <s v="USD"/>
    <n v="0"/>
    <s v="9UN1085"/>
    <s v="YELI"/>
    <n v="0"/>
    <n v="0"/>
    <n v="0"/>
    <n v="0"/>
    <n v="0"/>
    <n v="0"/>
  </r>
  <r>
    <s v="OV 019"/>
    <n v="8"/>
    <d v="2023-06-01T00:00:00"/>
    <d v="2023-06-30T00:00:00"/>
    <m/>
    <x v="3"/>
    <s v="S.2.5"/>
    <s v="Capacity building  Officer( salaire mars 2023"/>
    <s v="D"/>
    <n v="369886"/>
    <s v="BIF"/>
    <n v="2803.6597999999999"/>
    <n v="131.92970131397541"/>
    <s v="USD"/>
    <n v="0"/>
    <s v="9UN1085"/>
    <s v="YELI"/>
    <n v="0"/>
    <n v="0"/>
    <n v="0"/>
    <n v="0"/>
    <n v="0"/>
    <n v="0"/>
  </r>
  <r>
    <s v="OV 020"/>
    <n v="8"/>
    <d v="2023-06-01T00:00:00"/>
    <d v="2023-06-30T00:00:00"/>
    <m/>
    <x v="3"/>
    <s v="S.2.5"/>
    <s v="Capacity building  Officer( salaire avril 2023)"/>
    <s v="D"/>
    <n v="369886"/>
    <s v="BIF"/>
    <n v="2803.6597999999999"/>
    <n v="131.92970131397541"/>
    <s v="USD"/>
    <n v="0"/>
    <s v="9UN1085"/>
    <s v="YELI"/>
    <n v="0"/>
    <n v="0"/>
    <n v="0"/>
    <n v="0"/>
    <n v="0"/>
    <n v="0"/>
  </r>
  <r>
    <s v="OV 021"/>
    <n v="8"/>
    <d v="2023-06-01T00:00:00"/>
    <d v="2023-06-30T00:00:00"/>
    <m/>
    <x v="3"/>
    <s v="S.2.5"/>
    <s v="Capacity building  Officer(salaire mai 2023)"/>
    <s v="D"/>
    <n v="369886"/>
    <s v="BIF"/>
    <n v="2803.6597999999999"/>
    <n v="131.92970131397541"/>
    <s v="USD"/>
    <n v="0"/>
    <s v="9UN1085"/>
    <s v="YELI"/>
    <n v="0"/>
    <n v="0"/>
    <n v="0"/>
    <n v="0"/>
    <n v="0"/>
    <n v="0"/>
  </r>
  <r>
    <s v="OV 022"/>
    <n v="8"/>
    <d v="2023-06-01T00:00:00"/>
    <d v="2023-06-30T00:00:00"/>
    <m/>
    <x v="3"/>
    <s v="S.2.5"/>
    <s v="Capacity building  Officer( salaire juin 2023)"/>
    <s v="D"/>
    <n v="369886"/>
    <s v="BIF"/>
    <n v="2803.6597999999999"/>
    <n v="131.92970131397541"/>
    <s v="USD"/>
    <n v="0"/>
    <s v="9UN1085"/>
    <s v="YELI"/>
    <n v="0"/>
    <n v="0"/>
    <n v="0"/>
    <n v="0"/>
    <n v="0"/>
    <n v="0"/>
  </r>
  <r>
    <s v="OV 017"/>
    <n v="8"/>
    <d v="2023-06-01T00:00:00"/>
    <d v="2023-06-30T00:00:00"/>
    <m/>
    <x v="3"/>
    <s v="S.2.6"/>
    <s v="Accoutant(salaire janvier 2023)"/>
    <s v="D"/>
    <n v="102000"/>
    <s v="BIF"/>
    <n v="2803.6597999999999"/>
    <n v="36.381018838305565"/>
    <s v="USD"/>
    <n v="0"/>
    <s v="9UN1085"/>
    <s v="YELI"/>
    <n v="0"/>
    <n v="0"/>
    <n v="0"/>
    <n v="0"/>
    <n v="0"/>
    <n v="0"/>
  </r>
  <r>
    <s v="OV018"/>
    <n v="8"/>
    <d v="2023-06-01T00:00:00"/>
    <d v="2023-06-30T00:00:00"/>
    <m/>
    <x v="3"/>
    <s v="S.2.6"/>
    <s v="Accoutant(salaire fevrier  2023)"/>
    <s v="D"/>
    <n v="102000"/>
    <s v="BIF"/>
    <n v="2803.6597999999999"/>
    <n v="36.381018838305565"/>
    <s v="USD"/>
    <n v="0"/>
    <s v="9UN1085"/>
    <s v="YELI"/>
    <n v="0"/>
    <n v="0"/>
    <n v="0"/>
    <n v="0"/>
    <n v="0"/>
    <n v="0"/>
  </r>
  <r>
    <s v="OV 019"/>
    <n v="8"/>
    <d v="2023-06-01T00:00:00"/>
    <d v="2023-06-30T00:00:00"/>
    <m/>
    <x v="3"/>
    <s v="S.2.6"/>
    <s v="Accoutant( salaire mars 2023)"/>
    <s v="D"/>
    <n v="102000"/>
    <s v="BIF"/>
    <n v="2803.6597999999999"/>
    <n v="36.381018838305565"/>
    <s v="USD"/>
    <n v="0"/>
    <s v="9UN1085"/>
    <s v="YELI"/>
    <n v="0"/>
    <n v="0"/>
    <n v="0"/>
    <n v="0"/>
    <n v="0"/>
    <n v="0"/>
  </r>
  <r>
    <s v="OV 020"/>
    <n v="8"/>
    <d v="2023-06-01T00:00:00"/>
    <d v="2023-06-30T00:00:00"/>
    <m/>
    <x v="3"/>
    <s v="S.2.6"/>
    <s v="Accoutant( salaire avril 2023)"/>
    <s v="D"/>
    <n v="102000"/>
    <s v="BIF"/>
    <n v="2803.6597999999999"/>
    <n v="36.381018838305565"/>
    <s v="USD"/>
    <n v="0"/>
    <s v="9UN1085"/>
    <s v="YELI"/>
    <n v="0"/>
    <n v="0"/>
    <n v="0"/>
    <n v="0"/>
    <n v="0"/>
    <n v="0"/>
  </r>
  <r>
    <s v="OV 021"/>
    <n v="8"/>
    <d v="2023-06-01T00:00:00"/>
    <d v="2023-06-30T00:00:00"/>
    <m/>
    <x v="3"/>
    <s v="S.2.6"/>
    <s v="Accoutant(salaire mai 2023)"/>
    <s v="D"/>
    <n v="102000"/>
    <s v="BIF"/>
    <n v="2803.6597999999999"/>
    <n v="36.381018838305565"/>
    <s v="USD"/>
    <n v="0"/>
    <s v="9UN1085"/>
    <s v="YELI"/>
    <n v="0"/>
    <n v="0"/>
    <n v="0"/>
    <n v="0"/>
    <n v="0"/>
    <n v="0"/>
  </r>
  <r>
    <s v="OV 022"/>
    <n v="8"/>
    <d v="2023-06-01T00:00:00"/>
    <d v="2023-06-30T00:00:00"/>
    <m/>
    <x v="3"/>
    <s v="S.2.6"/>
    <s v="Accoutant( salaire juin 2023)"/>
    <s v="D"/>
    <n v="102000"/>
    <s v="BIF"/>
    <n v="2803.6597999999999"/>
    <n v="36.381018838305565"/>
    <s v="USD"/>
    <n v="0"/>
    <s v="9UN1085"/>
    <s v="YELI"/>
    <n v="0"/>
    <n v="0"/>
    <n v="0"/>
    <n v="0"/>
    <n v="0"/>
    <n v="0"/>
  </r>
  <r>
    <s v="Historique USD"/>
    <n v="9"/>
    <d v="2023-06-01T00:00:00"/>
    <d v="2023-06-12T00:00:00"/>
    <m/>
    <x v="3"/>
    <s v="O.2.7"/>
    <s v="Bank charges USD"/>
    <s v="D"/>
    <n v="199993.55539999995"/>
    <s v="BIF"/>
    <n v="2823.97"/>
    <n v="70.819999999999993"/>
    <s v="USD"/>
    <n v="0"/>
    <s v="9UN1085"/>
    <s v="YELI"/>
    <n v="0"/>
    <n v="0"/>
    <n v="0"/>
    <n v="0"/>
    <n v="0"/>
    <n v="0"/>
  </r>
  <r>
    <s v="RFB/925845943-R1"/>
    <s v="1-B"/>
    <d v="2023-07-01T00:00:00"/>
    <d v="2023-07-19T00:00:00"/>
    <m/>
    <x v="3"/>
    <s v="O.4.7"/>
    <s v="Frais Bancaires USD"/>
    <s v="D"/>
    <n v="200000"/>
    <s v="BIF"/>
    <n v="2830.26"/>
    <n v="70.664885911541688"/>
    <s v="USD"/>
    <n v="0"/>
    <s v="9UN1085"/>
    <s v="COCAFEM"/>
    <n v="0"/>
    <n v="0"/>
    <n v="0"/>
    <n v="0"/>
    <n v="0"/>
    <n v="0"/>
  </r>
  <r>
    <s v="OV 843252"/>
    <n v="3"/>
    <d v="2023-08-23T00:00:00"/>
    <d v="2023-08-29T00:00:00"/>
    <m/>
    <x v="3"/>
    <s v="O.4.2"/>
    <s v="Frais de communication Jan- Juillet 2023"/>
    <s v="D"/>
    <n v="189000"/>
    <s v="BIF"/>
    <n v="2830.26"/>
    <n v="66.778317186406895"/>
    <s v="USD"/>
    <n v="0"/>
    <s v="9UN1085"/>
    <s v="COCAFEM"/>
    <n v="0"/>
    <n v="0"/>
    <n v="0"/>
    <n v="0"/>
    <n v="0"/>
    <n v="0"/>
  </r>
  <r>
    <s v="OV843256"/>
    <n v="6"/>
    <d v="2023-09-01T00:00:00"/>
    <d v="2023-09-06T00:00:00"/>
    <m/>
    <x v="3"/>
    <s v="O.4.6"/>
    <s v="PYT office supplies "/>
    <s v="D"/>
    <n v="865800"/>
    <s v="BIF"/>
    <n v="2830.26"/>
    <n v="305.90829111106399"/>
    <s v="USD"/>
    <n v="0"/>
    <s v="9UN1085"/>
    <s v="COCAFEM"/>
    <n v="0"/>
    <n v="0"/>
    <n v="0"/>
    <n v="0"/>
    <n v="0"/>
    <n v="0"/>
  </r>
  <r>
    <s v="CHQ843257"/>
    <n v="7"/>
    <d v="2023-09-01T00:00:00"/>
    <d v="2023-09-06T00:00:00"/>
    <m/>
    <x v="3"/>
    <s v="O.4.5"/>
    <s v="PYT office equipments"/>
    <s v="D"/>
    <n v="241900"/>
    <s v="BIF"/>
    <n v="2830.26"/>
    <n v="85.469179510009681"/>
    <s v="USD"/>
    <n v="0"/>
    <s v="9UN1085"/>
    <s v="COCAFEM"/>
    <n v="0"/>
    <n v="0"/>
    <n v="0"/>
    <n v="0"/>
    <n v="0"/>
    <n v="0"/>
  </r>
  <r>
    <s v="OV843251"/>
    <n v="2"/>
    <d v="2023-08-01T00:00:00"/>
    <d v="2023-08-25T00:00:00"/>
    <m/>
    <x v="3"/>
    <s v="O.4.3"/>
    <s v="Contribution Loyer (Jan-Aout 2023)"/>
    <s v="D"/>
    <n v="750000"/>
    <s v="BIF"/>
    <n v="2830.26"/>
    <n v="264.99332216828134"/>
    <s v="USD"/>
    <n v="0"/>
    <s v="9UN1085"/>
    <s v="COCAFEM"/>
    <n v="0"/>
    <n v="0"/>
    <n v="0"/>
    <n v="0"/>
    <n v="0"/>
    <n v="0"/>
  </r>
  <r>
    <s v="Extrait bancaire BRB"/>
    <n v="13"/>
    <d v="2023-07-01T00:00:00"/>
    <d v="2023-02-07T00:00:00"/>
    <m/>
    <x v="3"/>
    <s v="O.2.8"/>
    <s v="Bank charges in dollars"/>
    <s v="D"/>
    <n v="3.18"/>
    <m/>
    <n v="1"/>
    <n v="3.18"/>
    <s v="USD"/>
    <n v="0"/>
    <s v="9UN1085"/>
    <s v="YELI"/>
    <n v="0"/>
    <n v="0"/>
    <n v="0"/>
    <n v="0"/>
    <n v="0"/>
    <n v="0"/>
  </r>
  <r>
    <s v="Extrait bancaire BRB"/>
    <n v="13"/>
    <d v="2023-07-01T00:00:00"/>
    <d v="2023-02-07T00:00:00"/>
    <m/>
    <x v="3"/>
    <s v="O.2.8"/>
    <s v="Bank charges in dollars"/>
    <s v="D"/>
    <n v="3.54"/>
    <s v="BIF"/>
    <n v="1"/>
    <n v="3.54"/>
    <s v="USD"/>
    <n v="0"/>
    <s v="9UN1085"/>
    <s v="YELI"/>
    <n v="0"/>
    <n v="0"/>
    <n v="0"/>
    <n v="0"/>
    <n v="0"/>
    <n v="0"/>
  </r>
  <r>
    <s v="Extrait bancaire BANCOBU"/>
    <n v="14"/>
    <d v="2023-07-01T00:00:00"/>
    <d v="2023-02-07T00:00:00"/>
    <m/>
    <x v="3"/>
    <s v="O.2.8"/>
    <s v="Bank charges in BIF"/>
    <s v="D"/>
    <n v="15074"/>
    <s v="BIF"/>
    <n v="2803.6597999999999"/>
    <n v="5.3765439016531182"/>
    <s v="USD"/>
    <n v="0"/>
    <s v="9UN1085"/>
    <s v="YELI"/>
    <n v="0"/>
    <n v="0"/>
    <n v="0"/>
    <n v="0"/>
    <n v="0"/>
    <n v="0"/>
  </r>
  <r>
    <s v="Ov025"/>
    <n v="18"/>
    <d v="2023-07-01T00:00:00"/>
    <n v="45138"/>
    <m/>
    <x v="3"/>
    <s v="O.2.4"/>
    <s v="Payment Office rent juillet 2023"/>
    <s v="D"/>
    <n v="145000"/>
    <s v="BIF"/>
    <n v="2803.6597999999999"/>
    <n v="51.718115015238297"/>
    <s v="USD"/>
    <n v="0"/>
    <s v="9UN1085"/>
    <s v="YELI"/>
    <n v="0"/>
    <n v="0"/>
    <n v="0"/>
    <n v="0"/>
    <n v="0"/>
    <n v="0"/>
  </r>
  <r>
    <s v="CH8904418"/>
    <n v="15"/>
    <d v="2023-07-01T00:00:00"/>
    <d v="2023-07-15T00:00:00"/>
    <m/>
    <x v="3"/>
    <s v="S.2.1"/>
    <s v="Payment IPR  juin of Executive Director"/>
    <s v="D"/>
    <n v="1029"/>
    <s v="BIF"/>
    <n v="2803.6597999999999"/>
    <n v="0.36702027828055317"/>
    <s v="USD"/>
    <n v="0"/>
    <s v="9UN1085"/>
    <s v="YELI"/>
    <n v="0"/>
    <n v="0"/>
    <n v="0"/>
    <n v="0"/>
    <n v="0"/>
    <n v="0"/>
  </r>
  <r>
    <s v="CH8904418"/>
    <n v="15"/>
    <d v="2023-07-01T00:00:00"/>
    <d v="2023-07-15T00:00:00"/>
    <m/>
    <x v="3"/>
    <s v="S.2.3"/>
    <s v="Payment IPR juin of Monitoring and evaluation"/>
    <s v="D"/>
    <n v="686"/>
    <s v="BIF"/>
    <n v="2803.6597999999999"/>
    <n v="0.24468018552036877"/>
    <s v="USD"/>
    <n v="0"/>
    <s v="9UN1085"/>
    <s v="YELI"/>
    <n v="0"/>
    <n v="0"/>
    <n v="0"/>
    <n v="0"/>
    <n v="0"/>
    <n v="0"/>
  </r>
  <r>
    <s v="CH8904418"/>
    <n v="15"/>
    <d v="2023-07-01T00:00:00"/>
    <d v="2023-07-15T00:00:00"/>
    <m/>
    <x v="3"/>
    <s v="S.2.4"/>
    <s v="Payment IPR  juin Project Manager"/>
    <s v="D"/>
    <n v="89700"/>
    <s v="BIF"/>
    <n v="2803.6597999999999"/>
    <n v="31.993895978392246"/>
    <s v="USD"/>
    <n v="0"/>
    <s v="9UN1085"/>
    <s v="YELI"/>
    <n v="0"/>
    <n v="0"/>
    <n v="0"/>
    <n v="0"/>
    <n v="0"/>
    <n v="0"/>
  </r>
  <r>
    <s v="CH8904418"/>
    <n v="15"/>
    <d v="2023-07-01T00:00:00"/>
    <d v="2023-07-15T00:00:00"/>
    <m/>
    <x v="3"/>
    <s v="S.2.5"/>
    <s v="Payment IPR  jun Capaciy building Officer"/>
    <s v="D"/>
    <n v="12114"/>
    <s v="BIF"/>
    <n v="2803.6597999999999"/>
    <n v="4.3207810020317021"/>
    <s v="USD"/>
    <n v="0"/>
    <s v="9UN1085"/>
    <s v="YELI"/>
    <n v="0"/>
    <n v="0"/>
    <n v="0"/>
    <n v="0"/>
    <n v="0"/>
    <n v="0"/>
  </r>
  <r>
    <s v="OV 023"/>
    <n v="16"/>
    <d v="2023-07-01T00:00:00"/>
    <d v="2023-07-27T00:00:00"/>
    <m/>
    <x v="3"/>
    <s v="S.2.1"/>
    <s v="Executive Director( Salaire Juillet 2023)"/>
    <s v="D"/>
    <n v="382454"/>
    <s v="BIF"/>
    <n v="2803.6597999999999"/>
    <n v="136.4124135175031"/>
    <s v="USD"/>
    <n v="0"/>
    <s v="9UN1085"/>
    <s v="YELI"/>
    <n v="0"/>
    <n v="0"/>
    <n v="0"/>
    <n v="0"/>
    <n v="0"/>
    <n v="0"/>
  </r>
  <r>
    <s v="OV 023"/>
    <n v="16"/>
    <d v="2023-07-01T00:00:00"/>
    <d v="2023-07-27T00:00:00"/>
    <m/>
    <x v="3"/>
    <s v="S.2.2"/>
    <s v="Financial and Administrative Manager( Salaire Juillet 2023)"/>
    <s v="D"/>
    <n v="216919"/>
    <s v="BIF"/>
    <n v="2803.6597999999999"/>
    <n v="77.369943386141216"/>
    <s v="USD"/>
    <n v="0"/>
    <s v="9UN1085"/>
    <s v="YELI"/>
    <n v="0"/>
    <n v="0"/>
    <n v="0"/>
    <n v="0"/>
    <n v="0"/>
    <n v="0"/>
  </r>
  <r>
    <s v="OV 023"/>
    <n v="16"/>
    <d v="2023-07-01T00:00:00"/>
    <d v="2023-07-27T00:00:00"/>
    <m/>
    <x v="3"/>
    <s v="S.2.3"/>
    <s v="Monitoring and Evaluation( salaire juillet 2023)"/>
    <s v="D"/>
    <n v="382797"/>
    <s v="BIF"/>
    <n v="2803.6597999999999"/>
    <n v="136.53475361026327"/>
    <s v="USD"/>
    <n v="0"/>
    <s v="9UN1085"/>
    <s v="YELI"/>
    <n v="0"/>
    <n v="0"/>
    <n v="0"/>
    <n v="0"/>
    <n v="0"/>
    <n v="0"/>
  </r>
  <r>
    <s v="OV 023"/>
    <n v="16"/>
    <d v="2023-07-01T00:00:00"/>
    <d v="2023-07-27T00:00:00"/>
    <m/>
    <x v="3"/>
    <s v="S.2.4"/>
    <s v="Project Manager(salaire Juillet 2023)"/>
    <s v="D"/>
    <n v="1288541"/>
    <s v="BIF"/>
    <n v="2803.6597999999999"/>
    <n v="459.59249406793225"/>
    <s v="USD"/>
    <n v="0"/>
    <s v="9UN1085"/>
    <s v="YELI"/>
    <n v="0"/>
    <n v="0"/>
    <n v="0"/>
    <n v="0"/>
    <n v="0"/>
    <n v="0"/>
  </r>
  <r>
    <s v="OV 023"/>
    <n v="16"/>
    <d v="2023-07-01T00:00:00"/>
    <d v="2023-07-27T00:00:00"/>
    <m/>
    <x v="3"/>
    <s v="S.2.5"/>
    <s v="Capacity building  Officer( salaire Juillet 2023)"/>
    <s v="D"/>
    <n v="505196"/>
    <s v="BIF"/>
    <n v="2803.6597999999999"/>
    <n v="180.19161953957467"/>
    <s v="USD"/>
    <n v="0"/>
    <s v="9UN1085"/>
    <s v="YELI"/>
    <n v="0"/>
    <n v="0"/>
    <n v="0"/>
    <n v="0"/>
    <n v="0"/>
    <n v="0"/>
  </r>
  <r>
    <s v="OV 023"/>
    <n v="16"/>
    <d v="2023-07-01T00:00:00"/>
    <d v="2023-07-27T00:00:00"/>
    <m/>
    <x v="3"/>
    <s v="S.2.6"/>
    <s v="Accoutant( salaire juillet 2023)"/>
    <s v="D"/>
    <n v="147836"/>
    <s v="BIF"/>
    <n v="2803.6597999999999"/>
    <n v="52.729650009605301"/>
    <s v="USD"/>
    <n v="0"/>
    <s v="9UN1085"/>
    <s v="YELI"/>
    <n v="0"/>
    <n v="0"/>
    <n v="0"/>
    <n v="0"/>
    <n v="0"/>
    <n v="0"/>
  </r>
  <r>
    <s v="OV024"/>
    <n v="17"/>
    <d v="2023-07-01T00:00:00"/>
    <d v="2023-07-27T00:00:00"/>
    <m/>
    <x v="3"/>
    <s v="S.2.1"/>
    <s v="Régularisation salaire Executive Director Janvier 2023"/>
    <s v="D"/>
    <n v="101482"/>
    <s v="BIF"/>
    <n v="2803.6597999999999"/>
    <n v="36.196260330871816"/>
    <s v="USD"/>
    <n v="0"/>
    <s v="9UN1085"/>
    <s v="YELI"/>
    <n v="0"/>
    <n v="0"/>
    <n v="0"/>
    <n v="0"/>
    <n v="0"/>
    <n v="0"/>
  </r>
  <r>
    <s v="OV024"/>
    <n v="17"/>
    <d v="2023-07-01T00:00:00"/>
    <d v="2023-07-27T00:00:00"/>
    <m/>
    <x v="3"/>
    <s v="S.2.1"/>
    <s v="Régularisation  salaire Executive Director Fevrier 2023"/>
    <s v="D"/>
    <n v="101482"/>
    <s v="BIF"/>
    <n v="2803.6597999999999"/>
    <n v="36.196260330871816"/>
    <s v="USD"/>
    <n v="0"/>
    <s v="9UN1085"/>
    <s v="YELI"/>
    <n v="0"/>
    <n v="0"/>
    <n v="0"/>
    <n v="0"/>
    <n v="0"/>
    <n v="0"/>
  </r>
  <r>
    <s v="OV024"/>
    <n v="17"/>
    <d v="2023-07-01T00:00:00"/>
    <d v="2023-07-27T00:00:00"/>
    <m/>
    <x v="3"/>
    <s v="S.2.1"/>
    <s v="Régularisation salaire Executive Director  Mars 2023"/>
    <s v="D"/>
    <n v="101482"/>
    <s v="BIF"/>
    <n v="2803.6597999999999"/>
    <n v="36.196260330871816"/>
    <s v="USD"/>
    <n v="0"/>
    <s v="9UN1085"/>
    <s v="YELI"/>
    <n v="0"/>
    <n v="0"/>
    <n v="0"/>
    <n v="0"/>
    <n v="0"/>
    <n v="0"/>
  </r>
  <r>
    <s v="OV024"/>
    <n v="17"/>
    <d v="2023-07-01T00:00:00"/>
    <d v="2023-07-27T00:00:00"/>
    <m/>
    <x v="3"/>
    <s v="S.2.1"/>
    <s v="Régularisation  salaire Executive Director  Avril 2023"/>
    <s v="D"/>
    <n v="101482"/>
    <s v="BIF"/>
    <n v="2803.6597999999999"/>
    <n v="36.196260330871816"/>
    <s v="USD"/>
    <n v="0"/>
    <s v="9UN1085"/>
    <s v="YELI"/>
    <n v="0"/>
    <n v="0"/>
    <n v="0"/>
    <n v="0"/>
    <n v="0"/>
    <n v="0"/>
  </r>
  <r>
    <s v="OV024"/>
    <n v="17"/>
    <d v="2023-07-01T00:00:00"/>
    <d v="2023-07-27T00:00:00"/>
    <m/>
    <x v="3"/>
    <s v="S.2.1"/>
    <s v="Régularisation  salaire Executive Director  Mai 2023"/>
    <s v="D"/>
    <n v="101482"/>
    <s v="BIF"/>
    <n v="2803.6597999999999"/>
    <n v="36.196260330871816"/>
    <s v="USD"/>
    <n v="0"/>
    <s v="9UN1085"/>
    <s v="YELI"/>
    <n v="0"/>
    <n v="0"/>
    <n v="0"/>
    <n v="0"/>
    <n v="0"/>
    <n v="0"/>
  </r>
  <r>
    <s v="OV024"/>
    <n v="17"/>
    <d v="2023-07-01T00:00:00"/>
    <d v="2023-07-27T00:00:00"/>
    <m/>
    <x v="3"/>
    <s v="S.2.1"/>
    <s v="Régularisation  salaire Executive Director Juin 2023"/>
    <s v="D"/>
    <n v="101482"/>
    <s v="BIF"/>
    <n v="2803.6597999999999"/>
    <n v="36.196260330871816"/>
    <s v="USD"/>
    <n v="0"/>
    <s v="9UN1085"/>
    <s v="YELI"/>
    <n v="0"/>
    <n v="0"/>
    <n v="0"/>
    <n v="0"/>
    <n v="0"/>
    <n v="0"/>
  </r>
  <r>
    <s v="OV024"/>
    <n v="17"/>
    <d v="2023-07-01T00:00:00"/>
    <d v="2023-07-27T00:00:00"/>
    <m/>
    <x v="3"/>
    <s v="S.2.2"/>
    <s v="Régularisation salaire Financial  Admin Manager  janvier 2023"/>
    <s v="D"/>
    <n v="64919"/>
    <s v="BIF"/>
    <n v="2803.6597999999999"/>
    <n v="23.15509178396038"/>
    <s v="USD"/>
    <n v="0"/>
    <s v="9UN1085"/>
    <s v="YELI"/>
    <n v="0"/>
    <n v="0"/>
    <n v="0"/>
    <n v="0"/>
    <n v="0"/>
    <n v="0"/>
  </r>
  <r>
    <s v="OV024"/>
    <n v="17"/>
    <d v="2023-07-01T00:00:00"/>
    <d v="2023-07-27T00:00:00"/>
    <m/>
    <x v="3"/>
    <s v="S.2.2"/>
    <s v="Régularisation salaire Financial Admin Manager  Fevrier 2023"/>
    <s v="D"/>
    <n v="64919"/>
    <s v="BIF"/>
    <n v="2803.6597999999999"/>
    <n v="23.15509178396038"/>
    <s v="USD"/>
    <n v="0"/>
    <s v="9UN1085"/>
    <s v="YELI"/>
    <n v="0"/>
    <n v="0"/>
    <n v="0"/>
    <n v="0"/>
    <n v="0"/>
    <n v="0"/>
  </r>
  <r>
    <s v="OV024"/>
    <n v="17"/>
    <d v="2023-07-01T00:00:00"/>
    <d v="2023-07-27T00:00:00"/>
    <m/>
    <x v="3"/>
    <s v="S.2.2"/>
    <s v="Régularisation salaire Financial Admin Manager Mars 2023"/>
    <s v="D"/>
    <n v="64919"/>
    <s v="BIF"/>
    <n v="2803.6597999999999"/>
    <n v="23.15509178396038"/>
    <s v="USD"/>
    <n v="0"/>
    <s v="9UN1085"/>
    <s v="YELI"/>
    <n v="0"/>
    <n v="0"/>
    <n v="0"/>
    <n v="0"/>
    <n v="0"/>
    <n v="0"/>
  </r>
  <r>
    <s v="OV024"/>
    <n v="17"/>
    <d v="2023-07-01T00:00:00"/>
    <d v="2023-07-27T00:00:00"/>
    <m/>
    <x v="3"/>
    <s v="S.2.2"/>
    <s v="Régularisation  salaire Financial  Admin Manager Avril 2023"/>
    <s v="D"/>
    <n v="64919"/>
    <s v="BIF"/>
    <n v="2803.6597999999999"/>
    <n v="23.15509178396038"/>
    <s v="USD"/>
    <n v="0"/>
    <s v="9UN1085"/>
    <s v="YELI"/>
    <n v="0"/>
    <n v="0"/>
    <n v="0"/>
    <n v="0"/>
    <n v="0"/>
    <n v="0"/>
  </r>
  <r>
    <s v="OV024"/>
    <n v="17"/>
    <d v="2023-07-01T00:00:00"/>
    <d v="2023-07-27T00:00:00"/>
    <m/>
    <x v="3"/>
    <s v="S.2.2"/>
    <s v="Régularisation salaire Financial Admin Manager Mai 2023"/>
    <s v="D"/>
    <n v="64919"/>
    <s v="BIF"/>
    <n v="2803.6597999999999"/>
    <n v="23.15509178396038"/>
    <s v="USD"/>
    <n v="0"/>
    <s v="9UN1085"/>
    <s v="YELI"/>
    <n v="0"/>
    <n v="0"/>
    <n v="0"/>
    <n v="0"/>
    <n v="0"/>
    <n v="0"/>
  </r>
  <r>
    <s v="OV024"/>
    <n v="17"/>
    <d v="2023-07-01T00:00:00"/>
    <d v="2023-07-27T00:00:00"/>
    <m/>
    <x v="3"/>
    <s v="S.2.2"/>
    <s v="Régularisation salaire Financial Admin Manager  juin 2023"/>
    <s v="D"/>
    <n v="64919"/>
    <s v="BIF"/>
    <n v="2803.6597999999999"/>
    <n v="23.15509178396038"/>
    <s v="USD"/>
    <n v="0"/>
    <s v="9UN1085"/>
    <s v="YELI"/>
    <n v="0"/>
    <n v="0"/>
    <n v="0"/>
    <n v="0"/>
    <n v="0"/>
    <n v="0"/>
  </r>
  <r>
    <s v="OV024"/>
    <n v="17"/>
    <d v="2023-07-01T00:00:00"/>
    <d v="2023-07-27T00:00:00"/>
    <m/>
    <x v="3"/>
    <s v="S.2.3"/>
    <s v="Régularisation salaire  ME janvier 2023"/>
    <s v="D"/>
    <n v="101483"/>
    <s v="BIF"/>
    <n v="2803.6597999999999"/>
    <n v="36.196617007527088"/>
    <s v="USD"/>
    <n v="0"/>
    <s v="9UN1085"/>
    <s v="YELI"/>
    <n v="0"/>
    <n v="0"/>
    <n v="0"/>
    <n v="0"/>
    <n v="0"/>
    <n v="0"/>
  </r>
  <r>
    <s v="OV024"/>
    <n v="17"/>
    <d v="2023-07-01T00:00:00"/>
    <d v="2023-07-27T00:00:00"/>
    <m/>
    <x v="3"/>
    <s v="S.2.3"/>
    <s v="Régularisation salaire  ME Fevrier 2023)"/>
    <s v="D"/>
    <n v="101483"/>
    <s v="BIF"/>
    <n v="2803.6597999999999"/>
    <n v="36.196617007527088"/>
    <s v="USD"/>
    <n v="0"/>
    <s v="9UN1085"/>
    <s v="YELI"/>
    <n v="0"/>
    <n v="0"/>
    <n v="0"/>
    <n v="0"/>
    <n v="0"/>
    <n v="0"/>
  </r>
  <r>
    <s v="OV024"/>
    <n v="17"/>
    <d v="2023-07-01T00:00:00"/>
    <d v="2023-07-27T00:00:00"/>
    <m/>
    <x v="3"/>
    <s v="S.2.2"/>
    <s v="Régularisation salaire  ME Mars 2023)"/>
    <s v="D"/>
    <n v="101483"/>
    <s v="BIF"/>
    <n v="2803.6597999999999"/>
    <n v="36.196617007527088"/>
    <s v="USD"/>
    <n v="0"/>
    <s v="9UN1085"/>
    <s v="YELI"/>
    <n v="0"/>
    <n v="0"/>
    <n v="0"/>
    <n v="0"/>
    <n v="0"/>
    <n v="0"/>
  </r>
  <r>
    <s v="OV024"/>
    <n v="17"/>
    <d v="2023-07-01T00:00:00"/>
    <d v="2023-07-27T00:00:00"/>
    <m/>
    <x v="3"/>
    <s v="S.2.3"/>
    <s v="Régularisation salaire  ME Avril 2023)"/>
    <s v="D"/>
    <n v="101483"/>
    <s v="BIF"/>
    <n v="2803.6597999999999"/>
    <n v="36.196617007527088"/>
    <s v="USD"/>
    <n v="0"/>
    <s v="9UN1085"/>
    <s v="YELI"/>
    <n v="0"/>
    <n v="0"/>
    <n v="0"/>
    <n v="0"/>
    <n v="0"/>
    <n v="0"/>
  </r>
  <r>
    <s v="OV024"/>
    <n v="17"/>
    <d v="2023-07-01T00:00:00"/>
    <d v="2023-07-27T00:00:00"/>
    <m/>
    <x v="3"/>
    <s v="S.2.3"/>
    <s v="Régularisation salaire  ME Mai 2023)"/>
    <s v="D"/>
    <n v="101483"/>
    <s v="BIF"/>
    <n v="2803.6597999999999"/>
    <n v="36.196617007527088"/>
    <s v="USD"/>
    <n v="0"/>
    <s v="9UN1085"/>
    <s v="YELI"/>
    <n v="0"/>
    <n v="0"/>
    <n v="0"/>
    <n v="0"/>
    <n v="0"/>
    <n v="0"/>
  </r>
  <r>
    <s v="OV024"/>
    <n v="17"/>
    <d v="2023-07-01T00:00:00"/>
    <d v="2023-07-27T00:00:00"/>
    <m/>
    <x v="3"/>
    <s v="S.2.3"/>
    <s v="Régularisation salaire  ME Juin 2023)"/>
    <s v="D"/>
    <n v="101483"/>
    <s v="BIF"/>
    <n v="2803.6597999999999"/>
    <n v="36.196617007527088"/>
    <s v="USD"/>
    <n v="0"/>
    <s v="9UN1085"/>
    <s v="YELI"/>
    <n v="0"/>
    <n v="0"/>
    <n v="0"/>
    <n v="0"/>
    <n v="0"/>
    <n v="0"/>
  </r>
  <r>
    <s v="OV024"/>
    <n v="17"/>
    <d v="2023-07-01T00:00:00"/>
    <d v="2023-07-27T00:00:00"/>
    <m/>
    <x v="3"/>
    <s v="S.2.4"/>
    <s v="Régularisation Project Manager(salaire janvier 2023)"/>
    <s v="D"/>
    <n v="321654.33333333331"/>
    <s v="BIF"/>
    <n v="2803.6597999999999"/>
    <n v="114.72659176884918"/>
    <s v="USD"/>
    <n v="0"/>
    <s v="9UN1085"/>
    <s v="YELI"/>
    <n v="0"/>
    <n v="0"/>
    <n v="0"/>
    <n v="0"/>
    <n v="0"/>
    <n v="0"/>
  </r>
  <r>
    <s v="OV024"/>
    <n v="17"/>
    <d v="2023-07-01T00:00:00"/>
    <d v="2023-07-27T00:00:00"/>
    <m/>
    <x v="3"/>
    <s v="S.2.4"/>
    <s v="Régularisation Project Manager(salaire Fevrier 2023)"/>
    <s v="D"/>
    <n v="321654.33333333331"/>
    <s v="BIF"/>
    <n v="2803.6597999999999"/>
    <n v="114.72659176884918"/>
    <s v="USD"/>
    <n v="0"/>
    <s v="9UN1085"/>
    <s v="YELI"/>
    <n v="0"/>
    <n v="0"/>
    <n v="0"/>
    <n v="0"/>
    <n v="0"/>
    <n v="0"/>
  </r>
  <r>
    <s v="OV024"/>
    <n v="17"/>
    <d v="2023-07-01T00:00:00"/>
    <d v="2023-07-27T00:00:00"/>
    <m/>
    <x v="3"/>
    <s v="S.2.4"/>
    <s v="Régularisation Project Manager(salaire Mars 2023)"/>
    <s v="D"/>
    <n v="321654.33333333331"/>
    <s v="BIF"/>
    <n v="2803.6597999999999"/>
    <n v="114.72659176884918"/>
    <s v="USD"/>
    <n v="0"/>
    <s v="9UN1085"/>
    <s v="YELI"/>
    <n v="0"/>
    <n v="0"/>
    <n v="0"/>
    <n v="0"/>
    <n v="0"/>
    <n v="0"/>
  </r>
  <r>
    <s v="OV024"/>
    <n v="17"/>
    <d v="2023-07-01T00:00:00"/>
    <d v="2023-07-27T00:00:00"/>
    <m/>
    <x v="3"/>
    <s v="S.2.4"/>
    <s v="Régularisation Project Manager(salaire Avril 2023)"/>
    <s v="D"/>
    <n v="321654.33333333331"/>
    <s v="BIF"/>
    <n v="2803.6597999999999"/>
    <n v="114.72659176884918"/>
    <s v="USD"/>
    <n v="0"/>
    <s v="9UN1085"/>
    <s v="YELI"/>
    <n v="0"/>
    <n v="0"/>
    <n v="0"/>
    <n v="0"/>
    <n v="0"/>
    <n v="0"/>
  </r>
  <r>
    <s v="OV024"/>
    <n v="17"/>
    <d v="2023-07-01T00:00:00"/>
    <d v="2023-07-27T00:00:00"/>
    <m/>
    <x v="3"/>
    <s v="S.2.4"/>
    <s v="Régularisation Project Manager(salaire Mair 2023)"/>
    <s v="D"/>
    <n v="321654.33333333331"/>
    <s v="BIF"/>
    <n v="2803.6597999999999"/>
    <n v="114.72659176884918"/>
    <s v="USD"/>
    <n v="0"/>
    <s v="9UN1085"/>
    <s v="YELI"/>
    <n v="0"/>
    <n v="0"/>
    <n v="0"/>
    <n v="0"/>
    <n v="0"/>
    <n v="0"/>
  </r>
  <r>
    <s v="OV024"/>
    <n v="17"/>
    <d v="2023-07-01T00:00:00"/>
    <d v="2023-07-27T00:00:00"/>
    <m/>
    <x v="3"/>
    <s v="S.2.4"/>
    <s v="Régularisation Project Manager(salaire juin 2023)"/>
    <s v="D"/>
    <n v="321654.33333333331"/>
    <s v="BIF"/>
    <n v="2803.6597999999999"/>
    <n v="114.72659176884918"/>
    <s v="USD"/>
    <n v="0"/>
    <s v="9UN1085"/>
    <s v="YELI"/>
    <n v="0"/>
    <n v="0"/>
    <n v="0"/>
    <n v="0"/>
    <n v="0"/>
    <n v="0"/>
  </r>
  <r>
    <s v="OV024"/>
    <n v="17"/>
    <d v="2023-07-01T00:00:00"/>
    <d v="2023-07-27T00:00:00"/>
    <m/>
    <x v="3"/>
    <s v="S.2.5"/>
    <s v="Régularisation Capacity building  Officer( salaire juin 2023)"/>
    <s v="D"/>
    <n v="135310"/>
    <s v="BIF"/>
    <n v="2803.6597999999999"/>
    <n v="48.261918225599267"/>
    <s v="USD"/>
    <n v="0"/>
    <s v="9UN1085"/>
    <s v="YELI"/>
    <n v="0"/>
    <n v="0"/>
    <n v="0"/>
    <n v="0"/>
    <n v="0"/>
    <n v="0"/>
  </r>
  <r>
    <s v="OV024"/>
    <n v="17"/>
    <d v="2023-07-01T00:00:00"/>
    <d v="2023-07-27T00:00:00"/>
    <m/>
    <x v="3"/>
    <s v="S.2.5"/>
    <s v="Régularisation Capacity building  Officer( salaire Fevrier 2023)"/>
    <s v="D"/>
    <n v="135310"/>
    <s v="BIF"/>
    <n v="2803.6597999999999"/>
    <n v="48.261918225599267"/>
    <s v="USD"/>
    <n v="0"/>
    <s v="9UN1085"/>
    <s v="YELI"/>
    <n v="0"/>
    <n v="0"/>
    <n v="0"/>
    <n v="0"/>
    <n v="0"/>
    <n v="0"/>
  </r>
  <r>
    <s v="OV024"/>
    <n v="17"/>
    <d v="2023-07-01T00:00:00"/>
    <d v="2023-07-27T00:00:00"/>
    <m/>
    <x v="3"/>
    <s v="S.2.5"/>
    <s v="Régularisation Capacity building  Officer( salaire Mars 2023)"/>
    <s v="D"/>
    <n v="135310"/>
    <s v="BIF"/>
    <n v="2803.6597999999999"/>
    <n v="48.261918225599267"/>
    <s v="USD"/>
    <n v="0"/>
    <s v="9UN1085"/>
    <s v="YELI"/>
    <n v="0"/>
    <n v="0"/>
    <n v="0"/>
    <n v="0"/>
    <n v="0"/>
    <n v="0"/>
  </r>
  <r>
    <s v="OV024"/>
    <n v="17"/>
    <d v="2023-07-01T00:00:00"/>
    <d v="2023-07-27T00:00:00"/>
    <m/>
    <x v="3"/>
    <s v="S.2.5"/>
    <s v="Régularisation Capacity building  Officer( salaire Avril 2023)"/>
    <s v="D"/>
    <n v="135310"/>
    <s v="BIF"/>
    <n v="2803.6597999999999"/>
    <n v="48.261918225599267"/>
    <s v="USD"/>
    <n v="0"/>
    <s v="9UN1085"/>
    <s v="YELI"/>
    <n v="0"/>
    <n v="0"/>
    <n v="0"/>
    <n v="0"/>
    <n v="0"/>
    <n v="0"/>
  </r>
  <r>
    <s v="OV024"/>
    <n v="17"/>
    <d v="2023-07-01T00:00:00"/>
    <d v="2023-07-27T00:00:00"/>
    <m/>
    <x v="3"/>
    <s v="S.2.5"/>
    <s v="Régularisation Capacity building  Officer( salaire Mai 2023)"/>
    <s v="D"/>
    <n v="135310"/>
    <s v="BIF"/>
    <n v="2803.6597999999999"/>
    <n v="48.261918225599267"/>
    <s v="USD"/>
    <n v="0"/>
    <s v="9UN1085"/>
    <s v="YELI"/>
    <n v="0"/>
    <n v="0"/>
    <n v="0"/>
    <n v="0"/>
    <n v="0"/>
    <n v="0"/>
  </r>
  <r>
    <s v="OV024"/>
    <n v="17"/>
    <d v="2023-07-01T00:00:00"/>
    <d v="2023-07-27T00:00:00"/>
    <m/>
    <x v="3"/>
    <s v="S.2.5"/>
    <s v="Régularisation Capacity building  Officer( salaire juin 2023)"/>
    <s v="D"/>
    <n v="135310"/>
    <s v="BIF"/>
    <n v="2803.6597999999999"/>
    <n v="48.261918225599267"/>
    <s v="USD"/>
    <n v="0"/>
    <s v="9UN1085"/>
    <s v="YELI"/>
    <n v="0"/>
    <n v="0"/>
    <n v="0"/>
    <n v="0"/>
    <n v="0"/>
    <n v="0"/>
  </r>
  <r>
    <s v="OV024"/>
    <n v="17"/>
    <d v="2023-07-01T00:00:00"/>
    <d v="2023-07-27T00:00:00"/>
    <m/>
    <x v="3"/>
    <s v="S.2.6"/>
    <s v="Régularisation Accoutant(salaire janvier 2023)"/>
    <s v="D"/>
    <n v="45836"/>
    <s v="BIF"/>
    <n v="2803.6597999999999"/>
    <n v="16.348631171299743"/>
    <s v="USD"/>
    <n v="0"/>
    <s v="9UN1085"/>
    <s v="YELI"/>
    <n v="0"/>
    <n v="0"/>
    <n v="0"/>
    <n v="0"/>
    <n v="0"/>
    <n v="0"/>
  </r>
  <r>
    <s v="OV024"/>
    <n v="17"/>
    <d v="2023-07-01T00:00:00"/>
    <d v="2023-07-27T00:00:00"/>
    <m/>
    <x v="3"/>
    <s v="S.2.6"/>
    <s v="Régularisation Accoutant(salaire Fevrier 2023)"/>
    <s v="D"/>
    <n v="45836"/>
    <s v="BIF"/>
    <n v="2803.6597999999999"/>
    <n v="16.348631171299743"/>
    <s v="USD"/>
    <n v="0"/>
    <s v="9UN1085"/>
    <s v="YELI"/>
    <n v="0"/>
    <n v="0"/>
    <n v="0"/>
    <n v="0"/>
    <n v="0"/>
    <n v="0"/>
  </r>
  <r>
    <s v="OV024"/>
    <n v="17"/>
    <d v="2023-07-01T00:00:00"/>
    <d v="2023-07-27T00:00:00"/>
    <m/>
    <x v="3"/>
    <s v="S.2.6"/>
    <s v="Régularisation Accoutant(salaire Mars 2023)"/>
    <s v="D"/>
    <n v="45836"/>
    <s v="BIF"/>
    <n v="2803.6597999999999"/>
    <n v="16.348631171299743"/>
    <s v="USD"/>
    <n v="0"/>
    <s v="9UN1085"/>
    <s v="YELI"/>
    <n v="0"/>
    <n v="0"/>
    <n v="0"/>
    <n v="0"/>
    <n v="0"/>
    <n v="0"/>
  </r>
  <r>
    <s v="OV024"/>
    <n v="17"/>
    <d v="2023-07-01T00:00:00"/>
    <d v="2023-07-27T00:00:00"/>
    <m/>
    <x v="3"/>
    <s v="S.2.6"/>
    <s v="Régularisation Accoutant(salaire Avril 2023)"/>
    <s v="D"/>
    <n v="45836"/>
    <s v="BIF"/>
    <n v="2803.6597999999999"/>
    <n v="16.348631171299743"/>
    <s v="USD"/>
    <n v="0"/>
    <s v="9UN1085"/>
    <s v="YELI"/>
    <n v="0"/>
    <n v="0"/>
    <n v="0"/>
    <n v="0"/>
    <n v="0"/>
    <n v="0"/>
  </r>
  <r>
    <s v="OV024"/>
    <n v="17"/>
    <d v="2023-07-01T00:00:00"/>
    <d v="2023-07-27T00:00:00"/>
    <m/>
    <x v="3"/>
    <s v="S.2.5"/>
    <s v="Régularisation Accoutant(salaire Mai 2023)"/>
    <s v="D"/>
    <n v="45836"/>
    <s v="BIF"/>
    <n v="2803.6597999999999"/>
    <n v="16.348631171299743"/>
    <s v="USD"/>
    <n v="0"/>
    <s v="9UN1085"/>
    <s v="YELI"/>
    <n v="0"/>
    <n v="0"/>
    <n v="0"/>
    <n v="0"/>
    <n v="0"/>
    <n v="0"/>
  </r>
  <r>
    <s v="OV024"/>
    <n v="17"/>
    <d v="2023-07-01T00:00:00"/>
    <d v="2023-07-27T00:00:00"/>
    <m/>
    <x v="3"/>
    <s v="S.2.5"/>
    <s v="Régularisation Accoutant(salaire Juin 2023)"/>
    <s v="D"/>
    <n v="45836"/>
    <s v="BIF"/>
    <n v="2803.6597999999999"/>
    <n v="16.348631171299743"/>
    <s v="USD"/>
    <n v="0"/>
    <s v="9UN1085"/>
    <s v="YELI"/>
    <n v="0"/>
    <n v="0"/>
    <n v="0"/>
    <n v="0"/>
    <n v="0"/>
    <n v="0"/>
  </r>
  <r>
    <s v="CH8904420"/>
    <n v="18"/>
    <d v="2023-07-01T00:00:00"/>
    <d v="2023-07-31T00:00:00"/>
    <m/>
    <x v="3"/>
    <s v="S.2.1"/>
    <s v="Payment IPR Executive Director (Janv 2023)"/>
    <s v="D"/>
    <n v="1028.5999999999999"/>
    <s v="BIF"/>
    <n v="2803.6597999999999"/>
    <n v="0.36687760761844213"/>
    <s v="USD"/>
    <n v="0"/>
    <s v="9UN1085"/>
    <s v="YELI"/>
    <n v="0"/>
    <n v="0"/>
    <n v="0"/>
    <n v="0"/>
    <n v="0"/>
    <n v="0"/>
  </r>
  <r>
    <s v="CH8904420"/>
    <n v="18"/>
    <d v="2023-07-01T00:00:00"/>
    <d v="2023-07-31T00:00:00"/>
    <m/>
    <x v="3"/>
    <s v="S.2.1"/>
    <s v="Payment IPR Executive Director (Febr 2023)"/>
    <s v="D"/>
    <n v="1028.5999999999999"/>
    <s v="BIF"/>
    <n v="2803.6597999999999"/>
    <n v="0.36687760761844213"/>
    <s v="USD"/>
    <n v="0"/>
    <s v="9UN1085"/>
    <s v="YELI"/>
    <n v="0"/>
    <n v="0"/>
    <n v="0"/>
    <n v="0"/>
    <n v="0"/>
    <n v="0"/>
  </r>
  <r>
    <s v="CH8904420"/>
    <n v="18"/>
    <d v="2023-07-01T00:00:00"/>
    <d v="2023-07-31T00:00:00"/>
    <m/>
    <x v="3"/>
    <s v="S.2.1"/>
    <s v="Payment IPR Executive Director (Mach 2023)"/>
    <s v="D"/>
    <n v="1028.5999999999999"/>
    <s v="BIF"/>
    <n v="2803.6597999999999"/>
    <n v="0.36687760761844213"/>
    <s v="USD"/>
    <n v="0"/>
    <s v="9UN1085"/>
    <s v="YELI"/>
    <n v="0"/>
    <n v="0"/>
    <n v="0"/>
    <n v="0"/>
    <n v="0"/>
    <n v="0"/>
  </r>
  <r>
    <s v="CH8904420"/>
    <n v="18"/>
    <d v="2023-07-01T00:00:00"/>
    <d v="2023-07-31T00:00:00"/>
    <m/>
    <x v="3"/>
    <s v="S.2.1"/>
    <s v="Payment IPR Executive Director (April 2023)"/>
    <s v="D"/>
    <n v="1028.5999999999999"/>
    <s v="BIF"/>
    <n v="2803.6597999999999"/>
    <n v="0.36687760761844213"/>
    <s v="USD"/>
    <n v="0"/>
    <s v="9UN1085"/>
    <s v="YELI"/>
    <n v="0"/>
    <n v="0"/>
    <n v="0"/>
    <n v="0"/>
    <n v="0"/>
    <n v="0"/>
  </r>
  <r>
    <s v="CH8904420"/>
    <n v="18"/>
    <d v="2023-07-01T00:00:00"/>
    <d v="2023-07-31T00:00:00"/>
    <m/>
    <x v="3"/>
    <s v="S.2.1"/>
    <s v="Payment IPR Executive Director (May 2023)"/>
    <s v="D"/>
    <n v="1028.5999999999999"/>
    <s v="BIF"/>
    <n v="2803.6597999999999"/>
    <n v="0.36687760761844213"/>
    <s v="USD"/>
    <n v="0"/>
    <s v="9UN1085"/>
    <s v="YELI"/>
    <n v="0"/>
    <n v="0"/>
    <n v="0"/>
    <n v="0"/>
    <n v="0"/>
    <n v="0"/>
  </r>
  <r>
    <s v="CH8904420"/>
    <n v="18"/>
    <d v="2023-07-01T00:00:00"/>
    <d v="2023-07-31T00:00:00"/>
    <m/>
    <x v="3"/>
    <s v="S.2.3"/>
    <s v="Payment IPR Monitorig and Evaluation (Janv 2023)"/>
    <s v="D"/>
    <n v="685.8"/>
    <s v="BIF"/>
    <n v="2803.6597999999999"/>
    <n v="0.24460885018931325"/>
    <s v="USD"/>
    <n v="0"/>
    <s v="9UN1085"/>
    <s v="YELI"/>
    <n v="0"/>
    <n v="0"/>
    <n v="0"/>
    <n v="0"/>
    <n v="0"/>
    <n v="0"/>
  </r>
  <r>
    <s v="CH8904420"/>
    <n v="18"/>
    <d v="2023-07-01T00:00:00"/>
    <d v="2023-07-31T00:00:00"/>
    <m/>
    <x v="3"/>
    <s v="S.2.3"/>
    <s v="Payment IPR Monitorig and Evaluation (Febr 2023)"/>
    <s v="D"/>
    <n v="685.8"/>
    <s v="BIF"/>
    <n v="2803.6597999999999"/>
    <n v="0.24460885018931325"/>
    <s v="USD"/>
    <n v="0"/>
    <s v="9UN1085"/>
    <s v="YELI"/>
    <n v="0"/>
    <n v="0"/>
    <n v="0"/>
    <n v="0"/>
    <n v="0"/>
    <n v="0"/>
  </r>
  <r>
    <s v="CH8904420"/>
    <n v="18"/>
    <d v="2023-07-01T00:00:00"/>
    <d v="2023-07-31T00:00:00"/>
    <m/>
    <x v="3"/>
    <s v="S.2.3"/>
    <s v="Payment IPR Monitorig and Evaluation (Mach 2023)"/>
    <s v="D"/>
    <n v="685.8"/>
    <s v="BIF"/>
    <n v="2803.6597999999999"/>
    <n v="0.24460885018931325"/>
    <s v="USD"/>
    <n v="0"/>
    <s v="9UN1085"/>
    <s v="YELI"/>
    <n v="0"/>
    <n v="0"/>
    <n v="0"/>
    <n v="0"/>
    <n v="0"/>
    <n v="0"/>
  </r>
  <r>
    <s v="CH8904420"/>
    <n v="18"/>
    <d v="2023-07-01T00:00:00"/>
    <d v="2023-07-31T00:00:00"/>
    <m/>
    <x v="3"/>
    <s v="S.2.3"/>
    <s v="Payment IPRMonitorig and Evaluation (April 2023)"/>
    <s v="D"/>
    <n v="685.8"/>
    <s v="BIF"/>
    <n v="2803.6597999999999"/>
    <n v="0.24460885018931325"/>
    <s v="USD"/>
    <n v="0"/>
    <s v="9UN1085"/>
    <s v="YELI"/>
    <n v="0"/>
    <n v="0"/>
    <n v="0"/>
    <n v="0"/>
    <n v="0"/>
    <n v="0"/>
  </r>
  <r>
    <s v="CH8904420"/>
    <n v="18"/>
    <d v="2023-07-01T00:00:00"/>
    <d v="2023-07-31T00:00:00"/>
    <m/>
    <x v="3"/>
    <s v="S.2.3"/>
    <s v="Payment IPR Monitorig and Evaluation (May 2023)"/>
    <s v="D"/>
    <n v="685.8"/>
    <s v="BIF"/>
    <n v="2803.6597999999999"/>
    <n v="0.24460885018931325"/>
    <s v="USD"/>
    <n v="0"/>
    <s v="9UN1085"/>
    <s v="YELI"/>
    <n v="0"/>
    <n v="0"/>
    <n v="0"/>
    <n v="0"/>
    <n v="0"/>
    <n v="0"/>
  </r>
  <r>
    <s v="CH8904420"/>
    <n v="18"/>
    <d v="2023-07-01T00:00:00"/>
    <d v="2023-07-31T00:00:00"/>
    <m/>
    <x v="3"/>
    <s v="S.2.4"/>
    <s v="Payment IPR Project Manager (Janv 2023)"/>
    <s v="D"/>
    <n v="99985.8"/>
    <s v="BIF"/>
    <n v="2803.6597999999999"/>
    <n v="35.66260071924561"/>
    <s v="USD"/>
    <n v="0"/>
    <s v="9UN1085"/>
    <s v="YELI"/>
    <n v="0"/>
    <n v="0"/>
    <n v="0"/>
    <n v="0"/>
    <n v="0"/>
    <n v="0"/>
  </r>
  <r>
    <s v="CH8904420"/>
    <n v="18"/>
    <d v="2023-07-01T00:00:00"/>
    <d v="2023-07-31T00:00:00"/>
    <m/>
    <x v="3"/>
    <s v="S.2.4"/>
    <s v="Payment IPR Project Manager (Febr 2023)"/>
    <s v="D"/>
    <n v="99985.8"/>
    <s v="BIF"/>
    <n v="2803.6597999999999"/>
    <n v="35.66260071924561"/>
    <s v="USD"/>
    <n v="0"/>
    <s v="9UN1085"/>
    <s v="YELI"/>
    <n v="0"/>
    <n v="0"/>
    <n v="0"/>
    <n v="0"/>
    <n v="0"/>
    <n v="0"/>
  </r>
  <r>
    <s v="CH8904420"/>
    <n v="18"/>
    <d v="2023-07-01T00:00:00"/>
    <d v="2023-07-31T00:00:00"/>
    <m/>
    <x v="3"/>
    <s v="S.2.4"/>
    <s v="Payment IPR Project Manager (Mach 2023)"/>
    <s v="D"/>
    <n v="99985.8"/>
    <s v="BIF"/>
    <n v="2803.6597999999999"/>
    <n v="35.66260071924561"/>
    <s v="USD"/>
    <n v="0"/>
    <s v="9UN1085"/>
    <s v="YELI"/>
    <n v="0"/>
    <n v="0"/>
    <n v="0"/>
    <n v="0"/>
    <n v="0"/>
    <n v="0"/>
  </r>
  <r>
    <s v="CH8904420"/>
    <n v="18"/>
    <d v="2023-07-01T00:00:00"/>
    <d v="2023-07-31T00:00:00"/>
    <m/>
    <x v="3"/>
    <s v="S.2.4"/>
    <s v="Payment IPRProject Manager (April 2023)"/>
    <s v="D"/>
    <n v="99985.8"/>
    <s v="BIF"/>
    <n v="2803.6597999999999"/>
    <n v="35.66260071924561"/>
    <s v="USD"/>
    <n v="0"/>
    <s v="9UN1085"/>
    <s v="YELI"/>
    <n v="0"/>
    <n v="0"/>
    <n v="0"/>
    <n v="0"/>
    <n v="0"/>
    <n v="0"/>
  </r>
  <r>
    <s v="CH8904420"/>
    <n v="18"/>
    <d v="2023-07-01T00:00:00"/>
    <d v="2023-07-31T00:00:00"/>
    <m/>
    <x v="3"/>
    <s v="S.2.4"/>
    <s v="Payment IPR Project Manager (May 2023)"/>
    <s v="D"/>
    <n v="99985.8"/>
    <s v="BIF"/>
    <n v="2803.6597999999999"/>
    <n v="35.66260071924561"/>
    <s v="USD"/>
    <n v="0"/>
    <s v="9UN1085"/>
    <s v="YELI"/>
    <n v="0"/>
    <n v="0"/>
    <n v="0"/>
    <n v="0"/>
    <n v="0"/>
    <n v="0"/>
  </r>
  <r>
    <s v="CH8904420"/>
    <n v="18"/>
    <d v="2023-07-01T00:00:00"/>
    <d v="2023-07-31T00:00:00"/>
    <m/>
    <x v="3"/>
    <s v="S.2.5"/>
    <s v="Payment IPR Capacity builiding Officer (Janv 2023)"/>
    <s v="D"/>
    <n v="12114"/>
    <s v="BIF"/>
    <n v="2803.6597999999999"/>
    <n v="4.3207810020317021"/>
    <s v="USD"/>
    <n v="0"/>
    <s v="9UN1085"/>
    <s v="YELI"/>
    <n v="0"/>
    <n v="0"/>
    <n v="0"/>
    <n v="0"/>
    <n v="0"/>
    <n v="0"/>
  </r>
  <r>
    <s v="CH8904420"/>
    <n v="18"/>
    <d v="2023-07-01T00:00:00"/>
    <d v="2023-07-31T00:00:00"/>
    <m/>
    <x v="3"/>
    <s v="S.2.5"/>
    <s v="Payment IPR Capacity builiding Officer (Febr 2023)"/>
    <s v="D"/>
    <n v="12114"/>
    <s v="BIF"/>
    <n v="2803.6597999999999"/>
    <n v="4.3207810020317021"/>
    <s v="USD"/>
    <n v="0"/>
    <s v="9UN1085"/>
    <s v="YELI"/>
    <n v="0"/>
    <n v="0"/>
    <n v="0"/>
    <n v="0"/>
    <n v="0"/>
    <n v="0"/>
  </r>
  <r>
    <s v="CH8904420"/>
    <n v="18"/>
    <d v="2023-07-01T00:00:00"/>
    <d v="2023-07-31T00:00:00"/>
    <m/>
    <x v="3"/>
    <s v="S.2.5"/>
    <s v="Payment IPR Capacity builiding Officer (Mach 2023)"/>
    <s v="D"/>
    <n v="12114"/>
    <s v="BIF"/>
    <n v="2803.6597999999999"/>
    <n v="4.3207810020317021"/>
    <s v="USD"/>
    <n v="0"/>
    <s v="9UN1085"/>
    <s v="YELI"/>
    <n v="0"/>
    <n v="0"/>
    <n v="0"/>
    <n v="0"/>
    <n v="0"/>
    <n v="0"/>
  </r>
  <r>
    <s v="CH8904420"/>
    <n v="18"/>
    <d v="2023-07-01T00:00:00"/>
    <d v="2023-07-31T00:00:00"/>
    <m/>
    <x v="3"/>
    <s v="S.2.5"/>
    <s v="Payment IPRCapacity builiding Officer (April 2023)"/>
    <s v="D"/>
    <n v="12114"/>
    <s v="BIF"/>
    <n v="2803.6597999999999"/>
    <n v="4.3207810020317021"/>
    <s v="USD"/>
    <n v="0"/>
    <s v="9UN1085"/>
    <s v="YELI"/>
    <n v="0"/>
    <n v="0"/>
    <n v="0"/>
    <n v="0"/>
    <n v="0"/>
    <n v="0"/>
  </r>
  <r>
    <s v="CH8904420"/>
    <n v="18"/>
    <d v="2023-07-01T00:00:00"/>
    <d v="2023-07-31T00:00:00"/>
    <m/>
    <x v="3"/>
    <s v="S.2.5"/>
    <s v="Payment IPR Capacity builiding Officer (May 2023)"/>
    <s v="D"/>
    <n v="12114"/>
    <s v="BIF"/>
    <n v="2803.6597999999999"/>
    <n v="4.3207810020317021"/>
    <s v="USD"/>
    <n v="0"/>
    <s v="9UN1085"/>
    <s v="YELI"/>
    <n v="0"/>
    <n v="0"/>
    <n v="0"/>
    <n v="0"/>
    <n v="0"/>
    <n v="0"/>
  </r>
  <r>
    <s v="CH8904419"/>
    <n v="19"/>
    <d v="2023-07-01T00:00:00"/>
    <d v="2023-07-31T00:00:00"/>
    <m/>
    <x v="3"/>
    <s v="S.2.1"/>
    <s v="Rectification IPR Executive Director (Janv 2023)"/>
    <s v="D"/>
    <n v="13094"/>
    <s v="BIF"/>
    <n v="2803.6597999999999"/>
    <n v="4.6703241242036571"/>
    <s v="USD"/>
    <n v="0"/>
    <s v="9UN1085"/>
    <s v="YELI"/>
    <n v="0"/>
    <n v="0"/>
    <n v="0"/>
    <n v="0"/>
    <n v="0"/>
    <n v="0"/>
  </r>
  <r>
    <s v="CH8904419"/>
    <n v="19"/>
    <d v="2023-07-01T00:00:00"/>
    <d v="2023-07-31T00:00:00"/>
    <m/>
    <x v="3"/>
    <s v="S.2.1"/>
    <s v="Rectification IPR Executive Director (Febr 2023)"/>
    <s v="D"/>
    <n v="13094"/>
    <s v="BIF"/>
    <n v="2803.6597999999999"/>
    <n v="4.6703241242036571"/>
    <s v="USD"/>
    <n v="0"/>
    <s v="9UN1085"/>
    <s v="YELI"/>
    <n v="0"/>
    <n v="0"/>
    <n v="0"/>
    <n v="0"/>
    <n v="0"/>
    <n v="0"/>
  </r>
  <r>
    <s v="CH8904419"/>
    <n v="19"/>
    <d v="2023-07-01T00:00:00"/>
    <d v="2023-07-31T00:00:00"/>
    <m/>
    <x v="3"/>
    <s v="S.2.1"/>
    <s v="Rectification IPR Executive Director (Mach 2023)"/>
    <s v="D"/>
    <n v="13094"/>
    <s v="BIF"/>
    <n v="2803.6597999999999"/>
    <n v="4.6703241242036571"/>
    <s v="USD"/>
    <n v="0"/>
    <s v="9UN1085"/>
    <s v="YELI"/>
    <n v="0"/>
    <n v="0"/>
    <n v="0"/>
    <n v="0"/>
    <n v="0"/>
    <n v="0"/>
  </r>
  <r>
    <s v="CH8904419"/>
    <n v="19"/>
    <d v="2023-07-01T00:00:00"/>
    <d v="2023-07-31T00:00:00"/>
    <m/>
    <x v="3"/>
    <s v="S.2.1"/>
    <s v="Rectification IPR Executive Director (April 2023)"/>
    <s v="D"/>
    <n v="13094"/>
    <s v="BIF"/>
    <n v="2803.6597999999999"/>
    <n v="4.6703241242036571"/>
    <s v="USD"/>
    <n v="0"/>
    <s v="9UN1085"/>
    <s v="YELI"/>
    <n v="0"/>
    <n v="0"/>
    <n v="0"/>
    <n v="0"/>
    <n v="0"/>
    <n v="0"/>
  </r>
  <r>
    <s v="CH8904419"/>
    <n v="19"/>
    <d v="2023-07-01T00:00:00"/>
    <d v="2023-07-31T00:00:00"/>
    <m/>
    <x v="3"/>
    <s v="S.2.1"/>
    <s v="Rectification IPR Executive Director (May 2023)"/>
    <s v="D"/>
    <n v="13094"/>
    <s v="BIF"/>
    <n v="2803.6597999999999"/>
    <n v="4.6703241242036571"/>
    <s v="USD"/>
    <n v="0"/>
    <s v="9UN1085"/>
    <s v="YELI"/>
    <n v="0"/>
    <n v="0"/>
    <n v="0"/>
    <n v="0"/>
    <n v="0"/>
    <n v="0"/>
  </r>
  <r>
    <s v="CH8904419"/>
    <n v="19"/>
    <d v="2023-07-01T00:00:00"/>
    <d v="2023-07-31T00:00:00"/>
    <m/>
    <x v="3"/>
    <s v="S.2.3"/>
    <s v="Rectification IPR Monitorig and Evaluation (Janv 2023)"/>
    <s v="D"/>
    <n v="13094.2"/>
    <s v="BIF"/>
    <n v="2803.6597999999999"/>
    <n v="4.6703954595347126"/>
    <s v="USD"/>
    <n v="0"/>
    <s v="9UN1085"/>
    <s v="YELI"/>
    <n v="0"/>
    <n v="0"/>
    <n v="0"/>
    <n v="0"/>
    <n v="0"/>
    <n v="0"/>
  </r>
  <r>
    <s v="CH8904419"/>
    <n v="19"/>
    <d v="2023-07-01T00:00:00"/>
    <d v="2023-07-31T00:00:00"/>
    <m/>
    <x v="3"/>
    <s v="S.2.3"/>
    <s v="Rectification IPR Monitorig and Evaluation (Febr 2023)"/>
    <s v="D"/>
    <n v="13094.2"/>
    <s v="BIF"/>
    <n v="2803.6597999999999"/>
    <n v="4.6703954595347126"/>
    <s v="USD"/>
    <n v="0"/>
    <s v="9UN1085"/>
    <s v="YELI"/>
    <n v="0"/>
    <n v="0"/>
    <n v="0"/>
    <n v="0"/>
    <n v="0"/>
    <n v="0"/>
  </r>
  <r>
    <s v="CH8904419"/>
    <n v="19"/>
    <d v="2023-07-01T00:00:00"/>
    <d v="2023-07-31T00:00:00"/>
    <m/>
    <x v="3"/>
    <s v="S.2.3"/>
    <s v="Rectification IPR Monitorig and Evaluation (Mach 2023)"/>
    <s v="D"/>
    <n v="13094.2"/>
    <s v="BIF"/>
    <n v="2803.6597999999999"/>
    <n v="4.6703954595347126"/>
    <s v="USD"/>
    <n v="0"/>
    <s v="9UN1085"/>
    <s v="YELI"/>
    <n v="0"/>
    <n v="0"/>
    <n v="0"/>
    <n v="0"/>
    <n v="0"/>
    <n v="0"/>
  </r>
  <r>
    <s v="CH8904419"/>
    <n v="19"/>
    <d v="2023-07-01T00:00:00"/>
    <d v="2023-07-31T00:00:00"/>
    <m/>
    <x v="3"/>
    <s v="S.2.3"/>
    <s v="Rectification IPRMonitorig and Evaluation (April 2023)"/>
    <s v="D"/>
    <n v="13094.2"/>
    <s v="BIF"/>
    <n v="2803.6597999999999"/>
    <n v="4.6703954595347126"/>
    <s v="USD"/>
    <n v="0"/>
    <s v="9UN1085"/>
    <s v="YELI"/>
    <n v="0"/>
    <n v="0"/>
    <n v="0"/>
    <n v="0"/>
    <n v="0"/>
    <n v="0"/>
  </r>
  <r>
    <s v="CH8904419"/>
    <n v="19"/>
    <d v="2023-07-01T00:00:00"/>
    <d v="2023-07-31T00:00:00"/>
    <m/>
    <x v="3"/>
    <s v="S.2.3"/>
    <s v="Rectification IPR Monitorig and Evaluation (May 2023)"/>
    <s v="D"/>
    <n v="13094.2"/>
    <s v="BIF"/>
    <n v="2803.6597999999999"/>
    <n v="4.6703954595347126"/>
    <s v="USD"/>
    <n v="0"/>
    <s v="9UN1085"/>
    <s v="YELI"/>
    <n v="0"/>
    <n v="0"/>
    <n v="0"/>
    <n v="0"/>
    <n v="0"/>
    <n v="0"/>
  </r>
  <r>
    <s v="CH8904419"/>
    <n v="19"/>
    <d v="2023-07-01T00:00:00"/>
    <d v="2023-07-31T00:00:00"/>
    <m/>
    <x v="3"/>
    <s v="S.2.4"/>
    <s v="Rectification IPR Project Manager (Janv 2023)"/>
    <s v="D"/>
    <n v="62857"/>
    <s v="BIF"/>
    <n v="2803.6597999999999"/>
    <n v="22.419624520778164"/>
    <s v="USD"/>
    <n v="0"/>
    <s v="9UN1085"/>
    <s v="YELI"/>
    <n v="0"/>
    <n v="0"/>
    <n v="0"/>
    <n v="0"/>
    <n v="0"/>
    <n v="0"/>
  </r>
  <r>
    <s v="CH8904419"/>
    <n v="19"/>
    <d v="2023-07-01T00:00:00"/>
    <d v="2023-07-31T00:00:00"/>
    <m/>
    <x v="3"/>
    <s v="S.2.4"/>
    <s v="Rectification IPR Project Manager (Febr 2023)"/>
    <s v="D"/>
    <n v="62857"/>
    <s v="BIF"/>
    <n v="2803.6597999999999"/>
    <n v="22.419624520778164"/>
    <s v="USD"/>
    <n v="0"/>
    <s v="9UN1085"/>
    <s v="YELI"/>
    <n v="0"/>
    <n v="0"/>
    <n v="0"/>
    <n v="0"/>
    <n v="0"/>
    <n v="0"/>
  </r>
  <r>
    <s v="CH8904419"/>
    <n v="19"/>
    <d v="2023-07-01T00:00:00"/>
    <d v="2023-07-31T00:00:00"/>
    <m/>
    <x v="3"/>
    <s v="S.2.4"/>
    <s v="Rectification IPR Project Manager (Mach 2023)"/>
    <s v="D"/>
    <n v="62857"/>
    <s v="BIF"/>
    <n v="2803.6597999999999"/>
    <n v="22.419624520778164"/>
    <s v="USD"/>
    <n v="0"/>
    <s v="9UN1085"/>
    <s v="YELI"/>
    <n v="0"/>
    <n v="0"/>
    <n v="0"/>
    <n v="0"/>
    <n v="0"/>
    <n v="0"/>
  </r>
  <r>
    <s v="CH8904419"/>
    <n v="19"/>
    <d v="2023-07-01T00:00:00"/>
    <d v="2023-07-31T00:00:00"/>
    <m/>
    <x v="3"/>
    <s v="S.2.4"/>
    <s v="Rectification IPRProject Manager (April 2023)"/>
    <s v="D"/>
    <n v="62857"/>
    <s v="BIF"/>
    <n v="2803.6597999999999"/>
    <n v="22.419624520778164"/>
    <s v="USD"/>
    <n v="0"/>
    <s v="9UN1085"/>
    <s v="YELI"/>
    <n v="0"/>
    <n v="0"/>
    <n v="0"/>
    <n v="0"/>
    <n v="0"/>
    <n v="0"/>
  </r>
  <r>
    <s v="CH8904419"/>
    <n v="19"/>
    <d v="2023-07-01T00:00:00"/>
    <d v="2023-07-31T00:00:00"/>
    <m/>
    <x v="3"/>
    <s v="S.2.4"/>
    <s v="Rectification IPR Project Manager (May 2023)"/>
    <s v="D"/>
    <n v="62857"/>
    <s v="BIF"/>
    <n v="2803.6597999999999"/>
    <n v="22.419624520778164"/>
    <s v="USD"/>
    <n v="0"/>
    <s v="9UN1085"/>
    <s v="YELI"/>
    <n v="0"/>
    <n v="0"/>
    <n v="0"/>
    <n v="0"/>
    <n v="0"/>
    <n v="0"/>
  </r>
  <r>
    <s v="CH8904419"/>
    <n v="19"/>
    <d v="2023-07-01T00:00:00"/>
    <d v="2023-07-31T00:00:00"/>
    <m/>
    <x v="3"/>
    <s v="S.2.5"/>
    <s v="Rectification IPR Capacity builiding Officer (Janv 2023)"/>
    <s v="D"/>
    <n v="17460"/>
    <s v="BIF"/>
    <n v="2803.6597999999999"/>
    <n v="6.2275744011452465"/>
    <s v="USD"/>
    <n v="0"/>
    <s v="9UN1085"/>
    <s v="YELI"/>
    <n v="0"/>
    <n v="0"/>
    <n v="0"/>
    <n v="0"/>
    <n v="0"/>
    <n v="0"/>
  </r>
  <r>
    <s v="CH8904419"/>
    <n v="19"/>
    <d v="2023-07-01T00:00:00"/>
    <d v="2023-07-31T00:00:00"/>
    <m/>
    <x v="3"/>
    <s v="S.2.5"/>
    <s v="Rectification IPR Capacity builiding Officer (Febr 2023)"/>
    <s v="D"/>
    <n v="17460"/>
    <s v="BIF"/>
    <n v="2803.6597999999999"/>
    <n v="6.2275744011452465"/>
    <s v="USD"/>
    <n v="0"/>
    <s v="9UN1085"/>
    <s v="YELI"/>
    <n v="0"/>
    <n v="0"/>
    <n v="0"/>
    <n v="0"/>
    <n v="0"/>
    <n v="0"/>
  </r>
  <r>
    <s v="CH8904419"/>
    <n v="19"/>
    <d v="2023-07-01T00:00:00"/>
    <d v="2023-07-31T00:00:00"/>
    <m/>
    <x v="3"/>
    <s v="S.2.5"/>
    <s v="Rectification IPR Capacity builiding Officer (Mach 2023)"/>
    <s v="D"/>
    <n v="17460"/>
    <s v="BIF"/>
    <n v="2803.6597999999999"/>
    <n v="6.2275744011452465"/>
    <s v="USD"/>
    <n v="0"/>
    <s v="9UN1085"/>
    <s v="YELI"/>
    <n v="0"/>
    <n v="0"/>
    <n v="0"/>
    <n v="0"/>
    <n v="0"/>
    <n v="0"/>
  </r>
  <r>
    <s v="CH8904419"/>
    <n v="19"/>
    <d v="2023-07-01T00:00:00"/>
    <d v="2023-07-31T00:00:00"/>
    <m/>
    <x v="3"/>
    <s v="S.2.5"/>
    <s v="Rectification IPRCapacity builiding Officer (April 2023)"/>
    <s v="D"/>
    <n v="17460"/>
    <s v="BIF"/>
    <n v="2803.6597999999999"/>
    <n v="6.2275744011452465"/>
    <s v="USD"/>
    <n v="0"/>
    <s v="9UN1085"/>
    <s v="YELI"/>
    <n v="0"/>
    <n v="0"/>
    <n v="0"/>
    <n v="0"/>
    <n v="0"/>
    <n v="0"/>
  </r>
  <r>
    <s v="CH8904419"/>
    <n v="19"/>
    <d v="2023-07-01T00:00:00"/>
    <d v="2023-07-31T00:00:00"/>
    <m/>
    <x v="3"/>
    <s v="S.2.5"/>
    <s v="Rectification IPR Capacity builiding Officer (May 2023)"/>
    <s v="D"/>
    <n v="17460"/>
    <s v="BIF"/>
    <n v="2803.6597999999999"/>
    <n v="6.2275744011452465"/>
    <s v="USD"/>
    <n v="0"/>
    <s v="9UN1085"/>
    <s v="YELI"/>
    <n v="0"/>
    <n v="0"/>
    <n v="0"/>
    <n v="0"/>
    <n v="0"/>
    <n v="0"/>
  </r>
  <r>
    <s v="CH8904421"/>
    <n v="20"/>
    <d v="2023-07-01T00:00:00"/>
    <d v="2023-07-31T00:00:00"/>
    <m/>
    <x v="3"/>
    <s v="S.2.1"/>
    <s v="Rectification IPR Executive Director (Jun 2023)"/>
    <s v="D"/>
    <n v="13094"/>
    <s v="BIF"/>
    <n v="2803.6597999999999"/>
    <n v="4.6703241242036571"/>
    <s v="USD"/>
    <n v="0"/>
    <s v="9UN1085"/>
    <s v="YELI"/>
    <n v="0"/>
    <n v="0"/>
    <n v="0"/>
    <n v="0"/>
    <n v="0"/>
    <n v="0"/>
  </r>
  <r>
    <s v="CH8904421"/>
    <n v="20"/>
    <d v="2023-07-01T00:00:00"/>
    <d v="2023-07-31T00:00:00"/>
    <m/>
    <x v="3"/>
    <s v="S.2.3"/>
    <s v="Rectification IPR Monitorig and Evaluation (Jun 2023)"/>
    <s v="D"/>
    <n v="13094"/>
    <s v="BIF"/>
    <n v="2803.6597999999999"/>
    <n v="4.6703241242036571"/>
    <s v="USD"/>
    <n v="0"/>
    <s v="9UN1085"/>
    <s v="YELI"/>
    <n v="0"/>
    <n v="0"/>
    <n v="0"/>
    <n v="0"/>
    <n v="0"/>
    <n v="0"/>
  </r>
  <r>
    <s v="CH8904421"/>
    <n v="20"/>
    <d v="2023-07-01T00:00:00"/>
    <d v="2023-07-31T00:00:00"/>
    <m/>
    <x v="3"/>
    <s v="S.2.4"/>
    <s v="Rectification IPR Project Manager (Jun2023)"/>
    <s v="D"/>
    <n v="62857"/>
    <s v="BIF"/>
    <n v="2803.6597999999999"/>
    <n v="22.419624520778164"/>
    <s v="USD"/>
    <n v="0"/>
    <s v="9UN1085"/>
    <s v="YELI"/>
    <n v="0"/>
    <n v="0"/>
    <n v="0"/>
    <n v="0"/>
    <n v="0"/>
    <n v="0"/>
  </r>
  <r>
    <s v="CH8904421"/>
    <n v="20"/>
    <d v="2023-07-01T00:00:00"/>
    <d v="2023-07-31T00:00:00"/>
    <m/>
    <x v="3"/>
    <s v="S.2.5"/>
    <s v="Rectification IPR Capacity builiding Officer (Jun 2023)"/>
    <s v="D"/>
    <n v="17460"/>
    <s v="BIF"/>
    <n v="2803.6597999999999"/>
    <n v="6.2275744011452465"/>
    <s v="USD"/>
    <n v="0"/>
    <s v="9UN1085"/>
    <s v="YELI"/>
    <n v="0"/>
    <n v="0"/>
    <n v="0"/>
    <n v="0"/>
    <n v="0"/>
    <n v="0"/>
  </r>
  <r>
    <s v="OV 028"/>
    <n v="21"/>
    <d v="2023-08-01T00:00:00"/>
    <d v="2023-08-26T00:00:00"/>
    <m/>
    <x v="3"/>
    <s v="S.2.1"/>
    <s v="Executive Director( Salaire Aout 2023)"/>
    <s v="D"/>
    <n v="382454"/>
    <s v="BIF"/>
    <n v="2803.6597999999999"/>
    <n v="136.4124135175031"/>
    <s v="USD"/>
    <n v="0"/>
    <s v="9UN1085"/>
    <s v="YELI"/>
    <n v="0"/>
    <n v="0"/>
    <n v="0"/>
    <n v="0"/>
    <n v="0"/>
    <n v="0"/>
  </r>
  <r>
    <s v="OV 028"/>
    <n v="21"/>
    <d v="2023-08-01T00:00:00"/>
    <d v="2023-08-26T00:00:00"/>
    <m/>
    <x v="3"/>
    <s v="S.2.2"/>
    <s v="Financial and Administrative Manager( Salaire Aout 2023)"/>
    <s v="D"/>
    <n v="216919"/>
    <s v="BIF"/>
    <n v="2803.6597999999999"/>
    <n v="77.369943386141216"/>
    <s v="USD"/>
    <n v="0"/>
    <s v="9UN1085"/>
    <s v="YELI"/>
    <n v="0"/>
    <n v="0"/>
    <n v="0"/>
    <n v="0"/>
    <n v="0"/>
    <n v="0"/>
  </r>
  <r>
    <s v="OV 028"/>
    <n v="21"/>
    <d v="2023-08-01T00:00:00"/>
    <d v="2023-08-26T00:00:00"/>
    <m/>
    <x v="3"/>
    <s v="S.2.3"/>
    <s v="Monitoring and Evaluation( salaire Aout 2023)"/>
    <s v="D"/>
    <n v="382797"/>
    <s v="BIF"/>
    <n v="2803.6597999999999"/>
    <n v="136.53475361026327"/>
    <s v="USD"/>
    <n v="0"/>
    <s v="9UN1085"/>
    <s v="YELI"/>
    <n v="0"/>
    <n v="0"/>
    <n v="0"/>
    <n v="0"/>
    <n v="0"/>
    <n v="0"/>
  </r>
  <r>
    <s v="OV 028"/>
    <n v="21"/>
    <d v="2023-08-01T00:00:00"/>
    <d v="2023-08-26T00:00:00"/>
    <m/>
    <x v="3"/>
    <s v="S.2.4"/>
    <s v="Project Manager(salaire Aout 2023)"/>
    <s v="D"/>
    <n v="1288541"/>
    <s v="BIF"/>
    <n v="2803.6597999999999"/>
    <n v="459.59249406793225"/>
    <s v="USD"/>
    <n v="0"/>
    <s v="9UN1085"/>
    <s v="YELI"/>
    <n v="0"/>
    <n v="0"/>
    <n v="0"/>
    <n v="0"/>
    <n v="0"/>
    <n v="0"/>
  </r>
  <r>
    <s v="OV 028"/>
    <n v="21"/>
    <d v="2023-08-01T00:00:00"/>
    <d v="2023-08-26T00:00:00"/>
    <m/>
    <x v="3"/>
    <s v="S.2.5"/>
    <s v="Capacity building  Officer( salaire Aout 2023)"/>
    <s v="D"/>
    <n v="505196"/>
    <s v="BIF"/>
    <n v="2803.6597999999999"/>
    <n v="180.19161953957467"/>
    <s v="USD"/>
    <n v="0"/>
    <s v="9UN1085"/>
    <s v="YELI"/>
    <n v="0"/>
    <n v="0"/>
    <n v="0"/>
    <n v="0"/>
    <n v="0"/>
    <n v="0"/>
  </r>
  <r>
    <s v="OV 028"/>
    <n v="21"/>
    <d v="2023-08-01T00:00:00"/>
    <d v="2023-08-26T00:00:00"/>
    <m/>
    <x v="3"/>
    <s v="S.2.6"/>
    <s v="Accoutant( salaire Aout 2023)"/>
    <s v="D"/>
    <n v="147836"/>
    <s v="BIF"/>
    <n v="2803.6597999999999"/>
    <n v="52.729650009605301"/>
    <s v="USD"/>
    <n v="0"/>
    <s v="9UN1085"/>
    <s v="YELI"/>
    <n v="0"/>
    <n v="0"/>
    <n v="0"/>
    <n v="0"/>
    <n v="0"/>
    <n v="0"/>
  </r>
  <r>
    <s v="CH 8998688"/>
    <n v="21"/>
    <d v="2023-08-01T00:00:00"/>
    <d v="2023-08-16T00:00:00"/>
    <m/>
    <x v="3"/>
    <s v="S.2.1"/>
    <s v="Payment IPR de juillet Director executive"/>
    <s v="D"/>
    <n v="14123"/>
    <s v="BIF"/>
    <n v="2803.6597999999999"/>
    <n v="5.0373444024842104"/>
    <s v="USD"/>
    <n v="0"/>
    <s v="9UN1085"/>
    <s v="YELI"/>
    <n v="0"/>
    <n v="0"/>
    <n v="0"/>
    <n v="0"/>
    <n v="0"/>
    <n v="0"/>
  </r>
  <r>
    <s v="CH 8998688"/>
    <n v="21"/>
    <d v="2023-08-01T00:00:00"/>
    <d v="2023-08-16T00:00:00"/>
    <m/>
    <x v="3"/>
    <s v="S.2.3"/>
    <s v="Payment IPR de juillet Monitoring and evaluation"/>
    <s v="D"/>
    <n v="13780"/>
    <s v="BIF"/>
    <n v="2803.6597999999999"/>
    <n v="4.9150043097240257"/>
    <s v="USD"/>
    <n v="0"/>
    <s v="9UN1085"/>
    <s v="YELI"/>
    <n v="0"/>
    <n v="0"/>
    <n v="0"/>
    <n v="0"/>
    <n v="0"/>
    <n v="0"/>
  </r>
  <r>
    <s v="CH 8998688"/>
    <n v="21"/>
    <d v="2023-08-01T00:00:00"/>
    <d v="2023-08-16T00:00:00"/>
    <m/>
    <x v="3"/>
    <s v="S.2.4"/>
    <s v="Payment IPR de juillet Project Manager"/>
    <s v="D"/>
    <n v="162843"/>
    <s v="BIF"/>
    <n v="2803.6597999999999"/>
    <n v="58.082296575354832"/>
    <s v="USD"/>
    <n v="0"/>
    <s v="9UN1085"/>
    <s v="YELI"/>
    <n v="0"/>
    <n v="0"/>
    <n v="0"/>
    <n v="0"/>
    <n v="0"/>
    <n v="0"/>
  </r>
  <r>
    <s v="CH 8998688"/>
    <n v="21"/>
    <d v="2023-08-01T00:00:00"/>
    <d v="2023-08-16T00:00:00"/>
    <m/>
    <x v="3"/>
    <s v="S.2.5"/>
    <s v="Payment IPR de juillet Capacity building officer"/>
    <s v="D"/>
    <n v="29574"/>
    <s v="BIF"/>
    <n v="2803.6597999999999"/>
    <n v="10.548355403176949"/>
    <s v="USD"/>
    <n v="0"/>
    <s v="9UN1085"/>
    <s v="YELI"/>
    <n v="0"/>
    <n v="0"/>
    <n v="0"/>
    <n v="0"/>
    <n v="0"/>
    <n v="0"/>
  </r>
  <r>
    <s v="CH8998692"/>
    <n v="25"/>
    <d v="2023-08-01T00:00:00"/>
    <d v="2023-08-21T00:00:00"/>
    <m/>
    <x v="3"/>
    <s v="O.2.3"/>
    <s v="Payement fees of telepone fixe"/>
    <s v="D"/>
    <n v="21311"/>
    <s v="BIF"/>
    <n v="2803.6597999999999"/>
    <n v="7.60113620061892"/>
    <s v="USD"/>
    <n v="0"/>
    <s v="9UN1085"/>
    <s v="YELI"/>
    <n v="0"/>
    <n v="0"/>
    <n v="0"/>
    <n v="0"/>
    <n v="0"/>
    <n v="0"/>
  </r>
  <r>
    <s v="CH8998703"/>
    <n v="26"/>
    <d v="2023-09-01T00:00:00"/>
    <d v="2023-09-12T00:00:00"/>
    <m/>
    <x v="3"/>
    <s v="O.2.2"/>
    <s v="Payment internet fees Jan_Aout 2023"/>
    <s v="D"/>
    <n v="330000"/>
    <s v="BIF"/>
    <n v="2803.6597999999999"/>
    <n v="117.70329624157682"/>
    <s v="USD"/>
    <n v="0"/>
    <s v="9UN1085"/>
    <s v="YELI"/>
    <n v="0"/>
    <n v="0"/>
    <n v="0"/>
    <n v="0"/>
    <n v="0"/>
    <n v="0"/>
  </r>
  <r>
    <s v="CH8998705"/>
    <n v="27"/>
    <d v="2023-09-01T00:00:00"/>
    <d v="2023-09-29T00:00:00"/>
    <m/>
    <x v="3"/>
    <s v="O.2.3"/>
    <s v="Payment communication fees"/>
    <s v="D"/>
    <n v="18337"/>
    <s v="BIF"/>
    <n v="2803.6597999999999"/>
    <n v="6.5403798278236183"/>
    <s v="USD"/>
    <n v="0"/>
    <s v="9UN1085"/>
    <s v="YELI"/>
    <n v="0"/>
    <n v="0"/>
    <n v="0"/>
    <n v="0"/>
    <n v="0"/>
    <n v="0"/>
  </r>
  <r>
    <s v="OV 033"/>
    <n v="28"/>
    <d v="2023-09-01T00:00:00"/>
    <d v="2023-09-29T00:00:00"/>
    <m/>
    <x v="3"/>
    <s v="S.2.1"/>
    <s v="Payment executive Director( Salary September 2023)"/>
    <s v="D"/>
    <n v="382454"/>
    <s v="BIF"/>
    <n v="2803.6597999999999"/>
    <n v="136.4124135175031"/>
    <s v="USD"/>
    <n v="0"/>
    <s v="9UN1085"/>
    <s v="YELI"/>
    <n v="0"/>
    <n v="0"/>
    <n v="0"/>
    <n v="0"/>
    <n v="0"/>
    <n v="0"/>
  </r>
  <r>
    <s v="OV 033"/>
    <n v="28"/>
    <d v="2023-09-01T00:00:00"/>
    <d v="2023-09-29T00:00:00"/>
    <m/>
    <x v="3"/>
    <s v="S.2.2"/>
    <s v="Payment Financial and Adlinistrative Manager(salary september 2023)"/>
    <s v="D"/>
    <n v="216919"/>
    <s v="BIF"/>
    <n v="2803.6597999999999"/>
    <n v="77.369943386141216"/>
    <s v="USD"/>
    <n v="0"/>
    <s v="9UN1085"/>
    <s v="YELI"/>
    <n v="0"/>
    <n v="0"/>
    <n v="0"/>
    <n v="0"/>
    <n v="0"/>
    <n v="0"/>
  </r>
  <r>
    <s v="OV 033"/>
    <n v="28"/>
    <d v="2023-09-01T00:00:00"/>
    <d v="2023-09-29T00:00:00"/>
    <m/>
    <x v="3"/>
    <s v="S.2.3"/>
    <s v="Payment Monitoring and Evaluation(salary september 2023)"/>
    <s v="D"/>
    <n v="344893"/>
    <s v="BIF"/>
    <n v="2803.6597999999999"/>
    <n v="123.01528166862471"/>
    <s v="USD"/>
    <n v="0"/>
    <s v="9UN1085"/>
    <s v="YELI"/>
    <n v="0"/>
    <n v="0"/>
    <n v="0"/>
    <n v="0"/>
    <n v="0"/>
    <n v="0"/>
  </r>
  <r>
    <s v="OV 033"/>
    <n v="28"/>
    <d v="2023-09-01T00:00:00"/>
    <d v="2023-09-29T00:00:00"/>
    <m/>
    <x v="3"/>
    <s v="S.2.4"/>
    <s v="Payement Project Manager(salary september 2923)"/>
    <s v="D"/>
    <n v="1288541"/>
    <s v="BIF"/>
    <n v="2803.6597999999999"/>
    <n v="459.59249406793225"/>
    <s v="USD"/>
    <n v="0"/>
    <s v="9UN1085"/>
    <s v="YELI"/>
    <n v="0"/>
    <n v="0"/>
    <n v="0"/>
    <n v="0"/>
    <n v="0"/>
    <n v="0"/>
  </r>
  <r>
    <s v="OV 033"/>
    <n v="28"/>
    <d v="2023-09-01T00:00:00"/>
    <d v="2023-09-29T00:00:00"/>
    <m/>
    <x v="3"/>
    <s v="S.2.5"/>
    <s v="Payement Capacity building Officer(salary september 2923)"/>
    <s v="D"/>
    <n v="454657"/>
    <s v="BIF"/>
    <n v="2803.6597999999999"/>
    <n v="162.16553805850481"/>
    <s v="USD"/>
    <n v="0"/>
    <s v="9UN1085"/>
    <s v="YELI"/>
    <n v="0"/>
    <n v="0"/>
    <n v="0"/>
    <n v="0"/>
    <n v="0"/>
    <n v="0"/>
  </r>
  <r>
    <s v="OV 033"/>
    <n v="28"/>
    <d v="2023-09-01T00:00:00"/>
    <d v="2023-09-29T00:00:00"/>
    <m/>
    <x v="3"/>
    <s v="S.2.6"/>
    <s v="Payment Accountant(salairy september 2023)"/>
    <s v="D"/>
    <n v="147836"/>
    <s v="BIF"/>
    <n v="2803.6597999999999"/>
    <n v="52.729650009605301"/>
    <s v="USD"/>
    <n v="0"/>
    <s v="9UN1085"/>
    <s v="YELI"/>
    <n v="0"/>
    <n v="0"/>
    <n v="0"/>
    <n v="0"/>
    <n v="0"/>
    <n v="0"/>
  </r>
  <r>
    <s v="DR 023090213340"/>
    <n v="29"/>
    <d v="2023-09-01T00:00:00"/>
    <s v="15/09/2023"/>
    <m/>
    <x v="3"/>
    <s v="S.2.1"/>
    <s v="Payment  IRE executive Director(Aout 2023)"/>
    <s v="D"/>
    <n v="14123"/>
    <s v="BIF"/>
    <n v="2803.6597999999999"/>
    <n v="5.0373444024842104"/>
    <s v="USD"/>
    <n v="0"/>
    <s v="9UN1085"/>
    <s v="YELI"/>
    <n v="0"/>
    <n v="0"/>
    <n v="0"/>
    <n v="0"/>
    <n v="0"/>
    <n v="0"/>
  </r>
  <r>
    <s v="DR 023090213340"/>
    <n v="29"/>
    <d v="2023-09-01T00:00:00"/>
    <s v="15/09/2023"/>
    <m/>
    <x v="3"/>
    <s v="S.2.3"/>
    <s v="Payment  IRE M Evaluation(Aout 2023)"/>
    <s v="D"/>
    <n v="13780"/>
    <s v="BIF"/>
    <n v="2803.6597999999999"/>
    <n v="4.9150043097240257"/>
    <s v="USD"/>
    <n v="0"/>
    <s v="9UN1085"/>
    <s v="YELI"/>
    <n v="0"/>
    <n v="0"/>
    <n v="0"/>
    <n v="0"/>
    <n v="0"/>
    <n v="0"/>
  </r>
  <r>
    <s v="DR 023090213340"/>
    <n v="29"/>
    <d v="2023-09-01T00:00:00"/>
    <s v="15/09/2023"/>
    <m/>
    <x v="3"/>
    <s v="S.2.4"/>
    <s v="Payement IRE Project Manager(Aout  2023)"/>
    <s v="D"/>
    <n v="162843"/>
    <s v="BIF"/>
    <n v="2803.6597999999999"/>
    <n v="58.082296575354832"/>
    <s v="USD"/>
    <n v="0"/>
    <s v="9UN1085"/>
    <s v="YELI"/>
    <n v="0"/>
    <n v="0"/>
    <n v="0"/>
    <n v="0"/>
    <n v="0"/>
    <n v="0"/>
  </r>
  <r>
    <s v="DR 023090213340"/>
    <n v="29"/>
    <d v="2023-09-01T00:00:00"/>
    <s v="15/09/2023"/>
    <m/>
    <x v="3"/>
    <s v="S.2.5"/>
    <s v="Payement IRE Capacity building Officer(Aout 2023)"/>
    <s v="D"/>
    <n v="29574"/>
    <s v="BIF"/>
    <n v="2803.6597999999999"/>
    <n v="10.548355403176949"/>
    <s v="USD"/>
    <n v="0"/>
    <s v="9UN1085"/>
    <s v="YELI"/>
    <n v="0"/>
    <n v="0"/>
    <n v="0"/>
    <n v="0"/>
    <n v="0"/>
    <n v="0"/>
  </r>
  <r>
    <s v="OV 017-018-109-020-021"/>
    <n v="32"/>
    <d v="2023-09-01T00:00:00"/>
    <s v="30/09/2023"/>
    <m/>
    <x v="3"/>
    <s v="S.2.1"/>
    <s v="Correction  executive Director salaire janvier 2023"/>
    <s v="C"/>
    <n v="-134545.31818181821"/>
    <s v="BIF"/>
    <n v="2803.6597999999999"/>
    <n v="-47.989174072338663"/>
    <s v="USD"/>
    <n v="0"/>
    <s v="9UN1085"/>
    <s v="YELI"/>
    <n v="0"/>
    <n v="0"/>
    <n v="0"/>
    <n v="0"/>
    <n v="0"/>
    <n v="0"/>
  </r>
  <r>
    <s v="OV 017-018-109-020-021"/>
    <n v="32"/>
    <d v="2023-09-01T00:00:00"/>
    <s v="30/09/2023"/>
    <m/>
    <x v="3"/>
    <s v="S.2.2"/>
    <s v="Correction Financial and Adlinistrative Manager salaire janvier 2023"/>
    <s v="C"/>
    <n v="-77272.590909090912"/>
    <s v="BIF"/>
    <n v="2803.6597999999999"/>
    <n v="-27.561329270081526"/>
    <s v="USD"/>
    <n v="0"/>
    <s v="9UN1085"/>
    <s v="YELI"/>
    <n v="0"/>
    <n v="0"/>
    <n v="0"/>
    <n v="0"/>
    <n v="0"/>
    <n v="0"/>
  </r>
  <r>
    <s v="OV 017-018-109-020-021"/>
    <n v="32"/>
    <d v="2023-09-01T00:00:00"/>
    <s v="30/09/2023"/>
    <m/>
    <x v="3"/>
    <s v="S.2.3"/>
    <s v="Correction Monitoring and Evaluation salaire janvier 2023"/>
    <s v="C"/>
    <n v="-136363.70454545456"/>
    <s v="BIF"/>
    <n v="2803.6597999999999"/>
    <n v="-48.637750038522704"/>
    <s v="USD"/>
    <n v="0"/>
    <s v="9UN1085"/>
    <s v="YELI"/>
    <n v="0"/>
    <n v="0"/>
    <n v="0"/>
    <n v="0"/>
    <n v="0"/>
    <n v="0"/>
  </r>
  <r>
    <s v="OV 017-018-109-020-021"/>
    <n v="32"/>
    <d v="2023-09-01T00:00:00"/>
    <s v="30/09/2023"/>
    <m/>
    <x v="3"/>
    <s v="S.2.4"/>
    <s v="Correction Project Manager salaire janvier 2023"/>
    <s v="C"/>
    <n v="-597500.125"/>
    <s v="BIF"/>
    <n v="2803.6597999999999"/>
    <n v="-213.11434611289144"/>
    <s v="USD"/>
    <n v="0"/>
    <s v="9UN1085"/>
    <s v="YELI"/>
    <n v="0"/>
    <n v="0"/>
    <n v="0"/>
    <n v="0"/>
    <n v="0"/>
    <n v="0"/>
  </r>
  <r>
    <s v="OV 017-018-109-020-021"/>
    <n v="32"/>
    <d v="2023-09-01T00:00:00"/>
    <s v="30/09/2023"/>
    <m/>
    <x v="3"/>
    <s v="S.2.5"/>
    <s v="Correction Capacity building Officer salaire janvier 2023"/>
    <s v="C"/>
    <n v="-181818.11363636365"/>
    <s v="BIF"/>
    <n v="2803.6597999999999"/>
    <n v="-64.850276640683603"/>
    <s v="USD"/>
    <n v="0"/>
    <s v="9UN1085"/>
    <s v="YELI"/>
    <n v="0"/>
    <n v="0"/>
    <n v="0"/>
    <n v="0"/>
    <n v="0"/>
    <n v="0"/>
  </r>
  <r>
    <s v="OV 017-018-109-020-021"/>
    <n v="32"/>
    <d v="2023-09-01T00:00:00"/>
    <s v="30/09/2023"/>
    <m/>
    <x v="3"/>
    <s v="S.2.6"/>
    <s v="Correction  Accountant  salaire janvier 2023"/>
    <s v="C"/>
    <n v="-54545.511363636368"/>
    <s v="BIF"/>
    <n v="2803.6597999999999"/>
    <n v="-19.455110553582987"/>
    <s v="USD"/>
    <n v="0"/>
    <s v="9UN1085"/>
    <s v="YELI"/>
    <n v="0"/>
    <n v="0"/>
    <n v="0"/>
    <n v="0"/>
    <n v="0"/>
    <n v="0"/>
  </r>
  <r>
    <s v="CHQ1615425"/>
    <n v="18"/>
    <d v="2023-07-04T00:00:00"/>
    <d v="2023-07-04T00:00:00"/>
    <m/>
    <x v="3"/>
    <s v="O.1.3"/>
    <s v="Correction Buja  Office rent  june 2023 "/>
    <s v="C"/>
    <n v="-8000"/>
    <s v="BIF"/>
    <n v="2801.6"/>
    <n v="-2.8555111364934325"/>
    <s v="USD"/>
    <n v="0"/>
    <s v="9UN1085"/>
    <s v="RFP"/>
    <n v="0"/>
    <n v="0"/>
    <n v="0"/>
    <n v="0"/>
    <n v="0"/>
    <n v="0"/>
  </r>
  <r>
    <s v="CHQ1615425"/>
    <n v="19"/>
    <d v="2023-07-04T00:00:00"/>
    <d v="2023-07-04T00:00:00"/>
    <m/>
    <x v="3"/>
    <s v="O.1.3"/>
    <s v="Buja  Office rent  june 2023 "/>
    <s v="D"/>
    <n v="80000"/>
    <s v="BIF"/>
    <n v="2801.6"/>
    <n v="28.555111364934323"/>
    <s v="USD"/>
    <n v="0"/>
    <s v="9UN1085"/>
    <s v="RFP"/>
    <n v="0"/>
    <n v="0"/>
    <n v="0"/>
    <n v="0"/>
    <n v="0"/>
    <n v="0"/>
  </r>
  <r>
    <s v="CHQ1615423"/>
    <n v="20"/>
    <d v="2023-07-04T00:00:00"/>
    <d v="2023-07-04T00:00:00"/>
    <m/>
    <x v="3"/>
    <s v="O.1.3"/>
    <s v="Correction Buja  Office rent jan-May  10%"/>
    <s v="C"/>
    <n v="-40000"/>
    <s v="BIF"/>
    <n v="2801.6"/>
    <n v="-14.277555682467161"/>
    <s v="USD"/>
    <n v="0"/>
    <s v="9UN1085"/>
    <s v="RFP"/>
    <n v="0"/>
    <n v="0"/>
    <n v="0"/>
    <n v="0"/>
    <n v="0"/>
    <n v="0"/>
  </r>
  <r>
    <s v="CHQ1615423"/>
    <n v="21"/>
    <d v="2023-07-04T00:00:00"/>
    <d v="2023-07-04T00:00:00"/>
    <m/>
    <x v="3"/>
    <s v="O.1.3"/>
    <s v="Buja  Office rent jan-May  10%"/>
    <s v="D"/>
    <n v="400000"/>
    <s v="BIF"/>
    <n v="2801.6"/>
    <n v="142.77555682467161"/>
    <s v="USD"/>
    <n v="0"/>
    <s v="9UN1085"/>
    <s v="RFP"/>
    <n v="0"/>
    <n v="0"/>
    <n v="0"/>
    <n v="0"/>
    <n v="0"/>
    <n v="0"/>
  </r>
  <r>
    <s v="48/07/PB/2023"/>
    <n v="24"/>
    <d v="2023-07-04T00:00:00"/>
    <s v="28/7/2023"/>
    <n v="421"/>
    <x v="3"/>
    <s v="S.1.2"/>
    <s v="Salary of the project coordinator July 2023"/>
    <s v="D"/>
    <n v="1265383"/>
    <s v="BIF"/>
    <n v="2801.6"/>
    <n v="451.66440605368365"/>
    <s v="USD"/>
    <n v="0"/>
    <s v="9UN1085"/>
    <s v="RFP"/>
    <n v="0"/>
    <n v="0"/>
    <n v="0"/>
    <n v="0"/>
    <n v="0"/>
    <n v="0"/>
  </r>
  <r>
    <s v="48/07/PB/2023"/>
    <n v="24"/>
    <d v="2023-07-04T00:00:00"/>
    <s v="28/7/2023"/>
    <n v="421"/>
    <x v="3"/>
    <s v="O.1.5"/>
    <s v="Salary of the guard Buja July 2023"/>
    <s v="D"/>
    <n v="133677"/>
    <s v="BIF"/>
    <n v="2801.6"/>
    <n v="47.714520274129072"/>
    <s v="USD"/>
    <n v="0"/>
    <s v="9UN1085"/>
    <s v="RFP"/>
    <n v="0"/>
    <n v="0"/>
    <n v="0"/>
    <n v="0"/>
    <n v="0"/>
    <n v="0"/>
  </r>
  <r>
    <s v="48/07/PB/2023"/>
    <n v="24"/>
    <d v="2023-07-04T00:00:00"/>
    <s v="28/7/2023"/>
    <n v="421"/>
    <x v="3"/>
    <s v="S.1.1"/>
    <s v="Salary of the country representative July 2023"/>
    <s v="D"/>
    <n v="295714"/>
    <s v="BIF"/>
    <n v="2801.6"/>
    <n v="105.55182752712736"/>
    <s v="USD"/>
    <n v="0"/>
    <s v="9UN1085"/>
    <s v="RFP"/>
    <n v="0"/>
    <n v="0"/>
    <n v="0"/>
    <n v="0"/>
    <n v="0"/>
    <n v="0"/>
  </r>
  <r>
    <s v="48/07/PB/2023"/>
    <n v="24"/>
    <d v="2023-07-04T00:00:00"/>
    <s v="28/7/2023"/>
    <n v="421"/>
    <x v="3"/>
    <s v="S.1.6"/>
    <s v="Salary of the cleaner July 2023"/>
    <s v="D"/>
    <n v="26424"/>
    <s v="BIF"/>
    <n v="2801.6"/>
    <n v="9.4317532838378071"/>
    <s v="USD"/>
    <n v="0"/>
    <s v="9UN1085"/>
    <s v="RFP"/>
    <n v="0"/>
    <n v="0"/>
    <n v="0"/>
    <n v="0"/>
    <n v="0"/>
    <n v="0"/>
  </r>
  <r>
    <s v="48/07/PB/2023"/>
    <n v="24"/>
    <d v="2023-07-04T00:00:00"/>
    <s v="28/7/2023"/>
    <n v="421"/>
    <x v="3"/>
    <s v="S.1.5"/>
    <s v="Salary of the communication officer July 2023"/>
    <s v="D"/>
    <n v="124619"/>
    <s v="BIF"/>
    <n v="2801.6"/>
    <n v="44.48136778983438"/>
    <s v="USD"/>
    <n v="0"/>
    <s v="9UN1085"/>
    <s v="RFP"/>
    <n v="0"/>
    <n v="0"/>
    <n v="0"/>
    <n v="0"/>
    <n v="0"/>
    <n v="0"/>
  </r>
  <r>
    <s v="48/07/PB/2023"/>
    <n v="24"/>
    <d v="2023-07-04T00:00:00"/>
    <s v="28/7/2023"/>
    <n v="421"/>
    <x v="3"/>
    <s v="S.1.4"/>
    <s v="Salary of the accounts secretary July 2023"/>
    <s v="D"/>
    <n v="70816"/>
    <s v="BIF"/>
    <n v="2801.6"/>
    <n v="25.276984580239862"/>
    <s v="USD"/>
    <n v="0"/>
    <s v="9UN1085"/>
    <s v="RFP"/>
    <n v="0"/>
    <n v="0"/>
    <n v="0"/>
    <n v="0"/>
    <n v="0"/>
    <n v="0"/>
  </r>
  <r>
    <s v="48/07/PB/2023"/>
    <n v="24"/>
    <d v="2023-07-04T00:00:00"/>
    <s v="28/7/2023"/>
    <n v="421"/>
    <x v="3"/>
    <s v="S.1.3"/>
    <s v="Salary of the accountant July 2023"/>
    <s v="D"/>
    <n v="295714"/>
    <s v="BIF"/>
    <n v="2801.6"/>
    <n v="105.55182752712736"/>
    <s v="USD"/>
    <n v="0"/>
    <s v="9UN1085"/>
    <s v="RFP"/>
    <n v="0"/>
    <n v="0"/>
    <n v="0"/>
    <n v="0"/>
    <n v="0"/>
    <n v="0"/>
  </r>
  <r>
    <s v="CHQ1615440"/>
    <n v="25"/>
    <d v="2023-07-04T00:00:00"/>
    <s v="29/07/2023"/>
    <n v="6176"/>
    <x v="3"/>
    <s v="O.1.8"/>
    <s v="Office supplies"/>
    <s v="D"/>
    <n v="97000"/>
    <s v="BIF"/>
    <n v="2801.6"/>
    <n v="34.623072529982871"/>
    <s v="USD"/>
    <n v="0"/>
    <s v="9UN1085"/>
    <s v="RFP"/>
    <n v="0"/>
    <n v="0"/>
    <n v="0"/>
    <n v="0"/>
    <n v="0"/>
    <n v="0"/>
  </r>
  <r>
    <s v="CHQ1637421"/>
    <n v="26"/>
    <d v="2023-07-04T00:00:00"/>
    <s v="29/07/2023"/>
    <n v="6324"/>
    <x v="3"/>
    <s v="O.1.10"/>
    <s v="Equipment and Maintenance"/>
    <s v="D"/>
    <n v="370000"/>
    <s v="BIF"/>
    <n v="2801.6"/>
    <n v="132.06739006282126"/>
    <s v="USD"/>
    <n v="0"/>
    <s v="9UN1085"/>
    <s v="RFP"/>
    <n v="0"/>
    <n v="0"/>
    <n v="0"/>
    <n v="0"/>
    <n v="0"/>
    <n v="0"/>
  </r>
  <r>
    <s v="CHQ1615434"/>
    <n v="33"/>
    <d v="2023-07-04T00:00:00"/>
    <s v="13/07/2023"/>
    <n v="6324"/>
    <x v="3"/>
    <s v="S.1.2"/>
    <s v="IRE Janvier 2023_Project coordinator"/>
    <s v="D"/>
    <n v="134012"/>
    <s v="BIF"/>
    <n v="2801.6"/>
    <n v="47.83409480296973"/>
    <s v="USD"/>
    <n v="0"/>
    <s v="9UN1085"/>
    <s v="RFP"/>
    <n v="0"/>
    <n v="0"/>
    <n v="0"/>
    <n v="0"/>
    <n v="0"/>
    <n v="0"/>
  </r>
  <r>
    <s v="CHQ1615434"/>
    <n v="33"/>
    <d v="2023-07-04T00:00:00"/>
    <s v="13/07/2023"/>
    <n v="6324"/>
    <x v="3"/>
    <s v="S.1.1"/>
    <s v="IRE Janvier 2023_Executive  Director"/>
    <s v="D"/>
    <n v="4286"/>
    <s v="BIF"/>
    <n v="2801.6"/>
    <n v="1.5298400913763563"/>
    <s v="USD"/>
    <n v="0"/>
    <s v="9UN1085"/>
    <s v="RFP"/>
    <n v="0"/>
    <n v="0"/>
    <n v="0"/>
    <n v="0"/>
    <n v="0"/>
    <n v="0"/>
  </r>
  <r>
    <s v="CHQ1615434"/>
    <n v="33"/>
    <d v="2023-07-04T00:00:00"/>
    <s v="13/07/2023"/>
    <n v="6324"/>
    <x v="3"/>
    <s v="S.1.3"/>
    <s v="IRE Janvier 2023_Accountant"/>
    <s v="D"/>
    <n v="4286"/>
    <s v="BIF"/>
    <n v="2801.6"/>
    <n v="1.5298400913763563"/>
    <s v="USD"/>
    <n v="0"/>
    <s v="9UN1085"/>
    <s v="RFP"/>
    <n v="0"/>
    <n v="0"/>
    <n v="0"/>
    <n v="0"/>
    <n v="0"/>
    <n v="0"/>
  </r>
  <r>
    <s v="CHQ1615434"/>
    <n v="33"/>
    <d v="2023-07-04T00:00:00"/>
    <s v="13/07/2023"/>
    <n v="6324"/>
    <x v="3"/>
    <s v="S.1.2"/>
    <s v="IRE Fevrier  2023_Project coordinator"/>
    <s v="D"/>
    <n v="134012"/>
    <s v="BIF"/>
    <n v="2801.6"/>
    <n v="47.83409480296973"/>
    <s v="USD"/>
    <n v="0"/>
    <s v="9UN1085"/>
    <s v="RFP"/>
    <n v="0"/>
    <n v="0"/>
    <n v="0"/>
    <n v="0"/>
    <n v="0"/>
    <n v="0"/>
  </r>
  <r>
    <s v="CHQ1615434"/>
    <n v="33"/>
    <d v="2023-07-04T00:00:00"/>
    <s v="13/07/2023"/>
    <n v="6324"/>
    <x v="3"/>
    <s v="S.1.1"/>
    <s v="IRE Fevrier 2023_Executive  Director"/>
    <s v="D"/>
    <n v="4286"/>
    <s v="BIF"/>
    <n v="2801.6"/>
    <n v="1.5298400913763563"/>
    <s v="USD"/>
    <n v="0"/>
    <s v="9UN1085"/>
    <s v="RFP"/>
    <n v="0"/>
    <n v="0"/>
    <n v="0"/>
    <n v="0"/>
    <n v="0"/>
    <n v="0"/>
  </r>
  <r>
    <s v="CHQ1615434"/>
    <n v="33"/>
    <d v="2023-07-04T00:00:00"/>
    <s v="13/07/2023"/>
    <n v="6324"/>
    <x v="3"/>
    <s v="S.1.3"/>
    <s v="IRE Fevrier 2023_Accountant"/>
    <s v="D"/>
    <n v="4286"/>
    <s v="BIF"/>
    <n v="2801.6"/>
    <n v="1.5298400913763563"/>
    <s v="USD"/>
    <n v="0"/>
    <s v="9UN1085"/>
    <s v="RFP"/>
    <n v="0"/>
    <n v="0"/>
    <n v="0"/>
    <n v="0"/>
    <n v="0"/>
    <n v="0"/>
  </r>
  <r>
    <s v="CHQ1615434"/>
    <n v="33"/>
    <d v="2023-07-04T00:00:00"/>
    <s v="13/07/2023"/>
    <n v="6324"/>
    <x v="3"/>
    <s v="S.1.2"/>
    <s v="IRE Mars  2023_Project coordinator"/>
    <s v="D"/>
    <n v="134012"/>
    <s v="BIF"/>
    <n v="2801.6"/>
    <n v="47.83409480296973"/>
    <s v="USD"/>
    <n v="0"/>
    <s v="9UN1085"/>
    <s v="RFP"/>
    <n v="0"/>
    <n v="0"/>
    <n v="0"/>
    <n v="0"/>
    <n v="0"/>
    <n v="0"/>
  </r>
  <r>
    <s v="CHQ1615434"/>
    <n v="33"/>
    <d v="2023-07-04T00:00:00"/>
    <s v="13/07/2023"/>
    <n v="6324"/>
    <x v="3"/>
    <s v="S.1.1"/>
    <s v="IRE Mars 2023_Executive  Director"/>
    <s v="D"/>
    <n v="4286"/>
    <s v="BIF"/>
    <n v="2801.6"/>
    <n v="1.5298400913763563"/>
    <s v="USD"/>
    <n v="0"/>
    <s v="9UN1085"/>
    <s v="RFP"/>
    <n v="0"/>
    <n v="0"/>
    <n v="0"/>
    <n v="0"/>
    <n v="0"/>
    <n v="0"/>
  </r>
  <r>
    <s v="CHQ1615434"/>
    <n v="33"/>
    <d v="2023-07-04T00:00:00"/>
    <s v="13/07/2023"/>
    <n v="6324"/>
    <x v="3"/>
    <s v="S.1.3"/>
    <s v="IRE Mars 2023_Accountant"/>
    <s v="D"/>
    <n v="4286"/>
    <s v="BIF"/>
    <n v="2801.6"/>
    <n v="1.5298400913763563"/>
    <s v="USD"/>
    <n v="0"/>
    <s v="9UN1085"/>
    <s v="RFP"/>
    <n v="0"/>
    <n v="0"/>
    <n v="0"/>
    <n v="0"/>
    <n v="0"/>
    <n v="0"/>
  </r>
  <r>
    <s v="CHQ1615434"/>
    <n v="33"/>
    <d v="2023-07-04T00:00:00"/>
    <s v="13/07/2023"/>
    <n v="6324"/>
    <x v="3"/>
    <s v="S.1.2"/>
    <s v="IRE Avril  2023_Project coordinator"/>
    <s v="D"/>
    <n v="134012"/>
    <s v="BIF"/>
    <n v="2801.6"/>
    <n v="47.83409480296973"/>
    <s v="USD"/>
    <n v="0"/>
    <s v="9UN1085"/>
    <s v="RFP"/>
    <n v="0"/>
    <n v="0"/>
    <n v="0"/>
    <n v="0"/>
    <n v="0"/>
    <n v="0"/>
  </r>
  <r>
    <s v="CHQ1615434"/>
    <n v="33"/>
    <d v="2023-07-04T00:00:00"/>
    <s v="13/07/2023"/>
    <n v="6324"/>
    <x v="3"/>
    <s v="S.1.1"/>
    <s v="IRE Avril 2023_Executive  Director"/>
    <s v="D"/>
    <n v="4286"/>
    <s v="BIF"/>
    <n v="2801.6"/>
    <n v="1.5298400913763563"/>
    <s v="USD"/>
    <n v="0"/>
    <s v="9UN1085"/>
    <s v="RFP"/>
    <n v="0"/>
    <n v="0"/>
    <n v="0"/>
    <n v="0"/>
    <n v="0"/>
    <n v="0"/>
  </r>
  <r>
    <s v="CHQ1615434"/>
    <n v="33"/>
    <d v="2023-07-04T00:00:00"/>
    <s v="13/07/2023"/>
    <n v="6324"/>
    <x v="3"/>
    <s v="S.1.3"/>
    <s v="IRE Avril 2023_Accountant"/>
    <s v="D"/>
    <n v="4286"/>
    <s v="BIF"/>
    <n v="2801.6"/>
    <n v="1.5298400913763563"/>
    <s v="USD"/>
    <n v="0"/>
    <s v="9UN1085"/>
    <s v="RFP"/>
    <n v="0"/>
    <n v="0"/>
    <n v="0"/>
    <n v="0"/>
    <n v="0"/>
    <n v="0"/>
  </r>
  <r>
    <s v="CHQ1615434"/>
    <n v="33"/>
    <d v="2023-07-04T00:00:00"/>
    <s v="13/07/2023"/>
    <n v="6324"/>
    <x v="3"/>
    <s v="S.1.2"/>
    <s v="IRE Mai 2023_Project coordinator"/>
    <s v="D"/>
    <n v="134012"/>
    <s v="BIF"/>
    <n v="2801.6"/>
    <n v="47.83409480296973"/>
    <s v="USD"/>
    <n v="0"/>
    <s v="9UN1085"/>
    <s v="RFP"/>
    <n v="0"/>
    <n v="0"/>
    <n v="0"/>
    <n v="0"/>
    <n v="0"/>
    <n v="0"/>
  </r>
  <r>
    <s v="CHQ1615434"/>
    <n v="33"/>
    <d v="2023-07-04T00:00:00"/>
    <s v="13/07/2023"/>
    <n v="6324"/>
    <x v="3"/>
    <s v="S.1.1"/>
    <s v="IRE Mai 2023_Executive  Director"/>
    <s v="D"/>
    <n v="4286"/>
    <s v="BIF"/>
    <n v="2801.6"/>
    <n v="1.5298400913763563"/>
    <s v="USD"/>
    <n v="0"/>
    <s v="9UN1085"/>
    <s v="RFP"/>
    <n v="0"/>
    <n v="0"/>
    <n v="0"/>
    <n v="0"/>
    <n v="0"/>
    <n v="0"/>
  </r>
  <r>
    <s v="CHQ1615434"/>
    <n v="33"/>
    <d v="2023-07-04T00:00:00"/>
    <s v="13/07/2023"/>
    <n v="6324"/>
    <x v="3"/>
    <s v="S.1.3"/>
    <s v="IRE Mai 2023_Accountant"/>
    <s v="D"/>
    <n v="4286"/>
    <s v="BIF"/>
    <n v="2801.6"/>
    <n v="1.5298400913763563"/>
    <s v="USD"/>
    <n v="0"/>
    <s v="9UN1085"/>
    <s v="RFP"/>
    <n v="0"/>
    <n v="0"/>
    <n v="0"/>
    <n v="0"/>
    <n v="0"/>
    <n v="0"/>
  </r>
  <r>
    <s v="CHQ1615434"/>
    <n v="33"/>
    <d v="2023-07-04T00:00:00"/>
    <s v="13/07/2023"/>
    <n v="6324"/>
    <x v="3"/>
    <s v="S.1.2"/>
    <s v="IRE Juin 2023_Project coordinator"/>
    <s v="D"/>
    <n v="134012"/>
    <s v="BIF"/>
    <n v="2801.6"/>
    <n v="47.83409480296973"/>
    <s v="USD"/>
    <n v="0"/>
    <s v="9UN1085"/>
    <s v="RFP"/>
    <n v="0"/>
    <n v="0"/>
    <n v="0"/>
    <n v="0"/>
    <n v="0"/>
    <n v="0"/>
  </r>
  <r>
    <s v="CHQ1615434"/>
    <n v="33"/>
    <d v="2023-07-04T00:00:00"/>
    <s v="13/07/2023"/>
    <n v="6324"/>
    <x v="3"/>
    <s v="S.1.1"/>
    <s v="IRE Juin 2023_Executive  Director"/>
    <s v="D"/>
    <n v="4286"/>
    <s v="BIF"/>
    <n v="2801.6"/>
    <n v="1.5298400913763563"/>
    <s v="USD"/>
    <n v="0"/>
    <s v="9UN1085"/>
    <s v="RFP"/>
    <n v="0"/>
    <n v="0"/>
    <n v="0"/>
    <n v="0"/>
    <n v="0"/>
    <n v="0"/>
  </r>
  <r>
    <s v="CHQ1615434"/>
    <n v="33"/>
    <d v="2023-07-04T00:00:00"/>
    <s v="13/07/2023"/>
    <n v="6324"/>
    <x v="3"/>
    <s v="S.1.3"/>
    <s v="IRE Juin 2023_Accountant"/>
    <s v="D"/>
    <n v="4286"/>
    <s v="BIF"/>
    <n v="2801.6"/>
    <n v="1.5298400913763563"/>
    <s v="USD"/>
    <n v="0"/>
    <s v="9UN1085"/>
    <s v="RFP"/>
    <n v="0"/>
    <n v="0"/>
    <n v="0"/>
    <n v="0"/>
    <n v="0"/>
    <n v="0"/>
  </r>
  <r>
    <s v="CHQ1615435"/>
    <s v="33-B"/>
    <d v="2023-07-04T00:00:00"/>
    <s v="13/07/2023"/>
    <n v="6311"/>
    <x v="3"/>
    <s v="O.1.7"/>
    <s v="Internet July 2023"/>
    <s v="D"/>
    <n v="90000"/>
    <s v="BIF"/>
    <n v="2801.6"/>
    <n v="32.124500285551115"/>
    <s v="USD"/>
    <n v="0"/>
    <s v="9UN1085"/>
    <s v="RFP"/>
    <n v="0"/>
    <n v="0"/>
    <n v="0"/>
    <n v="0"/>
    <n v="0"/>
    <n v="0"/>
  </r>
  <r>
    <s v="CHQ1615435"/>
    <s v="33-B"/>
    <d v="2023-07-04T00:00:00"/>
    <s v="13/07/2023"/>
    <n v="6311"/>
    <x v="3"/>
    <s v="O.1.11"/>
    <s v="Communication July 2023"/>
    <s v="D"/>
    <n v="27000"/>
    <s v="BIF"/>
    <n v="2801.6"/>
    <n v="9.637350085665334"/>
    <s v="USD"/>
    <n v="0"/>
    <s v="9UN1085"/>
    <s v="RFP"/>
    <n v="0"/>
    <n v="0"/>
    <n v="0"/>
    <n v="0"/>
    <n v="0"/>
    <n v="0"/>
  </r>
  <r>
    <s v="DV 58/08/EN/023"/>
    <n v="35"/>
    <d v="2023-08-23T00:00:00"/>
    <s v="07/08/023"/>
    <n v="6311"/>
    <x v="3"/>
    <s v="O.1.4"/>
    <s v="Office rent Rutana"/>
    <s v="D"/>
    <n v="150000"/>
    <s v="BIF"/>
    <n v="2801.6"/>
    <n v="53.540833809251858"/>
    <s v="USD"/>
    <n v="0"/>
    <s v="9UN1085"/>
    <s v="RFP"/>
    <n v="0"/>
    <n v="0"/>
    <n v="0"/>
    <n v="0"/>
    <n v="0"/>
    <n v="0"/>
  </r>
  <r>
    <s v="DV 56/08/EN/023"/>
    <n v="51"/>
    <d v="2023-08-23T00:00:00"/>
    <s v="21/08/023"/>
    <n v="6171"/>
    <x v="3"/>
    <s v="O.1.9"/>
    <s v="Water and electricity"/>
    <s v="D"/>
    <n v="45000"/>
    <s v="BIF"/>
    <n v="2801.6"/>
    <n v="16.062250142775557"/>
    <s v="USD"/>
    <n v="0"/>
    <s v="9UN1085"/>
    <s v="RFP"/>
    <n v="0"/>
    <n v="0"/>
    <n v="0"/>
    <n v="0"/>
    <n v="0"/>
    <n v="0"/>
  </r>
  <r>
    <s v="Chq 1637442"/>
    <n v="48"/>
    <d v="2023-08-23T00:00:00"/>
    <s v="21/08/023"/>
    <n v="6176"/>
    <x v="3"/>
    <s v="O.1.11"/>
    <s v="Téléphone"/>
    <s v="D"/>
    <n v="27000"/>
    <s v="BIF"/>
    <n v="2801.6"/>
    <n v="9.637350085665334"/>
    <s v="USD"/>
    <n v="0"/>
    <s v="9UN1085"/>
    <s v="RFP"/>
    <n v="0"/>
    <n v="0"/>
    <n v="0"/>
    <n v="0"/>
    <n v="0"/>
    <n v="0"/>
  </r>
  <r>
    <s v="Chq 1637442"/>
    <n v="48"/>
    <d v="2023-08-23T00:00:00"/>
    <s v="21/08/023"/>
    <n v="6176"/>
    <x v="3"/>
    <s v="O.1.7"/>
    <s v="Internet"/>
    <s v="D"/>
    <n v="90000"/>
    <s v="BIF"/>
    <n v="2801.6"/>
    <n v="32.124500285551115"/>
    <s v="USD"/>
    <n v="0"/>
    <s v="9UN1085"/>
    <s v="RFP"/>
    <n v="0"/>
    <n v="0"/>
    <n v="0"/>
    <n v="0"/>
    <n v="0"/>
    <n v="0"/>
  </r>
  <r>
    <s v="DV 59/08/EN/023"/>
    <n v="52"/>
    <d v="2023-08-23T00:00:00"/>
    <s v="28/08/023"/>
    <n v="6171"/>
    <x v="3"/>
    <s v="O.1.9"/>
    <s v="Water and electricity"/>
    <s v="D"/>
    <n v="45000"/>
    <s v="BIF"/>
    <n v="2801.6"/>
    <n v="16.062250142775557"/>
    <s v="USD"/>
    <n v="0"/>
    <s v="9UN1085"/>
    <s v="RFP"/>
    <n v="0"/>
    <n v="0"/>
    <n v="0"/>
    <n v="0"/>
    <n v="0"/>
    <n v="0"/>
  </r>
  <r>
    <s v="DV 60/08/EN/024"/>
    <n v="54"/>
    <d v="2023-08-23T00:00:00"/>
    <s v="28/08/023"/>
    <n v="6311"/>
    <x v="3"/>
    <s v="O.1.4"/>
    <s v="Office rent Rutana"/>
    <s v="D"/>
    <n v="150000"/>
    <s v="BIF"/>
    <n v="2801.6"/>
    <n v="53.540833809251858"/>
    <s v="USD"/>
    <n v="0"/>
    <s v="9UN1085"/>
    <s v="RFP"/>
    <n v="0"/>
    <n v="0"/>
    <n v="0"/>
    <n v="0"/>
    <n v="0"/>
    <n v="0"/>
  </r>
  <r>
    <s v="Relevé bancaire"/>
    <n v="59"/>
    <d v="2023-08-23T00:00:00"/>
    <s v="31/08/023"/>
    <n v="6341"/>
    <x v="3"/>
    <s v="O.1.8"/>
    <s v="Supplies (bank charge)"/>
    <s v="D"/>
    <n v="31250"/>
    <s v="BIF"/>
    <n v="2801.6"/>
    <n v="11.15434037692747"/>
    <s v="USD"/>
    <n v="0"/>
    <s v="9UN1085"/>
    <s v="RFP"/>
    <n v="0"/>
    <n v="0"/>
    <n v="0"/>
    <n v="0"/>
    <n v="0"/>
    <n v="0"/>
  </r>
  <r>
    <s v="DV 57/08/EN/025"/>
    <n v="53"/>
    <d v="2023-08-23T00:00:00"/>
    <s v="29/08/023"/>
    <n v="421"/>
    <x v="3"/>
    <s v="S.1.1"/>
    <s v="Salary of country representative Aug-023"/>
    <s v="D"/>
    <n v="295714"/>
    <s v="BIF"/>
    <n v="2801.6"/>
    <n v="105.55182752712736"/>
    <s v="USD"/>
    <n v="0"/>
    <s v="9UN1085"/>
    <s v="RFP"/>
    <n v="0"/>
    <n v="0"/>
    <n v="0"/>
    <n v="0"/>
    <n v="0"/>
    <n v="0"/>
  </r>
  <r>
    <s v="DV 57/08/EN/026"/>
    <n v="53"/>
    <d v="2023-08-23T00:00:00"/>
    <s v="29/08/023"/>
    <n v="421"/>
    <x v="3"/>
    <s v="S.1.2"/>
    <s v="Salary of  project coordinator Aug-023"/>
    <s v="D"/>
    <n v="1269897"/>
    <s v="BIF"/>
    <n v="2801.6"/>
    <n v="453.27562821245004"/>
    <s v="USD"/>
    <n v="0"/>
    <s v="9UN1085"/>
    <s v="RFP"/>
    <n v="0"/>
    <n v="0"/>
    <n v="0"/>
    <n v="0"/>
    <n v="0"/>
    <n v="0"/>
  </r>
  <r>
    <s v="DV 57/08/EN/027"/>
    <n v="53"/>
    <d v="2023-08-23T00:00:00"/>
    <s v="29/08/023"/>
    <n v="421"/>
    <x v="3"/>
    <s v="S.1.3"/>
    <s v="Salary of  accountant  Aug-023"/>
    <s v="D"/>
    <n v="295714"/>
    <s v="BIF"/>
    <n v="2801.6"/>
    <n v="105.55182752712736"/>
    <s v="USD"/>
    <n v="0"/>
    <s v="9UN1085"/>
    <s v="RFP"/>
    <n v="0"/>
    <n v="0"/>
    <n v="0"/>
    <n v="0"/>
    <n v="0"/>
    <n v="0"/>
  </r>
  <r>
    <s v="DV 57/08/EN/028"/>
    <n v="53"/>
    <d v="2023-08-23T00:00:00"/>
    <s v="29/08/023"/>
    <n v="421"/>
    <x v="3"/>
    <s v="S.1.4"/>
    <s v="Salary of  accountant secretary Aug-023"/>
    <s v="D"/>
    <n v="73458"/>
    <s v="BIF"/>
    <n v="2801.6"/>
    <n v="26.220017133066818"/>
    <s v="USD"/>
    <n v="0"/>
    <s v="9UN1085"/>
    <s v="RFP"/>
    <n v="0"/>
    <n v="0"/>
    <n v="0"/>
    <n v="0"/>
    <n v="0"/>
    <n v="0"/>
  </r>
  <r>
    <s v="DV 57/08/EN/028"/>
    <n v="53"/>
    <d v="2023-08-23T00:00:00"/>
    <s v="29/08/023"/>
    <n v="421"/>
    <x v="3"/>
    <s v="S.1.5"/>
    <s v="Salary of  communication officer Aug-023"/>
    <s v="D"/>
    <n v="126698"/>
    <s v="BIF"/>
    <n v="2801.6"/>
    <n v="45.223443746430611"/>
    <s v="USD"/>
    <n v="0"/>
    <s v="9UN1085"/>
    <s v="RFP"/>
    <n v="0"/>
    <n v="0"/>
    <n v="0"/>
    <n v="0"/>
    <n v="0"/>
    <n v="0"/>
  </r>
  <r>
    <s v="DV 57/08/EN/028"/>
    <n v="53"/>
    <d v="2023-08-23T00:00:00"/>
    <s v="29/08/023"/>
    <n v="421"/>
    <x v="3"/>
    <s v="S.1.6"/>
    <s v="Salary of the cleaner Aug-023"/>
    <s v="D"/>
    <n v="133769"/>
    <s v="BIF"/>
    <n v="2801.6"/>
    <n v="47.747358652198749"/>
    <s v="USD"/>
    <n v="0"/>
    <s v="9UN1085"/>
    <s v="RFP"/>
    <n v="0"/>
    <n v="0"/>
    <n v="0"/>
    <n v="0"/>
    <n v="0"/>
    <n v="0"/>
  </r>
  <r>
    <s v="DV 57/08/EN/028"/>
    <n v="53"/>
    <d v="2023-08-23T00:00:00"/>
    <s v="29/08/023"/>
    <n v="421"/>
    <x v="3"/>
    <s v="O.1.5"/>
    <s v="Salary of the guard Buja Aug-023"/>
    <s v="D"/>
    <n v="26422"/>
    <s v="BIF"/>
    <n v="2801.6"/>
    <n v="9.4310394060536833"/>
    <s v="USD"/>
    <n v="0"/>
    <s v="9UN1085"/>
    <s v="RFP"/>
    <n v="0"/>
    <n v="0"/>
    <n v="0"/>
    <n v="0"/>
    <n v="0"/>
    <n v="0"/>
  </r>
  <r>
    <s v="DV 57/08/EN/028"/>
    <n v="53"/>
    <d v="2023-08-23T00:00:00"/>
    <s v="29/08/023"/>
    <n v="421"/>
    <x v="3"/>
    <s v="O.1.6"/>
    <s v="Salary of the guard Rutana Aug-023"/>
    <s v="D"/>
    <n v="150000"/>
    <s v="BIF"/>
    <n v="2801.6"/>
    <n v="53.540833809251858"/>
    <s v="USD"/>
    <n v="0"/>
    <s v="9UN1085"/>
    <s v="RFP"/>
    <n v="0"/>
    <n v="0"/>
    <n v="0"/>
    <n v="0"/>
    <n v="0"/>
    <n v="0"/>
  </r>
  <r>
    <s v="Chq 1637445"/>
    <n v="57"/>
    <d v="2023-08-23T00:00:00"/>
    <s v="31/08/023"/>
    <n v="6176"/>
    <x v="3"/>
    <s v="O.1.8"/>
    <s v="Supplies"/>
    <s v="D"/>
    <n v="96000"/>
    <s v="BIF"/>
    <n v="2801.6"/>
    <n v="34.266133637921186"/>
    <s v="USD"/>
    <n v="0"/>
    <s v="9UN1085"/>
    <s v="RFP"/>
    <n v="0"/>
    <n v="0"/>
    <n v="0"/>
    <n v="0"/>
    <n v="0"/>
    <n v="0"/>
  </r>
  <r>
    <s v="CHQ1637432"/>
    <n v="38"/>
    <d v="2023-08-23T00:00:00"/>
    <s v="15/08/2023"/>
    <n v="4325"/>
    <x v="3"/>
    <s v="S.1.1"/>
    <s v="Tax  country representative July-2023"/>
    <s v="D"/>
    <n v="4285.5"/>
    <s v="BIF"/>
    <n v="2801.6"/>
    <n v="1.5296616219303256"/>
    <s v="USD"/>
    <n v="0"/>
    <s v="9UN1085"/>
    <s v="RFP"/>
    <n v="0"/>
    <n v="0"/>
    <n v="0"/>
    <n v="0"/>
    <n v="0"/>
    <n v="0"/>
  </r>
  <r>
    <s v="CHQ1637432"/>
    <n v="38"/>
    <d v="2023-08-23T00:00:00"/>
    <s v="15/08/2023"/>
    <n v="4325"/>
    <x v="3"/>
    <s v="S.1.2"/>
    <s v="Tax project coordinator July-2023"/>
    <s v="D"/>
    <n v="187012"/>
    <s v="BIF"/>
    <n v="2801.6"/>
    <n v="66.751856082238717"/>
    <s v="USD"/>
    <n v="0"/>
    <s v="9UN1085"/>
    <s v="RFP"/>
    <n v="0"/>
    <n v="0"/>
    <n v="0"/>
    <n v="0"/>
    <n v="0"/>
    <n v="0"/>
  </r>
  <r>
    <s v="CHQ1637432"/>
    <n v="38"/>
    <d v="2023-08-23T00:00:00"/>
    <s v="15/08/2023"/>
    <n v="4325"/>
    <x v="3"/>
    <s v="S.1.3"/>
    <s v="Tax Account July-2023"/>
    <s v="D"/>
    <n v="4285.5"/>
    <s v="BIF"/>
    <n v="2801.6"/>
    <n v="1.5296616219303256"/>
    <s v="USD"/>
    <n v="0"/>
    <s v="9UN1085"/>
    <s v="RFP"/>
    <n v="0"/>
    <n v="0"/>
    <n v="0"/>
    <n v="0"/>
    <n v="0"/>
    <n v="0"/>
  </r>
  <r>
    <s v="DV no 68/09/EN/2023"/>
    <n v="77"/>
    <d v="2023-09-23T00:00:00"/>
    <s v="20/09/2023"/>
    <n v="6311"/>
    <x v="3"/>
    <s v="O.1.4"/>
    <s v="Rutana Office rent "/>
    <s v="D"/>
    <n v="150000"/>
    <s v="BIF"/>
    <n v="2801.6"/>
    <n v="53.540833809251858"/>
    <s v="USD"/>
    <n v="0"/>
    <s v="9UN1085"/>
    <s v="RFP"/>
    <n v="0"/>
    <n v="0"/>
    <n v="0"/>
    <n v="0"/>
    <n v="0"/>
    <n v="0"/>
  </r>
  <r>
    <s v="Chq 1637460"/>
    <n v="75"/>
    <d v="2023-09-23T00:00:00"/>
    <s v="20/09/2023"/>
    <n v="6176"/>
    <x v="3"/>
    <s v="O.1.11"/>
    <s v="Telephone , sept-023"/>
    <s v="D"/>
    <n v="27000"/>
    <s v="BIF"/>
    <n v="2801.6"/>
    <n v="9.637350085665334"/>
    <s v="USD"/>
    <n v="0"/>
    <s v="9UN1085"/>
    <s v="RFP"/>
    <n v="0"/>
    <n v="0"/>
    <n v="0"/>
    <n v="0"/>
    <n v="0"/>
    <n v="0"/>
  </r>
  <r>
    <s v="Chq 1637460"/>
    <n v="75"/>
    <d v="2023-09-23T00:00:00"/>
    <s v="20/09/2023"/>
    <n v="6176"/>
    <x v="3"/>
    <s v="O.1.7"/>
    <s v="Internet, sept-023"/>
    <s v="D"/>
    <n v="90000"/>
    <s v="BIF"/>
    <n v="2801.6"/>
    <n v="32.124500285551115"/>
    <s v="USD"/>
    <n v="0"/>
    <s v="9UN1085"/>
    <s v="RFP"/>
    <n v="0"/>
    <n v="0"/>
    <n v="0"/>
    <n v="0"/>
    <n v="0"/>
    <n v="0"/>
  </r>
  <r>
    <s v="Chq 1637459"/>
    <n v="80"/>
    <d v="2023-09-23T00:00:00"/>
    <s v="20/09/2023"/>
    <n v="6176"/>
    <x v="3"/>
    <s v="O.1.8"/>
    <s v="Office supplies"/>
    <s v="D"/>
    <n v="98000"/>
    <s v="BIF"/>
    <n v="2801.6"/>
    <n v="34.980011422044548"/>
    <s v="USD"/>
    <n v="0"/>
    <s v="9UN1085"/>
    <s v="RFP"/>
    <n v="0"/>
    <n v="0"/>
    <n v="0"/>
    <n v="0"/>
    <n v="0"/>
    <n v="0"/>
  </r>
  <r>
    <s v="DV no 69/09/EN/2023"/>
    <n v="76"/>
    <d v="2023-09-23T00:00:00"/>
    <s v="20/09/2023"/>
    <n v="6176"/>
    <x v="3"/>
    <s v="O.1.9"/>
    <s v="Water and electricity"/>
    <s v="D"/>
    <n v="45000"/>
    <s v="BIF"/>
    <n v="2801.6"/>
    <n v="16.062250142775557"/>
    <s v="USD"/>
    <n v="0"/>
    <s v="9UN1085"/>
    <s v="RFP"/>
    <n v="0"/>
    <n v="0"/>
    <n v="0"/>
    <n v="0"/>
    <n v="0"/>
    <n v="0"/>
  </r>
  <r>
    <s v="DV no 72/09/EN/2023"/>
    <n v="70"/>
    <d v="2023-09-23T00:00:00"/>
    <s v="27/09/2023"/>
    <n v="421"/>
    <x v="3"/>
    <s v="S.1.1"/>
    <s v="Salary of country representative sept-023"/>
    <s v="D"/>
    <n v="295714"/>
    <s v="BIF"/>
    <n v="2801.6"/>
    <n v="105.55182752712736"/>
    <s v="USD"/>
    <n v="0"/>
    <s v="9UN1085"/>
    <s v="RFP"/>
    <n v="0"/>
    <n v="0"/>
    <n v="0"/>
    <n v="0"/>
    <n v="0"/>
    <n v="0"/>
  </r>
  <r>
    <s v="DV no 72/09/EN/2023"/>
    <n v="70"/>
    <d v="2023-09-23T00:00:00"/>
    <s v="27/09/2023"/>
    <n v="421"/>
    <x v="3"/>
    <s v="S.1.2"/>
    <s v="Salary of  project coordinator sept-023"/>
    <s v="D"/>
    <n v="1299897"/>
    <s v="BIF"/>
    <n v="2801.6"/>
    <n v="463.98379497430039"/>
    <s v="USD"/>
    <n v="0"/>
    <s v="9UN1085"/>
    <s v="RFP"/>
    <n v="0"/>
    <n v="0"/>
    <n v="0"/>
    <n v="0"/>
    <n v="0"/>
    <n v="0"/>
  </r>
  <r>
    <s v="DV no 72/09/EN/2023"/>
    <n v="70"/>
    <d v="2023-09-23T00:00:00"/>
    <s v="27/09/2023"/>
    <n v="421"/>
    <x v="3"/>
    <s v="S.1.3"/>
    <s v="Salary of  accountant sept-023"/>
    <s v="D"/>
    <n v="295714"/>
    <s v="BIF"/>
    <n v="2801.6"/>
    <n v="105.55182752712736"/>
    <s v="USD"/>
    <n v="0"/>
    <s v="9UN1085"/>
    <s v="RFP"/>
    <n v="0"/>
    <n v="0"/>
    <n v="0"/>
    <n v="0"/>
    <n v="0"/>
    <n v="0"/>
  </r>
  <r>
    <s v="DV no 72/09/EN/2023"/>
    <n v="70"/>
    <d v="2023-09-23T00:00:00"/>
    <s v="27/09/2023"/>
    <n v="421"/>
    <x v="3"/>
    <s v="S.1.4"/>
    <s v="Salary of  accountant secretary sept-023"/>
    <s v="D"/>
    <n v="73458"/>
    <s v="BIF"/>
    <n v="2801.6"/>
    <n v="26.220017133066818"/>
    <s v="USD"/>
    <n v="0"/>
    <s v="9UN1085"/>
    <s v="RFP"/>
    <n v="0"/>
    <n v="0"/>
    <n v="0"/>
    <n v="0"/>
    <n v="0"/>
    <n v="0"/>
  </r>
  <r>
    <s v="DV no 72/09/EN/2023"/>
    <n v="70"/>
    <d v="2023-09-23T00:00:00"/>
    <s v="27/09/2023"/>
    <n v="421"/>
    <x v="3"/>
    <s v="S.1.5"/>
    <s v="Salary of  communication officer sept-023"/>
    <s v="D"/>
    <n v="126698"/>
    <s v="BIF"/>
    <n v="2801.6"/>
    <n v="45.223443746430611"/>
    <s v="USD"/>
    <n v="0"/>
    <s v="9UN1085"/>
    <s v="RFP"/>
    <n v="0"/>
    <n v="0"/>
    <n v="0"/>
    <n v="0"/>
    <n v="0"/>
    <n v="0"/>
  </r>
  <r>
    <s v="DV no 72/09/EN/2023"/>
    <n v="70"/>
    <d v="2023-09-23T00:00:00"/>
    <s v="27/09/2023"/>
    <n v="421"/>
    <x v="3"/>
    <s v="S.1.6"/>
    <s v="Salary of the cleaner sept-023"/>
    <s v="D"/>
    <n v="26422"/>
    <s v="BIF"/>
    <n v="2801.6"/>
    <n v="9.4310394060536833"/>
    <s v="USD"/>
    <n v="0"/>
    <s v="9UN1085"/>
    <s v="RFP"/>
    <n v="0"/>
    <n v="0"/>
    <n v="0"/>
    <n v="0"/>
    <n v="0"/>
    <n v="0"/>
  </r>
  <r>
    <s v="DV no 72/09/EN/2023"/>
    <n v="70"/>
    <d v="2023-09-23T00:00:00"/>
    <s v="27/09/2023"/>
    <n v="421"/>
    <x v="3"/>
    <s v="O.1.5"/>
    <s v="Salary of the guard Buja sept-023"/>
    <s v="D"/>
    <n v="133769"/>
    <s v="BIF"/>
    <n v="2801.6"/>
    <n v="47.747358652198749"/>
    <s v="USD"/>
    <n v="0"/>
    <s v="9UN1085"/>
    <s v="RFP"/>
    <n v="0"/>
    <n v="0"/>
    <n v="0"/>
    <n v="0"/>
    <n v="0"/>
    <n v="0"/>
  </r>
  <r>
    <s v="DV no 72/09/EN/2023"/>
    <n v="70"/>
    <d v="2023-09-23T00:00:00"/>
    <s v="27/09/2023"/>
    <n v="421"/>
    <x v="3"/>
    <s v="O.1.5"/>
    <s v="Salary of the guard Rutana sept-023"/>
    <s v="D"/>
    <n v="150000"/>
    <s v="BIF"/>
    <n v="2801.6"/>
    <n v="53.540833809251858"/>
    <s v="USD"/>
    <n v="0"/>
    <s v="9UN1085"/>
    <s v="RFP"/>
    <n v="0"/>
    <n v="0"/>
    <n v="0"/>
    <n v="0"/>
    <n v="0"/>
    <n v="0"/>
  </r>
  <r>
    <s v="CHQ1637432"/>
    <n v="84"/>
    <d v="2023-09-23T00:00:00"/>
    <s v="15/08/2023"/>
    <n v="4325"/>
    <x v="3"/>
    <s v="S.1.1"/>
    <s v="Tax  country representative Aug-2023"/>
    <s v="D"/>
    <n v="4285.5"/>
    <s v="BIF"/>
    <n v="2801.6"/>
    <n v="1.5296616219303256"/>
    <s v="USD"/>
    <n v="0"/>
    <s v="9UN1085"/>
    <s v="RFP"/>
    <n v="0"/>
    <n v="0"/>
    <n v="0"/>
    <n v="0"/>
    <n v="0"/>
    <n v="0"/>
  </r>
  <r>
    <s v="CHQ1637432"/>
    <n v="84"/>
    <d v="2023-09-23T00:00:00"/>
    <s v="15/08/2023"/>
    <n v="4325"/>
    <x v="3"/>
    <s v="S.1.2"/>
    <s v="Tax project coordinator Aug-2023"/>
    <s v="D"/>
    <n v="156703"/>
    <s v="BIF"/>
    <n v="2801.6"/>
    <n v="55.933395202741295"/>
    <s v="USD"/>
    <n v="0"/>
    <s v="9UN1085"/>
    <s v="RFP"/>
    <n v="0"/>
    <n v="0"/>
    <n v="0"/>
    <n v="0"/>
    <n v="0"/>
    <n v="0"/>
  </r>
  <r>
    <s v="CHQ1637432"/>
    <n v="84"/>
    <d v="2023-09-23T00:00:00"/>
    <s v="15/08/2023"/>
    <n v="4325"/>
    <x v="3"/>
    <s v="S.1.3"/>
    <s v="Tax Account Aug-2023"/>
    <s v="D"/>
    <n v="4285.5"/>
    <s v="BIF"/>
    <n v="2801.6"/>
    <n v="1.5296616219303256"/>
    <s v="USD"/>
    <n v="0"/>
    <s v="9UN1085"/>
    <s v="RFP"/>
    <n v="0"/>
    <n v="0"/>
    <n v="0"/>
    <n v="0"/>
    <n v="0"/>
    <n v="0"/>
  </r>
  <r>
    <s v="Relevé bancaire (Frais)"/>
    <n v="85"/>
    <d v="2023-09-23T00:00:00"/>
    <s v="29/09/2023"/>
    <n v="6341"/>
    <x v="3"/>
    <s v="O.1.8"/>
    <s v="Office supplies (bank charge)"/>
    <s v="D"/>
    <n v="36200"/>
    <s v="BIF"/>
    <n v="2801.6"/>
    <n v="12.921187892632782"/>
    <s v="USD"/>
    <n v="0"/>
    <s v="9UN1085"/>
    <s v="RFP"/>
    <n v="0"/>
    <n v="0"/>
    <n v="0"/>
    <n v="0"/>
    <n v="0"/>
    <n v="0"/>
  </r>
  <r>
    <s v="OP 166997"/>
    <n v="46"/>
    <d v="2023-07-01T00:00:00"/>
    <d v="2023-07-31T00:00:00"/>
    <m/>
    <x v="3"/>
    <s v="S.3.1"/>
    <s v="Executive Secretary's salary for the month of July  2023"/>
    <s v="D"/>
    <n v="382766.2"/>
    <s v="BIF"/>
    <n v="2802.3999950000002"/>
    <n v="136.58514155114392"/>
    <s v="USD"/>
    <n v="0"/>
    <s v="9UN1085"/>
    <s v="DUSHIREHAMWE"/>
    <n v="0"/>
    <n v="0"/>
    <n v="0"/>
    <n v="0"/>
    <n v="0"/>
    <n v="0"/>
  </r>
  <r>
    <s v="OP 166997"/>
    <n v="46"/>
    <d v="2023-07-01T00:00:00"/>
    <d v="2023-07-31T00:00:00"/>
    <m/>
    <x v="3"/>
    <s v="S.3.2"/>
    <s v="Human Resources and Administration Officer's salary for the month of July 2023"/>
    <s v="D"/>
    <n v="113992.3"/>
    <s v="BIF"/>
    <n v="2802.3999950000002"/>
    <n v="40.676670069720004"/>
    <s v="USD"/>
    <n v="0"/>
    <s v="9UN1085"/>
    <s v="DUSHIREHAMWE"/>
    <n v="0"/>
    <n v="0"/>
    <n v="0"/>
    <n v="0"/>
    <n v="0"/>
    <n v="0"/>
  </r>
  <r>
    <s v="OP 166997"/>
    <n v="46"/>
    <d v="2023-07-01T00:00:00"/>
    <d v="2023-07-31T00:00:00"/>
    <m/>
    <x v="3"/>
    <s v="S.3.3"/>
    <s v="Finance Officer's salary for the month of July 2023"/>
    <s v="D"/>
    <n v="183146.6"/>
    <s v="BIF"/>
    <n v="2802.3999950000002"/>
    <n v="65.353482845692056"/>
    <s v="USD"/>
    <n v="0"/>
    <s v="9UN1085"/>
    <s v="DUSHIREHAMWE"/>
    <n v="0"/>
    <n v="0"/>
    <n v="0"/>
    <n v="0"/>
    <n v="0"/>
    <n v="0"/>
  </r>
  <r>
    <s v="OP 166997"/>
    <n v="46"/>
    <d v="2023-07-01T00:00:00"/>
    <d v="2023-07-31T00:00:00"/>
    <m/>
    <x v="3"/>
    <s v="S.3.4"/>
    <s v="Administrative and Financial Assistant's salary for the month of July 2023"/>
    <s v="D"/>
    <n v="133403.6"/>
    <s v="BIF"/>
    <n v="2802.3999950000002"/>
    <n v="47.60334007922377"/>
    <s v="USD"/>
    <n v="0"/>
    <s v="9UN1085"/>
    <s v="DUSHIREHAMWE"/>
    <n v="0"/>
    <n v="0"/>
    <n v="0"/>
    <n v="0"/>
    <n v="0"/>
    <n v="0"/>
  </r>
  <r>
    <s v="OP 166997"/>
    <n v="46"/>
    <d v="2023-07-01T00:00:00"/>
    <d v="2023-07-31T00:00:00"/>
    <m/>
    <x v="3"/>
    <s v="S.3.5"/>
    <s v="Driver's salary for July  2023"/>
    <s v="D"/>
    <n v="345468.5"/>
    <s v="BIF"/>
    <n v="2802.3999950000002"/>
    <n v="123.27594226961878"/>
    <s v="USD"/>
    <n v="0"/>
    <s v="9UN1085"/>
    <s v="DUSHIREHAMWE"/>
    <n v="0"/>
    <n v="0"/>
    <n v="0"/>
    <n v="0"/>
    <n v="0"/>
    <n v="0"/>
  </r>
  <r>
    <s v="OP 166997"/>
    <n v="46"/>
    <d v="2023-07-01T00:00:00"/>
    <d v="2023-07-31T00:00:00"/>
    <m/>
    <x v="3"/>
    <s v="S.3.6"/>
    <s v="Project coordinator's salary for July  2023"/>
    <s v="D"/>
    <n v="1509204"/>
    <s v="BIF"/>
    <n v="2802.3999950000002"/>
    <n v="538.53982396970423"/>
    <s v="USD"/>
    <n v="0"/>
    <s v="9UN1085"/>
    <s v="DUSHIREHAMWE"/>
    <n v="0"/>
    <n v="0"/>
    <n v="0"/>
    <n v="0"/>
    <n v="0"/>
    <n v="0"/>
  </r>
  <r>
    <s v="OP166990"/>
    <n v="47"/>
    <d v="2023-07-01T00:00:00"/>
    <d v="2023-07-31T00:00:00"/>
    <m/>
    <x v="3"/>
    <s v="O.3.1"/>
    <s v="Laptops"/>
    <s v="D"/>
    <n v="2750000"/>
    <s v="BIF"/>
    <n v="2802.3999950000002"/>
    <n v="981.30174311536848"/>
    <s v="USD"/>
    <n v="0"/>
    <s v="9UN1085"/>
    <s v="DUSHIREHAMWE"/>
    <n v="0"/>
    <n v="0"/>
    <n v="0"/>
    <n v="0"/>
    <n v="0"/>
    <n v="0"/>
  </r>
  <r>
    <s v="OP166991"/>
    <n v="48"/>
    <d v="2023-07-01T00:00:00"/>
    <d v="2023-07-31T00:00:00"/>
    <m/>
    <x v="3"/>
    <s v="O.3.2"/>
    <s v="Printer"/>
    <s v="D"/>
    <n v="1100000"/>
    <s v="BIF"/>
    <n v="2802.3999950000002"/>
    <n v="392.52069724614739"/>
    <s v="USD"/>
    <n v="0"/>
    <s v="9UN1085"/>
    <s v="DUSHIREHAMWE"/>
    <n v="0"/>
    <n v="0"/>
    <n v="0"/>
    <n v="0"/>
    <n v="0"/>
    <n v="0"/>
  </r>
  <r>
    <s v="OP166987"/>
    <n v="49"/>
    <d v="2023-07-01T00:00:00"/>
    <d v="2023-07-07T00:00:00"/>
    <m/>
    <x v="3"/>
    <s v="O.3.3"/>
    <s v="Bujumbura office rent for July 2023"/>
    <s v="D"/>
    <n v="200000"/>
    <s v="BIF"/>
    <n v="2802.3999950000002"/>
    <n v="71.367399499299523"/>
    <s v="USD"/>
    <n v="0"/>
    <s v="9UN1085"/>
    <s v="DUSHIREHAMWE"/>
    <n v="0"/>
    <n v="0"/>
    <n v="0"/>
    <n v="0"/>
    <n v="0"/>
    <n v="0"/>
  </r>
  <r>
    <s v="OP166987"/>
    <n v="49"/>
    <d v="2023-07-01T00:00:00"/>
    <d v="2023-07-07T00:00:00"/>
    <m/>
    <x v="3"/>
    <s v="O.3.5"/>
    <s v="Telephone fixed  communication for june 2023"/>
    <s v="D"/>
    <n v="30000"/>
    <s v="BIF"/>
    <n v="2802.3999950000002"/>
    <n v="10.705109924894929"/>
    <s v="USD"/>
    <n v="0"/>
    <s v="9UN1085"/>
    <s v="DUSHIREHAMWE"/>
    <n v="0"/>
    <n v="0"/>
    <n v="0"/>
    <n v="0"/>
    <n v="0"/>
    <n v="0"/>
  </r>
  <r>
    <s v="OP166987"/>
    <n v="49"/>
    <d v="2023-07-01T00:00:00"/>
    <d v="2023-07-07T00:00:00"/>
    <m/>
    <x v="3"/>
    <s v="O.3.6"/>
    <s v="Internet for July 2023"/>
    <s v="D"/>
    <n v="70000"/>
    <s v="BIF"/>
    <n v="2802.3999950000002"/>
    <n v="24.978589824754835"/>
    <s v="USD"/>
    <n v="0"/>
    <s v="9UN1085"/>
    <s v="DUSHIREHAMWE"/>
    <n v="0"/>
    <n v="0"/>
    <n v="0"/>
    <n v="0"/>
    <n v="0"/>
    <n v="0"/>
  </r>
  <r>
    <s v="OP166987"/>
    <n v="49"/>
    <d v="2023-07-01T00:00:00"/>
    <d v="2023-07-07T00:00:00"/>
    <m/>
    <x v="3"/>
    <s v="O.3.7"/>
    <s v="Maintenance equipments for July 2023"/>
    <s v="D"/>
    <n v="60000"/>
    <s v="BIF"/>
    <n v="2802.3999950000002"/>
    <n v="21.410219849789858"/>
    <s v="USD"/>
    <n v="0"/>
    <s v="9UN1085"/>
    <s v="DUSHIREHAMWE"/>
    <n v="0"/>
    <n v="0"/>
    <n v="0"/>
    <n v="0"/>
    <n v="0"/>
    <n v="0"/>
  </r>
  <r>
    <s v="OP166987"/>
    <n v="49"/>
    <d v="2023-07-01T00:00:00"/>
    <d v="2023-07-07T00:00:00"/>
    <m/>
    <x v="3"/>
    <s v="O.3.8"/>
    <s v="Guards Bujumbura office for July 2023"/>
    <s v="D"/>
    <n v="29495"/>
    <s v="BIF"/>
    <n v="2802.3999950000002"/>
    <n v="10.524907241159196"/>
    <s v="USD"/>
    <n v="0"/>
    <s v="9UN1085"/>
    <s v="DUSHIREHAMWE"/>
    <n v="0"/>
    <n v="0"/>
    <n v="0"/>
    <n v="0"/>
    <n v="0"/>
    <n v="0"/>
  </r>
  <r>
    <s v="Chq 8880783"/>
    <n v="50"/>
    <d v="2023-07-01T00:00:00"/>
    <d v="2023-07-06T00:00:00"/>
    <m/>
    <x v="3"/>
    <s v="O.3.11"/>
    <s v="Water"/>
    <s v="D"/>
    <n v="84500"/>
    <s v="BIF"/>
    <n v="2802.3999950000002"/>
    <n v="30.152726288454048"/>
    <s v="USD"/>
    <n v="0"/>
    <s v="9UN1085"/>
    <s v="DUSHIREHAMWE"/>
    <n v="0"/>
    <n v="0"/>
    <n v="0"/>
    <n v="0"/>
    <n v="0"/>
    <n v="0"/>
  </r>
  <r>
    <s v="OP 166994"/>
    <n v="51"/>
    <d v="2023-07-01T00:00:00"/>
    <d v="2023-07-28T00:00:00"/>
    <m/>
    <x v="3"/>
    <s v="O.3.4"/>
    <s v="Office Ruyigi"/>
    <s v="D"/>
    <n v="150000"/>
    <s v="BIF"/>
    <n v="2802.3999950000002"/>
    <n v="53.525549624474642"/>
    <s v="USD"/>
    <n v="0"/>
    <s v="9UN1085"/>
    <s v="DUSHIREHAMWE"/>
    <n v="0"/>
    <n v="0"/>
    <n v="0"/>
    <n v="0"/>
    <n v="0"/>
    <n v="0"/>
  </r>
  <r>
    <s v="bank statement"/>
    <n v="52"/>
    <d v="2023-07-01T00:00:00"/>
    <d v="2023-07-31T00:00:00"/>
    <m/>
    <x v="3"/>
    <s v="O.3.12"/>
    <s v="Bank Charges"/>
    <s v="D"/>
    <n v="3000"/>
    <s v="BIF"/>
    <n v="2802.3999950000002"/>
    <n v="1.0705109924894929"/>
    <s v="USD"/>
    <n v="0"/>
    <s v="9UN1085"/>
    <s v="DUSHIREHAMWE"/>
    <n v="0"/>
    <n v="0"/>
    <n v="0"/>
    <n v="0"/>
    <n v="0"/>
    <n v="0"/>
  </r>
  <r>
    <s v="OP157954"/>
    <n v="60"/>
    <d v="2023-08-01T00:00:00"/>
    <d v="2023-08-31T00:00:00"/>
    <m/>
    <x v="3"/>
    <s v="S.3.1"/>
    <s v="Executive Secretary's salary for the month of August  2023"/>
    <s v="D"/>
    <n v="382766.2"/>
    <s v="BIF"/>
    <n v="2802.3999950000002"/>
    <n v="136.58514155114392"/>
    <s v="USD"/>
    <n v="0"/>
    <s v="9UN1085"/>
    <s v="DUSHIREHAMWE"/>
    <n v="0"/>
    <n v="0"/>
    <n v="0"/>
    <n v="0"/>
    <n v="0"/>
    <n v="0"/>
  </r>
  <r>
    <s v="OP157954"/>
    <n v="60"/>
    <d v="2023-08-01T00:00:00"/>
    <d v="2023-08-31T00:00:00"/>
    <m/>
    <x v="3"/>
    <s v="S.3.2"/>
    <s v="Human Resources and Administration Officer's salary for the month of August  2023"/>
    <s v="D"/>
    <n v="113992.3"/>
    <s v="BIF"/>
    <n v="2802.3999950000002"/>
    <n v="40.676670069720004"/>
    <s v="USD"/>
    <n v="0"/>
    <s v="9UN1085"/>
    <s v="DUSHIREHAMWE"/>
    <n v="0"/>
    <n v="0"/>
    <n v="0"/>
    <n v="0"/>
    <n v="0"/>
    <n v="0"/>
  </r>
  <r>
    <s v="OP157954"/>
    <n v="60"/>
    <d v="2023-08-01T00:00:00"/>
    <d v="2023-08-31T00:00:00"/>
    <m/>
    <x v="3"/>
    <s v="S.3.3"/>
    <s v="Finance Officer's salary for the month of August 2023"/>
    <s v="D"/>
    <n v="183146.6"/>
    <s v="BIF"/>
    <n v="2802.3999950000002"/>
    <n v="65.353482845692056"/>
    <s v="USD"/>
    <n v="0"/>
    <s v="9UN1085"/>
    <s v="DUSHIREHAMWE"/>
    <n v="0"/>
    <n v="0"/>
    <n v="0"/>
    <n v="0"/>
    <n v="0"/>
    <n v="0"/>
  </r>
  <r>
    <s v="OP157954"/>
    <n v="60"/>
    <d v="2023-08-01T00:00:00"/>
    <d v="2023-08-31T00:00:00"/>
    <m/>
    <x v="3"/>
    <s v="S.3.4"/>
    <s v="Administrative and Financial Assistant's salary for the month of August  2023"/>
    <s v="D"/>
    <n v="133403.6"/>
    <s v="BIF"/>
    <n v="2802.3999950000002"/>
    <n v="47.60334007922377"/>
    <s v="USD"/>
    <n v="0"/>
    <s v="9UN1085"/>
    <s v="DUSHIREHAMWE"/>
    <n v="0"/>
    <n v="0"/>
    <n v="0"/>
    <n v="0"/>
    <n v="0"/>
    <n v="0"/>
  </r>
  <r>
    <s v="OP157954"/>
    <n v="60"/>
    <d v="2023-08-01T00:00:00"/>
    <d v="2023-08-31T00:00:00"/>
    <m/>
    <x v="3"/>
    <s v="S.3.5"/>
    <s v="Driver's salary for August   2023"/>
    <s v="D"/>
    <n v="345468.5"/>
    <s v="BIF"/>
    <n v="2802.3999950000002"/>
    <n v="123.27594226961878"/>
    <s v="USD"/>
    <n v="0"/>
    <s v="9UN1085"/>
    <s v="DUSHIREHAMWE"/>
    <n v="0"/>
    <n v="0"/>
    <n v="0"/>
    <n v="0"/>
    <n v="0"/>
    <n v="0"/>
  </r>
  <r>
    <s v="OP157954"/>
    <n v="60"/>
    <d v="2023-08-01T00:00:00"/>
    <d v="2023-08-31T00:00:00"/>
    <m/>
    <x v="3"/>
    <s v="S.3.6"/>
    <s v="Project coordinator's salary for August   2023"/>
    <s v="D"/>
    <n v="1509204"/>
    <s v="BIF"/>
    <n v="2802.3999950000002"/>
    <n v="538.53982396970423"/>
    <s v="USD"/>
    <n v="0"/>
    <s v="9UN1085"/>
    <s v="DUSHIREHAMWE"/>
    <n v="0"/>
    <n v="0"/>
    <n v="0"/>
    <n v="0"/>
    <n v="0"/>
    <n v="0"/>
  </r>
  <r>
    <s v="OP157955"/>
    <n v="61"/>
    <d v="2023-08-01T00:00:00"/>
    <d v="2023-08-31T00:00:00"/>
    <m/>
    <x v="3"/>
    <s v="O.3.3"/>
    <s v="Bujumbura office rent for August 2023"/>
    <s v="D"/>
    <n v="200000"/>
    <s v="BIF"/>
    <n v="2802.3999950000002"/>
    <n v="71.367399499299523"/>
    <s v="USD"/>
    <n v="0"/>
    <s v="9UN1085"/>
    <s v="DUSHIREHAMWE"/>
    <n v="0"/>
    <n v="0"/>
    <n v="0"/>
    <n v="0"/>
    <n v="0"/>
    <n v="0"/>
  </r>
  <r>
    <s v="OP157955"/>
    <n v="61"/>
    <d v="2023-08-01T00:00:00"/>
    <d v="2023-08-31T00:00:00"/>
    <m/>
    <x v="3"/>
    <s v="O.3.5"/>
    <s v="Telephone fixed  communication for July 2023"/>
    <s v="D"/>
    <n v="30000"/>
    <s v="BIF"/>
    <n v="2802.3999950000002"/>
    <n v="10.705109924894929"/>
    <s v="USD"/>
    <n v="0"/>
    <s v="9UN1085"/>
    <s v="DUSHIREHAMWE"/>
    <n v="0"/>
    <n v="0"/>
    <n v="0"/>
    <n v="0"/>
    <n v="0"/>
    <n v="0"/>
  </r>
  <r>
    <s v="OP157955"/>
    <n v="61"/>
    <d v="2023-08-01T00:00:00"/>
    <d v="2023-08-31T00:00:00"/>
    <m/>
    <x v="3"/>
    <s v="O.3.6"/>
    <s v="Internet for August  2023"/>
    <s v="D"/>
    <n v="70000"/>
    <s v="BIF"/>
    <n v="2802.3999950000002"/>
    <n v="24.978589824754835"/>
    <s v="USD"/>
    <n v="0"/>
    <s v="9UN1085"/>
    <s v="DUSHIREHAMWE"/>
    <n v="0"/>
    <n v="0"/>
    <n v="0"/>
    <n v="0"/>
    <n v="0"/>
    <n v="0"/>
  </r>
  <r>
    <s v="OP157955"/>
    <n v="61"/>
    <d v="2023-08-01T00:00:00"/>
    <d v="2023-08-31T00:00:00"/>
    <m/>
    <x v="3"/>
    <s v="O.3.7"/>
    <s v="Maintenance equipments for August  2023"/>
    <s v="D"/>
    <n v="60000"/>
    <s v="BIF"/>
    <n v="2802.3999950000002"/>
    <n v="21.410219849789858"/>
    <s v="USD"/>
    <n v="0"/>
    <s v="9UN1085"/>
    <s v="DUSHIREHAMWE"/>
    <n v="0"/>
    <n v="0"/>
    <n v="0"/>
    <n v="0"/>
    <n v="0"/>
    <n v="0"/>
  </r>
  <r>
    <s v="OP157955"/>
    <n v="61"/>
    <d v="2023-08-01T00:00:00"/>
    <d v="2023-08-31T00:00:00"/>
    <m/>
    <x v="3"/>
    <s v="O.3.8"/>
    <s v="Guards Bujumbura office for August  2023"/>
    <s v="D"/>
    <n v="29495"/>
    <s v="BIF"/>
    <n v="2802.3999950000002"/>
    <n v="10.524907241159196"/>
    <s v="USD"/>
    <n v="0"/>
    <s v="9UN1085"/>
    <s v="DUSHIREHAMWE"/>
    <n v="0"/>
    <n v="0"/>
    <n v="0"/>
    <n v="0"/>
    <n v="0"/>
    <n v="0"/>
  </r>
  <r>
    <s v="OP157953"/>
    <n v="62"/>
    <d v="2023-08-01T00:00:00"/>
    <d v="2023-08-31T00:00:00"/>
    <m/>
    <x v="3"/>
    <s v="O.3.4"/>
    <s v="Office Ruyigi"/>
    <s v="D"/>
    <n v="150000"/>
    <s v="BIF"/>
    <n v="2802.3999950000002"/>
    <n v="53.525549624474642"/>
    <s v="USD"/>
    <n v="0"/>
    <s v="9UN1085"/>
    <s v="DUSHIREHAMWE"/>
    <n v="0"/>
    <n v="0"/>
    <n v="0"/>
    <n v="0"/>
    <n v="0"/>
    <n v="0"/>
  </r>
  <r>
    <s v="OP157957"/>
    <n v="63"/>
    <d v="2023-08-01T00:00:00"/>
    <d v="2023-08-31T00:00:00"/>
    <m/>
    <x v="3"/>
    <s v="O.3.9"/>
    <s v="Guards Ruyigi"/>
    <s v="D"/>
    <n v="133958"/>
    <s v="BIF"/>
    <n v="2802.3999950000002"/>
    <n v="47.801170510635828"/>
    <s v="USD"/>
    <n v="0"/>
    <s v="9UN1085"/>
    <s v="DUSHIREHAMWE"/>
    <n v="0"/>
    <n v="0"/>
    <n v="0"/>
    <n v="0"/>
    <n v="0"/>
    <n v="0"/>
  </r>
  <r>
    <s v="OP157958"/>
    <n v="64"/>
    <d v="2023-08-01T00:00:00"/>
    <d v="2023-08-31T00:00:00"/>
    <m/>
    <x v="3"/>
    <s v="O.3.9"/>
    <s v="Guards Ruyigi"/>
    <s v="D"/>
    <n v="16042"/>
    <s v="BIF"/>
    <n v="2802.3999950000002"/>
    <n v="5.7243791138388147"/>
    <s v="USD"/>
    <n v="0"/>
    <s v="9UN1085"/>
    <s v="DUSHIREHAMWE"/>
    <n v="0"/>
    <n v="0"/>
    <n v="0"/>
    <n v="0"/>
    <n v="0"/>
    <n v="0"/>
  </r>
  <r>
    <s v="Chq 8880783"/>
    <n v="65"/>
    <d v="2023-08-01T00:00:00"/>
    <d v="2023-07-06T00:00:00"/>
    <m/>
    <x v="3"/>
    <s v="O.3.11"/>
    <s v="Water"/>
    <s v="D"/>
    <n v="91000"/>
    <s v="BIF"/>
    <n v="2802.3999950000002"/>
    <n v="32.472166772181282"/>
    <s v="USD"/>
    <n v="0"/>
    <s v="9UN1085"/>
    <s v="DUSHIREHAMWE"/>
    <n v="0"/>
    <n v="0"/>
    <n v="0"/>
    <n v="0"/>
    <n v="0"/>
    <n v="0"/>
  </r>
  <r>
    <s v="bank statement"/>
    <n v="67"/>
    <d v="2023-08-01T00:00:00"/>
    <d v="2023-08-31T00:00:00"/>
    <m/>
    <x v="3"/>
    <s v="O.3.12"/>
    <s v="Bank Charges"/>
    <s v="D"/>
    <n v="3000"/>
    <s v="BIF"/>
    <n v="2802.3999950000002"/>
    <n v="1.0705109924894929"/>
    <s v="USD"/>
    <n v="0"/>
    <s v="9UN1085"/>
    <s v="DUSHIREHAMWE"/>
    <n v="0"/>
    <n v="0"/>
    <n v="0"/>
    <n v="0"/>
    <n v="0"/>
    <n v="0"/>
  </r>
  <r>
    <s v="OP157974"/>
    <n v="86"/>
    <d v="2023-09-01T00:00:00"/>
    <d v="2023-10-05T00:00:00"/>
    <m/>
    <x v="3"/>
    <s v="S.3.1"/>
    <s v="Executive Secretary's salary for the month of September  2023"/>
    <s v="D"/>
    <n v="382766.2"/>
    <s v="BIF"/>
    <n v="2802.3999950000002"/>
    <n v="136.58514155114392"/>
    <s v="USD"/>
    <n v="0"/>
    <s v="9UN1085"/>
    <s v="DUSHIREHAMWE"/>
    <n v="0"/>
    <n v="0"/>
    <n v="0"/>
    <n v="0"/>
    <n v="0"/>
    <n v="0"/>
  </r>
  <r>
    <s v="OP157974"/>
    <n v="86"/>
    <d v="2023-09-01T00:00:00"/>
    <d v="2023-10-05T00:00:00"/>
    <m/>
    <x v="3"/>
    <s v="S.3.2"/>
    <s v="Human Resources and Administration Officer's salary for the month of September  2023"/>
    <s v="D"/>
    <n v="113992.3"/>
    <s v="BIF"/>
    <n v="2802.3999950000002"/>
    <n v="40.676670069720004"/>
    <s v="USD"/>
    <n v="0"/>
    <s v="9UN1085"/>
    <s v="DUSHIREHAMWE"/>
    <n v="0"/>
    <n v="0"/>
    <n v="0"/>
    <n v="0"/>
    <n v="0"/>
    <n v="0"/>
  </r>
  <r>
    <s v="OP157974"/>
    <n v="86"/>
    <d v="2023-09-01T00:00:00"/>
    <d v="2023-10-05T00:00:00"/>
    <m/>
    <x v="3"/>
    <s v="S.3.3"/>
    <s v="Finance Officer's salary for the month of September 2023"/>
    <s v="D"/>
    <n v="183146.6"/>
    <s v="BIF"/>
    <n v="2802.3999950000002"/>
    <n v="65.353482845692056"/>
    <s v="USD"/>
    <n v="0"/>
    <s v="9UN1085"/>
    <s v="DUSHIREHAMWE"/>
    <n v="0"/>
    <n v="0"/>
    <n v="0"/>
    <n v="0"/>
    <n v="0"/>
    <n v="0"/>
  </r>
  <r>
    <s v="OP157974"/>
    <n v="86"/>
    <d v="2023-09-01T00:00:00"/>
    <d v="2023-10-05T00:00:00"/>
    <m/>
    <x v="3"/>
    <s v="S.3.4"/>
    <s v="Administrative and Financial Assistant's salary for the month of September  2023"/>
    <s v="D"/>
    <n v="133403.6"/>
    <s v="BIF"/>
    <n v="2802.3999950000002"/>
    <n v="47.60334007922377"/>
    <s v="USD"/>
    <n v="0"/>
    <s v="9UN1085"/>
    <s v="DUSHIREHAMWE"/>
    <n v="0"/>
    <n v="0"/>
    <n v="0"/>
    <n v="0"/>
    <n v="0"/>
    <n v="0"/>
  </r>
  <r>
    <s v="OP157974"/>
    <n v="86"/>
    <d v="2023-09-01T00:00:00"/>
    <d v="2023-10-05T00:00:00"/>
    <m/>
    <x v="3"/>
    <s v="S.3.5"/>
    <s v="Driver's salary for September   2023"/>
    <s v="D"/>
    <n v="345468.5"/>
    <s v="BIF"/>
    <n v="2802.3999950000002"/>
    <n v="123.27594226961878"/>
    <s v="USD"/>
    <n v="0"/>
    <s v="9UN1085"/>
    <s v="DUSHIREHAMWE"/>
    <n v="0"/>
    <n v="0"/>
    <n v="0"/>
    <n v="0"/>
    <n v="0"/>
    <n v="0"/>
  </r>
  <r>
    <s v="OP157974"/>
    <n v="86"/>
    <d v="2023-09-01T00:00:00"/>
    <d v="2023-10-05T00:00:00"/>
    <m/>
    <x v="3"/>
    <s v="S.3.6"/>
    <s v="Project coordinator's salary for September   2023"/>
    <s v="D"/>
    <n v="1509203"/>
    <s v="BIF"/>
    <n v="2802.3999950000002"/>
    <n v="538.5394671327067"/>
    <s v="USD"/>
    <n v="0"/>
    <s v="9UN1085"/>
    <s v="DUSHIREHAMWE"/>
    <n v="0"/>
    <n v="0"/>
    <n v="0"/>
    <n v="0"/>
    <n v="0"/>
    <n v="0"/>
  </r>
  <r>
    <s v="OP157964"/>
    <n v="87"/>
    <d v="2023-09-01T00:00:00"/>
    <d v="2023-09-19T00:00:00"/>
    <m/>
    <x v="3"/>
    <s v="O.3.3"/>
    <s v="Bujumbura office rent for September 2023"/>
    <s v="D"/>
    <n v="200000"/>
    <s v="BIF"/>
    <n v="2802.3999950000002"/>
    <n v="71.367399499299523"/>
    <s v="USD"/>
    <n v="0"/>
    <s v="9UN1085"/>
    <s v="DUSHIREHAMWE"/>
    <n v="0"/>
    <n v="0"/>
    <n v="0"/>
    <n v="0"/>
    <n v="0"/>
    <n v="0"/>
  </r>
  <r>
    <s v="OP157964"/>
    <n v="88"/>
    <d v="2023-09-01T00:00:00"/>
    <d v="2023-09-19T00:00:00"/>
    <m/>
    <x v="3"/>
    <s v="O.3.5"/>
    <s v="Telephone fixed  communication for August 2023"/>
    <s v="D"/>
    <n v="30000"/>
    <s v="BIF"/>
    <n v="2802.3999950000002"/>
    <n v="10.705109924894929"/>
    <s v="USD"/>
    <n v="0"/>
    <s v="9UN1085"/>
    <s v="DUSHIREHAMWE"/>
    <n v="0"/>
    <n v="0"/>
    <n v="0"/>
    <n v="0"/>
    <n v="0"/>
    <n v="0"/>
  </r>
  <r>
    <s v="OP157964"/>
    <n v="89"/>
    <d v="2023-09-01T00:00:00"/>
    <d v="2023-09-19T00:00:00"/>
    <m/>
    <x v="3"/>
    <s v="O.3.6"/>
    <s v="Internet for September  2023"/>
    <s v="D"/>
    <n v="90000"/>
    <s v="BIF"/>
    <n v="2802.3999950000002"/>
    <n v="32.115329774684788"/>
    <s v="USD"/>
    <n v="0"/>
    <s v="9UN1085"/>
    <s v="DUSHIREHAMWE"/>
    <n v="0"/>
    <n v="0"/>
    <n v="0"/>
    <n v="0"/>
    <n v="0"/>
    <n v="0"/>
  </r>
  <r>
    <s v="OP157964"/>
    <n v="90"/>
    <d v="2023-09-01T00:00:00"/>
    <d v="2023-09-19T00:00:00"/>
    <m/>
    <x v="3"/>
    <s v="O.3.7"/>
    <s v="Maintenance equipments for September  2023"/>
    <s v="D"/>
    <n v="60000"/>
    <s v="BIF"/>
    <n v="2802.3999950000002"/>
    <n v="21.410219849789858"/>
    <s v="USD"/>
    <n v="0"/>
    <s v="9UN1085"/>
    <s v="DUSHIREHAMWE"/>
    <n v="0"/>
    <n v="0"/>
    <n v="0"/>
    <n v="0"/>
    <n v="0"/>
    <n v="0"/>
  </r>
  <r>
    <s v="OP157964"/>
    <n v="91"/>
    <d v="2023-09-01T00:00:00"/>
    <d v="2023-09-19T00:00:00"/>
    <m/>
    <x v="3"/>
    <s v="O.3.8"/>
    <s v="Guards Bujumbura office for September  2023"/>
    <s v="D"/>
    <n v="29495"/>
    <s v="BIF"/>
    <n v="2802.3999950000002"/>
    <n v="10.524907241159196"/>
    <s v="USD"/>
    <n v="0"/>
    <s v="9UN1085"/>
    <s v="DUSHIREHAMWE"/>
    <n v="0"/>
    <n v="0"/>
    <n v="0"/>
    <n v="0"/>
    <n v="0"/>
    <n v="0"/>
  </r>
  <r>
    <s v="CHQ 8880792"/>
    <n v="92"/>
    <d v="2023-09-01T00:00:00"/>
    <d v="2023-09-01T00:00:00"/>
    <m/>
    <x v="3"/>
    <s v="O.3.11"/>
    <s v="Water"/>
    <s v="D"/>
    <n v="80500"/>
    <s v="BIF"/>
    <n v="2802.3999950000002"/>
    <n v="28.725378298468058"/>
    <s v="USD"/>
    <n v="0"/>
    <s v="9UN1085"/>
    <s v="DUSHIREHAMWE"/>
    <n v="0"/>
    <n v="0"/>
    <n v="0"/>
    <n v="0"/>
    <n v="0"/>
    <n v="0"/>
  </r>
  <r>
    <s v="CHQ 8880794"/>
    <n v="92"/>
    <d v="2023-09-01T00:00:00"/>
    <d v="2023-09-18T00:00:00"/>
    <m/>
    <x v="3"/>
    <s v="O.3.11"/>
    <s v="Water"/>
    <s v="D"/>
    <n v="70500"/>
    <s v="BIF"/>
    <n v="2802.3999950000002"/>
    <n v="25.157008323503081"/>
    <s v="USD"/>
    <n v="0"/>
    <s v="9UN1085"/>
    <s v="DUSHIREHAMWE"/>
    <n v="0"/>
    <n v="0"/>
    <n v="0"/>
    <n v="0"/>
    <n v="0"/>
    <n v="0"/>
  </r>
  <r>
    <s v="OP157975"/>
    <n v="93"/>
    <d v="2023-09-01T00:00:00"/>
    <d v="2023-10-05T00:00:00"/>
    <m/>
    <x v="3"/>
    <s v="O.3.4"/>
    <s v="Office Ruyigi for September  2023"/>
    <s v="D"/>
    <n v="150000"/>
    <s v="BIF"/>
    <n v="2802.3999950000002"/>
    <n v="53.525549624474642"/>
    <s v="USD"/>
    <n v="0"/>
    <s v="9UN1085"/>
    <s v="DUSHIREHAMWE"/>
    <n v="0"/>
    <n v="0"/>
    <n v="0"/>
    <n v="0"/>
    <n v="0"/>
    <n v="0"/>
  </r>
  <r>
    <s v="OP170851"/>
    <n v="94"/>
    <d v="2023-09-01T00:00:00"/>
    <d v="2023-10-05T00:00:00"/>
    <m/>
    <x v="3"/>
    <s v="O.3.9"/>
    <s v="Guards Ruyigi for September  2023"/>
    <s v="D"/>
    <n v="93958"/>
    <s v="BIF"/>
    <n v="2802.3999950000002"/>
    <n v="33.52769061077592"/>
    <s v="USD"/>
    <n v="0"/>
    <s v="9UN1085"/>
    <s v="DUSHIREHAMWE"/>
    <n v="0"/>
    <n v="0"/>
    <n v="0"/>
    <n v="0"/>
    <n v="0"/>
    <n v="0"/>
  </r>
  <r>
    <s v="OP170852"/>
    <n v="95"/>
    <d v="2023-09-01T00:00:00"/>
    <d v="2023-10-05T00:00:00"/>
    <m/>
    <x v="3"/>
    <s v="O.3.9"/>
    <s v="Guards Ruyigi for September  2023"/>
    <s v="D"/>
    <n v="16042"/>
    <s v="BIF"/>
    <n v="2802.3999950000002"/>
    <n v="5.7243791138388147"/>
    <s v="USD"/>
    <n v="0"/>
    <s v="9UN1085"/>
    <s v="DUSHIREHAMWE"/>
    <n v="0"/>
    <n v="0"/>
    <n v="0"/>
    <n v="0"/>
    <n v="0"/>
    <n v="0"/>
  </r>
  <r>
    <s v="OP170853"/>
    <n v="96"/>
    <d v="2023-09-01T00:00:00"/>
    <d v="2023-10-05T00:00:00"/>
    <m/>
    <x v="3"/>
    <s v="O.3.9"/>
    <s v="Guards Ruyigi for September  2023"/>
    <s v="D"/>
    <n v="40000"/>
    <s v="BIF"/>
    <n v="2802.3999950000002"/>
    <n v="14.273479899859904"/>
    <s v="USD"/>
    <n v="0"/>
    <s v="9UN1085"/>
    <s v="DUSHIREHAMWE"/>
    <n v="0"/>
    <n v="0"/>
    <n v="0"/>
    <n v="0"/>
    <n v="0"/>
    <n v="0"/>
  </r>
  <r>
    <s v="bank statement"/>
    <n v="97"/>
    <d v="2023-09-01T00:00:00"/>
    <d v="2023-09-30T00:00:00"/>
    <m/>
    <x v="3"/>
    <s v="O.3.12"/>
    <s v="Bank Charges"/>
    <s v="D"/>
    <n v="9900"/>
    <s v="BIF"/>
    <n v="2802.3999950000002"/>
    <n v="3.5326862752153265"/>
    <s v="USD"/>
    <n v="0"/>
    <s v="9UN1085"/>
    <s v="DUSHIREHAMWE"/>
    <n v="0"/>
    <n v="0"/>
    <n v="0"/>
    <n v="0"/>
    <n v="0"/>
    <n v="0"/>
  </r>
  <r>
    <s v="B  FACT3056504"/>
    <n v="5197"/>
    <s v="2024/004"/>
    <d v="2023-07-20T00:00:00"/>
    <n v="3420"/>
    <x v="1"/>
    <m/>
    <s v="03.02.09.UNLandline Payment_June2023"/>
    <s v="D"/>
    <n v="145636"/>
    <s v="BIF"/>
    <n v="2.8078499999999998E-4"/>
    <n v="51.91"/>
    <s v="USD"/>
    <n v="40.89"/>
    <s v="9UN1085"/>
    <s v="Christian Aid"/>
    <s v="I2281"/>
    <n v="0"/>
    <s v="DND"/>
    <d v="2023-08-04T00:00:00"/>
    <d v="2023-08-07T00:00:00"/>
    <s v="TKA"/>
  </r>
  <r>
    <s v="B Bank Charges_BIF Account"/>
    <n v="5234"/>
    <s v="2024/004"/>
    <d v="2023-07-31T00:00:00"/>
    <n v="3600"/>
    <x v="1"/>
    <m/>
    <s v="03.02.14.UNBank charges _ BIF Account_July23"/>
    <s v="D"/>
    <n v="50500"/>
    <s v="BIF"/>
    <n v="2.8078499999999998E-4"/>
    <n v="18"/>
    <s v="USD"/>
    <n v="14.18"/>
    <s v="9UN1085"/>
    <s v="Christian Aid"/>
    <s v="I2281"/>
    <n v="0"/>
    <s v="DND"/>
    <d v="2023-08-07T00:00:00"/>
    <d v="2023-08-07T00:00:00"/>
    <s v="TKA"/>
  </r>
  <r>
    <s v="B CHQ0003288"/>
    <n v="5259"/>
    <s v="2024/004"/>
    <d v="2023-07-18T00:00:00"/>
    <n v="3420"/>
    <x v="1"/>
    <m/>
    <s v="03.02.09.UN-Airtime for Zephirin&amp;Fabrice_June2023"/>
    <s v="D"/>
    <n v="50000"/>
    <s v="BIF"/>
    <n v="2.8078499999999998E-4"/>
    <n v="17.82"/>
    <s v="USD"/>
    <n v="14.04"/>
    <s v="9UN1085"/>
    <s v="Christian Aid"/>
    <s v="I2281"/>
    <n v="0"/>
    <s v="CBU"/>
    <d v="2023-08-04T00:00:00"/>
    <d v="2023-08-07T00:00:00"/>
    <s v="TKA"/>
  </r>
  <r>
    <s v="B CHQ0003289"/>
    <n v="5180"/>
    <s v="2024/004"/>
    <d v="2023-07-18T00:00:00"/>
    <n v="3420"/>
    <x v="1"/>
    <m/>
    <s v="03.02.09.UN-Airtime for Zephirin&amp;Fabrice_July2023"/>
    <s v="D"/>
    <n v="50000"/>
    <s v="BIF"/>
    <n v="2.8078499999999998E-4"/>
    <n v="17.82"/>
    <s v="USD"/>
    <n v="14.04"/>
    <s v="9UN1085"/>
    <s v="Christian Aid"/>
    <s v="I2281"/>
    <n v="0"/>
    <s v="DND"/>
    <d v="2023-08-04T00:00:00"/>
    <d v="2023-08-04T00:00:00"/>
    <s v="TKA"/>
  </r>
  <r>
    <s v="B CHQ0003302/0003303"/>
    <n v="5214"/>
    <s v="2024/004"/>
    <d v="2023-07-28T00:00:00"/>
    <n v="3350"/>
    <x v="4"/>
    <m/>
    <s v="03.02.11.UN-Fuel Vehicle E613AIT_107.15L"/>
    <s v="D"/>
    <n v="406700"/>
    <s v="BIF"/>
    <n v="2.8078499999999998E-4"/>
    <n v="144.97"/>
    <s v="USD"/>
    <n v="114.2"/>
    <s v="9UN1085"/>
    <s v="Christian Aid"/>
    <s v="I2281"/>
    <n v="0"/>
    <s v="DND"/>
    <d v="2023-08-07T00:00:00"/>
    <d v="2023-08-07T00:00:00"/>
    <s v="TKA"/>
  </r>
  <r>
    <s v="B CHQ0003302/0003303"/>
    <n v="5214"/>
    <s v="2024/004"/>
    <d v="2023-07-28T00:00:00"/>
    <n v="3350"/>
    <x v="4"/>
    <m/>
    <s v="03.02.11.UN-Fuel Vehicle E707AIT_39L"/>
    <s v="D"/>
    <n v="148000"/>
    <s v="BIF"/>
    <n v="2.8078499999999998E-4"/>
    <n v="52.76"/>
    <s v="USD"/>
    <n v="41.56"/>
    <s v="9UN1085"/>
    <s v="Christian Aid"/>
    <s v="I2281"/>
    <n v="0"/>
    <s v="DND"/>
    <d v="2023-08-07T00:00:00"/>
    <d v="2023-08-07T00:00:00"/>
    <s v="TKA"/>
  </r>
  <r>
    <s v="B CHQ0003356"/>
    <n v="5194"/>
    <s v="2024/004"/>
    <d v="2023-07-18T00:00:00"/>
    <n v="3490"/>
    <x v="1"/>
    <m/>
    <s v="03.02.08.UN-office supplies"/>
    <s v="D"/>
    <n v="166400"/>
    <s v="BIF"/>
    <n v="2.8078499999999998E-4"/>
    <n v="59.31"/>
    <s v="USD"/>
    <n v="46.72"/>
    <s v="9UN1085"/>
    <s v="Christian Aid"/>
    <s v="I2281"/>
    <n v="0"/>
    <s v="DND"/>
    <d v="2023-08-04T00:00:00"/>
    <d v="2023-08-07T00:00:00"/>
    <s v="TKA"/>
  </r>
  <r>
    <s v="B CV1037"/>
    <n v="5252"/>
    <s v="2024/004"/>
    <d v="2023-07-10T00:00:00"/>
    <n v="3490"/>
    <x v="1"/>
    <m/>
    <s v="03.02.06.UNOffice supplies"/>
    <s v="D"/>
    <n v="42000"/>
    <s v="BIF"/>
    <n v="2.8078499999999998E-4"/>
    <n v="14.97"/>
    <s v="USD"/>
    <n v="11.79"/>
    <s v="9UN1085"/>
    <s v="Christian Aid"/>
    <s v="I2281"/>
    <n v="0"/>
    <s v="DND"/>
    <d v="2023-08-07T00:00:00"/>
    <d v="2023-08-07T00:00:00"/>
    <s v="TKA"/>
  </r>
  <r>
    <s v="B CV1050"/>
    <n v="5275"/>
    <s v="2024/004"/>
    <d v="2023-07-17T00:00:00"/>
    <n v="3460"/>
    <x v="1"/>
    <m/>
    <s v="03.02.10.UNLabor fees_Toilets Repairs"/>
    <s v="D"/>
    <n v="80000"/>
    <s v="BIF"/>
    <n v="2.8078499999999998E-4"/>
    <n v="28.52"/>
    <s v="USD"/>
    <n v="22.46"/>
    <s v="9UN1085"/>
    <s v="Christian Aid"/>
    <s v="I2281"/>
    <n v="0"/>
    <s v="DND"/>
    <d v="2023-08-07T00:00:00"/>
    <d v="2023-08-07T00:00:00"/>
    <s v="TKA"/>
  </r>
  <r>
    <s v="B CV1053"/>
    <n v="5277"/>
    <s v="2024/004"/>
    <d v="2023-07-17T00:00:00"/>
    <n v="3490"/>
    <x v="1"/>
    <m/>
    <s v="03.02.06.UNOffice supplies"/>
    <s v="D"/>
    <n v="54000"/>
    <s v="BIF"/>
    <n v="2.8078499999999998E-4"/>
    <n v="19.25"/>
    <s v="USD"/>
    <n v="15.16"/>
    <s v="9UN1085"/>
    <s v="Christian Aid"/>
    <s v="I2281"/>
    <n v="0"/>
    <s v="DND"/>
    <d v="2023-08-07T00:00:00"/>
    <d v="2023-08-07T00:00:00"/>
    <s v="TKA"/>
  </r>
  <r>
    <s v="B CV1060"/>
    <n v="5286"/>
    <s v="2024/004"/>
    <d v="2023-07-21T00:00:00"/>
    <n v="3340"/>
    <x v="4"/>
    <m/>
    <s v="03.02.11.UNVehicle wash_C787A IT"/>
    <s v="D"/>
    <n v="10000"/>
    <s v="BIF"/>
    <n v="2.8078499999999998E-4"/>
    <n v="3.56"/>
    <s v="USD"/>
    <n v="2.81"/>
    <s v="9UN1085"/>
    <s v="Christian Aid"/>
    <s v="I2281"/>
    <n v="0"/>
    <s v="DND"/>
    <d v="2023-08-07T00:00:00"/>
    <d v="2023-08-07T00:00:00"/>
    <s v="TKA"/>
  </r>
  <r>
    <s v="B CV1073"/>
    <n v="5300"/>
    <s v="2024/004"/>
    <d v="2023-07-31T00:00:00"/>
    <n v="3490"/>
    <x v="1"/>
    <m/>
    <s v="03.02.08.UNReimbursmnt_transp.for a vehicle pickUp"/>
    <s v="D"/>
    <n v="10000"/>
    <s v="BIF"/>
    <n v="2.8078499999999998E-4"/>
    <n v="3.56"/>
    <s v="USD"/>
    <n v="2.81"/>
    <s v="9UN1085"/>
    <s v="Christian Aid"/>
    <s v="I2281"/>
    <n v="0"/>
    <s v="DND"/>
    <d v="2023-08-07T00:00:00"/>
    <d v="2023-08-07T00:00:00"/>
    <s v="TKA"/>
  </r>
  <r>
    <s v="B TAR07-07-2023"/>
    <n v="5264"/>
    <s v="2024/004"/>
    <d v="2023-07-07T00:00:00"/>
    <n v="3350"/>
    <x v="4"/>
    <m/>
    <s v="03.02.11.UNFuel vehicle E613A IT- 107.86L"/>
    <s v="D"/>
    <n v="372117.5"/>
    <s v="BIF"/>
    <n v="2.8078499999999998E-4"/>
    <n v="132.63999999999999"/>
    <s v="USD"/>
    <n v="104.49"/>
    <s v="9UN1085"/>
    <s v="Christian Aid"/>
    <s v="I2281"/>
    <n v="102727"/>
    <s v="DND"/>
    <d v="2023-08-07T00:00:00"/>
    <d v="2023-08-07T00:00:00"/>
    <s v="TKA"/>
  </r>
  <r>
    <s v="BUR_SAL_2024/004"/>
    <n v="5129"/>
    <s v="2024/004"/>
    <d v="2023-07-28T00:00:00"/>
    <n v="3110"/>
    <x v="2"/>
    <m/>
    <s v="Salary"/>
    <s v="D"/>
    <n v="2110426.7999999998"/>
    <s v="BIF"/>
    <n v="3.0000099999999999E-4"/>
    <n v="752.28"/>
    <s v="USD"/>
    <n v="633.13"/>
    <s v="9UN1085"/>
    <s v="Christian Aid"/>
    <s v="I2281"/>
    <n v="102955"/>
    <s v="FHA"/>
    <d v="2023-08-02T00:00:00"/>
    <d v="2023-08-01T00:00:00"/>
    <s v="TKA"/>
  </r>
  <r>
    <s v="BUR_SAL_2024/004"/>
    <n v="5129"/>
    <s v="2024/004"/>
    <d v="2023-07-28T00:00:00"/>
    <n v="3110"/>
    <x v="2"/>
    <m/>
    <s v="Salary"/>
    <s v="D"/>
    <n v="595528.80000000005"/>
    <s v="BIF"/>
    <n v="3.0000200000000001E-4"/>
    <n v="212.28"/>
    <s v="USD"/>
    <n v="178.66"/>
    <s v="9UN1085"/>
    <s v="Christian Aid"/>
    <s v="I2281"/>
    <n v="103265"/>
    <s v="FHA"/>
    <d v="2023-08-02T00:00:00"/>
    <d v="2023-08-01T00:00:00"/>
    <s v="TKA"/>
  </r>
  <r>
    <s v="BUR_SAL_2024/004"/>
    <n v="5129"/>
    <s v="2024/004"/>
    <d v="2023-07-28T00:00:00"/>
    <n v="3110"/>
    <x v="2"/>
    <m/>
    <s v="Salary"/>
    <s v="D"/>
    <n v="5592445"/>
    <s v="BIF"/>
    <n v="2.9999900000000001E-4"/>
    <n v="1993.47"/>
    <s v="USD"/>
    <n v="1677.73"/>
    <s v="9UN1085"/>
    <s v="Christian Aid"/>
    <s v="I2281"/>
    <n v="117871"/>
    <s v="FHA"/>
    <d v="2023-08-02T00:00:00"/>
    <d v="2023-08-01T00:00:00"/>
    <s v="TKA"/>
  </r>
  <r>
    <s v="BUR_SAL_2024/004"/>
    <n v="5129"/>
    <s v="2024/004"/>
    <d v="2023-07-28T00:00:00"/>
    <n v="3110"/>
    <x v="2"/>
    <m/>
    <s v="Salary"/>
    <s v="D"/>
    <n v="3083644.8"/>
    <s v="BIF"/>
    <n v="2.9999900000000001E-4"/>
    <n v="1099.19"/>
    <s v="USD"/>
    <n v="925.09"/>
    <s v="9UN1085"/>
    <s v="Christian Aid"/>
    <s v="I2281"/>
    <n v="103321"/>
    <s v="FHA"/>
    <d v="2023-08-02T00:00:00"/>
    <d v="2023-08-01T00:00:00"/>
    <s v="TKA"/>
  </r>
  <r>
    <s v="BUR_SAL_2024/004"/>
    <n v="5129"/>
    <s v="2024/004"/>
    <d v="2023-07-28T00:00:00"/>
    <n v="3110"/>
    <x v="2"/>
    <m/>
    <s v="Salary"/>
    <s v="D"/>
    <n v="598983.44999999995"/>
    <s v="BIF"/>
    <n v="3.0000799999999999E-4"/>
    <n v="213.51"/>
    <s v="USD"/>
    <n v="179.7"/>
    <s v="9UN1085"/>
    <s v="Christian Aid"/>
    <s v="I2281"/>
    <n v="117427"/>
    <s v="FHA"/>
    <d v="2023-08-02T00:00:00"/>
    <d v="2023-08-01T00:00:00"/>
    <s v="TKA"/>
  </r>
  <r>
    <s v="BUR_SAL_2024/004"/>
    <n v="5129"/>
    <s v="2024/004"/>
    <d v="2023-07-28T00:00:00"/>
    <n v="3110"/>
    <x v="2"/>
    <m/>
    <s v="Salary"/>
    <s v="D"/>
    <n v="3194579.2"/>
    <s v="BIF"/>
    <n v="2.9999900000000001E-4"/>
    <n v="1138.73"/>
    <s v="USD"/>
    <n v="958.37"/>
    <s v="9UN1085"/>
    <s v="Christian Aid"/>
    <s v="I2281"/>
    <n v="117872"/>
    <s v="FHA"/>
    <d v="2023-08-02T00:00:00"/>
    <d v="2023-08-01T00:00:00"/>
    <s v="TKA"/>
  </r>
  <r>
    <s v="BUR_SAL_2024/004"/>
    <n v="5129"/>
    <s v="2024/004"/>
    <d v="2023-07-28T00:00:00"/>
    <n v="3110"/>
    <x v="2"/>
    <m/>
    <s v="Salary"/>
    <s v="D"/>
    <n v="802216.5"/>
    <s v="BIF"/>
    <n v="2.9999399999999999E-4"/>
    <n v="285.95999999999998"/>
    <s v="USD"/>
    <n v="240.66"/>
    <s v="9UN1085"/>
    <s v="Christian Aid"/>
    <s v="I2281"/>
    <n v="103328"/>
    <s v="FHA"/>
    <d v="2023-08-02T00:00:00"/>
    <d v="2023-08-01T00:00:00"/>
    <s v="TKA"/>
  </r>
  <r>
    <s v="BUR_SAL_2024/004"/>
    <n v="5129"/>
    <s v="2024/004"/>
    <d v="2023-07-28T00:00:00"/>
    <n v="3110"/>
    <x v="2"/>
    <m/>
    <s v="Salary"/>
    <s v="D"/>
    <n v="684495.8"/>
    <s v="BIF"/>
    <n v="3.0000200000000001E-4"/>
    <n v="243.99"/>
    <s v="USD"/>
    <n v="205.35"/>
    <s v="9UN1085"/>
    <s v="Christian Aid"/>
    <s v="I2281"/>
    <n v="117293"/>
    <s v="FHA"/>
    <d v="2023-08-02T00:00:00"/>
    <d v="2023-08-01T00:00:00"/>
    <s v="TKA"/>
  </r>
  <r>
    <s v="BUR_SAL_2024/004"/>
    <n v="5129"/>
    <s v="2024/004"/>
    <d v="2023-07-28T00:00:00"/>
    <n v="3120"/>
    <x v="2"/>
    <m/>
    <s v="INSS"/>
    <s v="D"/>
    <n v="4410"/>
    <s v="BIF"/>
    <n v="2.9932E-4"/>
    <n v="1.57"/>
    <s v="USD"/>
    <n v="1.32"/>
    <s v="9UN1085"/>
    <s v="Christian Aid"/>
    <s v="I2281"/>
    <n v="103265"/>
    <s v="FHA"/>
    <d v="2023-08-02T00:00:00"/>
    <d v="2023-08-01T00:00:00"/>
    <s v="TKA"/>
  </r>
  <r>
    <s v="BUR_SAL_2024/004"/>
    <n v="5129"/>
    <s v="2024/004"/>
    <d v="2023-07-28T00:00:00"/>
    <n v="3120"/>
    <x v="2"/>
    <m/>
    <s v="INSS"/>
    <s v="D"/>
    <n v="29400"/>
    <s v="BIF"/>
    <n v="2.9999999999999997E-4"/>
    <n v="10.48"/>
    <s v="USD"/>
    <n v="8.82"/>
    <s v="9UN1085"/>
    <s v="Christian Aid"/>
    <s v="I2281"/>
    <n v="117871"/>
    <s v="FHA"/>
    <d v="2023-08-02T00:00:00"/>
    <d v="2023-08-01T00:00:00"/>
    <s v="TKA"/>
  </r>
  <r>
    <s v="BUR_SAL_2024/004"/>
    <n v="5129"/>
    <s v="2024/004"/>
    <d v="2023-07-28T00:00:00"/>
    <n v="3120"/>
    <x v="2"/>
    <m/>
    <s v="INSS"/>
    <s v="D"/>
    <n v="23520"/>
    <s v="BIF"/>
    <n v="3.0016999999999999E-4"/>
    <n v="8.3800000000000008"/>
    <s v="USD"/>
    <n v="7.06"/>
    <s v="9UN1085"/>
    <s v="Christian Aid"/>
    <s v="I2281"/>
    <n v="103321"/>
    <s v="FHA"/>
    <d v="2023-08-02T00:00:00"/>
    <d v="2023-08-01T00:00:00"/>
    <s v="TKA"/>
  </r>
  <r>
    <s v="BUR_SAL_2024/004"/>
    <n v="5129"/>
    <s v="2024/004"/>
    <d v="2023-07-28T00:00:00"/>
    <n v="3120"/>
    <x v="2"/>
    <m/>
    <s v="INSS"/>
    <s v="D"/>
    <n v="4410"/>
    <s v="BIF"/>
    <n v="2.9932E-4"/>
    <n v="1.57"/>
    <s v="USD"/>
    <n v="1.32"/>
    <s v="9UN1085"/>
    <s v="Christian Aid"/>
    <s v="I2281"/>
    <n v="117427"/>
    <s v="FHA"/>
    <d v="2023-08-02T00:00:00"/>
    <d v="2023-08-01T00:00:00"/>
    <s v="TKA"/>
  </r>
  <r>
    <s v="BUR_SAL_2024/004"/>
    <n v="5129"/>
    <s v="2024/004"/>
    <d v="2023-07-28T00:00:00"/>
    <n v="3120"/>
    <x v="2"/>
    <m/>
    <s v="INSS"/>
    <s v="D"/>
    <n v="23520"/>
    <s v="BIF"/>
    <n v="3.0016999999999999E-4"/>
    <n v="8.3800000000000008"/>
    <s v="USD"/>
    <n v="7.06"/>
    <s v="9UN1085"/>
    <s v="Christian Aid"/>
    <s v="I2281"/>
    <n v="117872"/>
    <s v="FHA"/>
    <d v="2023-08-02T00:00:00"/>
    <d v="2023-08-01T00:00:00"/>
    <s v="TKA"/>
  </r>
  <r>
    <s v="BUR_SAL_2024/004"/>
    <n v="5129"/>
    <s v="2024/004"/>
    <d v="2023-07-28T00:00:00"/>
    <n v="3120"/>
    <x v="2"/>
    <m/>
    <s v="INSS"/>
    <s v="D"/>
    <n v="14700"/>
    <s v="BIF"/>
    <n v="2.9999999999999997E-4"/>
    <n v="5.24"/>
    <s v="USD"/>
    <n v="4.41"/>
    <s v="9UN1085"/>
    <s v="Christian Aid"/>
    <s v="I2281"/>
    <n v="103328"/>
    <s v="FHA"/>
    <d v="2023-08-02T00:00:00"/>
    <d v="2023-08-01T00:00:00"/>
    <s v="TKA"/>
  </r>
  <r>
    <s v="BUR_SAL_2024/004"/>
    <n v="5129"/>
    <s v="2024/004"/>
    <d v="2023-07-28T00:00:00"/>
    <n v="3120"/>
    <x v="2"/>
    <m/>
    <s v="INSS"/>
    <s v="D"/>
    <n v="2940"/>
    <s v="BIF"/>
    <n v="2.9932E-4"/>
    <n v="1.05"/>
    <s v="USD"/>
    <n v="0.88"/>
    <s v="9UN1085"/>
    <s v="Christian Aid"/>
    <s v="I2281"/>
    <n v="117293"/>
    <s v="FHA"/>
    <d v="2023-08-02T00:00:00"/>
    <d v="2023-08-01T00:00:00"/>
    <s v="TKA"/>
  </r>
  <r>
    <s v="BUR_SAL_2024/004"/>
    <n v="5129"/>
    <s v="2024/004"/>
    <d v="2023-07-28T00:00:00"/>
    <n v="3130"/>
    <x v="2"/>
    <m/>
    <s v="CPF ERS"/>
    <s v="D"/>
    <n v="211042.7"/>
    <s v="BIF"/>
    <n v="2.9998699999999999E-4"/>
    <n v="75.23"/>
    <s v="USD"/>
    <n v="63.31"/>
    <s v="9UN1085"/>
    <s v="Christian Aid"/>
    <s v="I2281"/>
    <n v="102955"/>
    <s v="FHA"/>
    <d v="2023-08-02T00:00:00"/>
    <d v="2023-08-01T00:00:00"/>
    <s v="TKA"/>
  </r>
  <r>
    <s v="BUR_SAL_2024/004"/>
    <n v="5129"/>
    <s v="2024/004"/>
    <d v="2023-07-28T00:00:00"/>
    <n v="3130"/>
    <x v="2"/>
    <m/>
    <s v="CPF ERS"/>
    <s v="D"/>
    <n v="55502.85"/>
    <s v="BIF"/>
    <n v="2.9998500000000001E-4"/>
    <n v="19.78"/>
    <s v="USD"/>
    <n v="16.649999999999999"/>
    <s v="9UN1085"/>
    <s v="Christian Aid"/>
    <s v="I2281"/>
    <n v="103265"/>
    <s v="FHA"/>
    <d v="2023-08-02T00:00:00"/>
    <d v="2023-08-01T00:00:00"/>
    <s v="TKA"/>
  </r>
  <r>
    <s v="BUR_SAL_2024/004"/>
    <n v="5129"/>
    <s v="2024/004"/>
    <d v="2023-07-28T00:00:00"/>
    <n v="3130"/>
    <x v="2"/>
    <m/>
    <s v="CPF ERS"/>
    <s v="D"/>
    <n v="532244"/>
    <s v="BIF"/>
    <n v="2.9999399999999999E-4"/>
    <n v="189.72"/>
    <s v="USD"/>
    <n v="159.66999999999999"/>
    <s v="9UN1085"/>
    <s v="Christian Aid"/>
    <s v="I2281"/>
    <n v="117871"/>
    <s v="FHA"/>
    <d v="2023-08-02T00:00:00"/>
    <d v="2023-08-01T00:00:00"/>
    <s v="TKA"/>
  </r>
  <r>
    <s v="BUR_SAL_2024/004"/>
    <n v="5129"/>
    <s v="2024/004"/>
    <d v="2023-07-28T00:00:00"/>
    <n v="3130"/>
    <x v="2"/>
    <m/>
    <s v="CPF ERS"/>
    <s v="D"/>
    <n v="286764.79999999999"/>
    <s v="BIF"/>
    <n v="3.0000200000000001E-4"/>
    <n v="102.22"/>
    <s v="USD"/>
    <n v="86.03"/>
    <s v="9UN1085"/>
    <s v="Christian Aid"/>
    <s v="I2281"/>
    <n v="103321"/>
    <s v="FHA"/>
    <d v="2023-08-02T00:00:00"/>
    <d v="2023-08-01T00:00:00"/>
    <s v="TKA"/>
  </r>
  <r>
    <s v="BUR_SAL_2024/004"/>
    <n v="5129"/>
    <s v="2024/004"/>
    <d v="2023-07-28T00:00:00"/>
    <n v="3130"/>
    <x v="2"/>
    <m/>
    <s v="CPF ERS"/>
    <s v="D"/>
    <n v="55848.3"/>
    <s v="BIF"/>
    <n v="2.9992000000000002E-4"/>
    <n v="19.91"/>
    <s v="USD"/>
    <n v="16.75"/>
    <s v="9UN1085"/>
    <s v="Christian Aid"/>
    <s v="I2281"/>
    <n v="117427"/>
    <s v="FHA"/>
    <d v="2023-08-02T00:00:00"/>
    <d v="2023-08-01T00:00:00"/>
    <s v="TKA"/>
  </r>
  <r>
    <s v="BUR_SAL_2024/004"/>
    <n v="5129"/>
    <s v="2024/004"/>
    <d v="2023-07-28T00:00:00"/>
    <n v="3130"/>
    <x v="2"/>
    <m/>
    <s v="CPF ERS"/>
    <s v="D"/>
    <n v="297857.59999999998"/>
    <s v="BIF"/>
    <n v="3.0000900000000001E-4"/>
    <n v="106.17"/>
    <s v="USD"/>
    <n v="89.36"/>
    <s v="9UN1085"/>
    <s v="Christian Aid"/>
    <s v="I2281"/>
    <n v="117872"/>
    <s v="FHA"/>
    <d v="2023-08-02T00:00:00"/>
    <d v="2023-08-01T00:00:00"/>
    <s v="TKA"/>
  </r>
  <r>
    <s v="BUR_SAL_2024/004"/>
    <n v="5129"/>
    <s v="2024/004"/>
    <d v="2023-07-28T00:00:00"/>
    <n v="3130"/>
    <x v="2"/>
    <m/>
    <s v="CPF ERS"/>
    <s v="D"/>
    <n v="66721.5"/>
    <s v="BIF"/>
    <n v="3.00053E-4"/>
    <n v="23.78"/>
    <s v="USD"/>
    <n v="20.02"/>
    <s v="9UN1085"/>
    <s v="Christian Aid"/>
    <s v="I2281"/>
    <n v="103328"/>
    <s v="FHA"/>
    <d v="2023-08-02T00:00:00"/>
    <d v="2023-08-01T00:00:00"/>
    <s v="TKA"/>
  </r>
  <r>
    <s v="BUR_SAL_2024/004"/>
    <n v="5129"/>
    <s v="2024/004"/>
    <d v="2023-07-28T00:00:00"/>
    <n v="3130"/>
    <x v="2"/>
    <m/>
    <s v="CPF ERS"/>
    <s v="D"/>
    <n v="65749.600000000006"/>
    <s v="BIF"/>
    <n v="2.99926E-4"/>
    <n v="23.44"/>
    <s v="USD"/>
    <n v="19.72"/>
    <s v="9UN1085"/>
    <s v="Christian Aid"/>
    <s v="I2281"/>
    <n v="117293"/>
    <s v="FHA"/>
    <d v="2023-08-02T00:00:00"/>
    <d v="2023-08-01T00:00:00"/>
    <s v="TKA"/>
  </r>
  <r>
    <s v="Debit Note no_DR230319"/>
    <n v="5173"/>
    <s v="2024/004"/>
    <d v="2023-07-10T00:00:00"/>
    <n v="3170"/>
    <x v="2"/>
    <m/>
    <s v="PYt Medical Insurance _Colombe_Jul 23-Apr 24"/>
    <s v="D"/>
    <n v="236398"/>
    <s v="BIF"/>
    <n v="2.8078499999999998E-4"/>
    <n v="84.27"/>
    <s v="USD"/>
    <n v="66.38"/>
    <s v="9UN1085"/>
    <s v="Christian Aid"/>
    <s v="I2281"/>
    <n v="117427"/>
    <s v="FHA"/>
    <d v="2023-08-04T00:00:00"/>
    <d v="2023-08-04T00:00:00"/>
    <s v="TKA"/>
  </r>
  <r>
    <s v="Debit Note no_DR230350"/>
    <n v="5166"/>
    <s v="2024/004"/>
    <d v="2023-07-19T00:00:00"/>
    <n v="3170"/>
    <x v="2"/>
    <m/>
    <s v="PYt Medical Insurance stany' spouse_July 23_Apr 24"/>
    <s v="D"/>
    <n v="206865"/>
    <s v="BIF"/>
    <n v="2.8078499999999998E-4"/>
    <n v="73.739999999999995"/>
    <s v="USD"/>
    <n v="58.08"/>
    <s v="9UN1085"/>
    <s v="Christian Aid"/>
    <s v="I2281"/>
    <n v="103328"/>
    <s v="FHA"/>
    <d v="2023-08-04T00:00:00"/>
    <d v="2023-08-04T00:00:00"/>
    <s v="TKA"/>
  </r>
  <r>
    <s v=" B FACT04/2023"/>
    <n v="5396"/>
    <s v="2024/005"/>
    <d v="2023-08-22T00:00:00"/>
    <n v="3175"/>
    <x v="1"/>
    <m/>
    <s v="03.02.05.UN-CD Rent_july to sept23"/>
    <s v="D"/>
    <n v="2000000"/>
    <s v="BIF"/>
    <n v="2.7534199999999998E-4"/>
    <n v="708.62"/>
    <s v="USD"/>
    <n v="550.67999999999995"/>
    <s v="9UN1085"/>
    <s v="Christian Aid"/>
    <s v="I2281"/>
    <n v="0"/>
    <s v="DND"/>
    <d v="2023-09-06T00:00:00"/>
    <d v="2023-09-06T00:00:00"/>
    <s v="TKA"/>
  </r>
  <r>
    <s v="B Bank Charges_BIF Account"/>
    <n v="5429"/>
    <s v="2024/005"/>
    <d v="2023-08-31T00:00:00"/>
    <n v="3600"/>
    <x v="1"/>
    <m/>
    <s v="03.02.14.UN-Bank charges _ BIF Account_August2023"/>
    <s v="D"/>
    <n v="60000"/>
    <s v="BIF"/>
    <n v="2.7534199999999998E-4"/>
    <n v="21.26"/>
    <s v="USD"/>
    <n v="16.52"/>
    <s v="9UN1085"/>
    <s v="Christian Aid"/>
    <s v="I2281"/>
    <n v="0"/>
    <s v="DND"/>
    <d v="2023-09-06T00:00:00"/>
    <d v="2023-09-06T00:00:00"/>
    <s v="TKA"/>
  </r>
  <r>
    <s v="B Bank Charges_USD Account"/>
    <n v="5428"/>
    <s v="2024/005"/>
    <d v="2023-08-31T00:00:00"/>
    <n v="3600"/>
    <x v="1"/>
    <m/>
    <s v="03.02.14.UN-Bank Charges_USD Account_August2023"/>
    <s v="D"/>
    <n v="15"/>
    <s v="USD"/>
    <n v="0.77712154200000005"/>
    <n v="15"/>
    <s v="USD"/>
    <n v="11.66"/>
    <s v="9UN1085"/>
    <s v="Christian Aid"/>
    <s v="I2281"/>
    <n v="0"/>
    <s v="DND"/>
    <d v="2023-09-06T00:00:00"/>
    <d v="2023-09-06T00:00:00"/>
    <s v="TKA"/>
  </r>
  <r>
    <s v="B CHQ0003321"/>
    <n v="5367"/>
    <s v="2024/005"/>
    <d v="2023-08-10T00:00:00"/>
    <n v="3420"/>
    <x v="1"/>
    <m/>
    <s v="03.02.09.UNLandline Payment_July2023"/>
    <s v="D"/>
    <n v="147665"/>
    <s v="BIF"/>
    <n v="2.7534199999999998E-4"/>
    <n v="52.32"/>
    <s v="USD"/>
    <n v="40.659999999999997"/>
    <s v="9UN1085"/>
    <s v="Christian Aid"/>
    <s v="I2281"/>
    <n v="0"/>
    <s v="DND"/>
    <d v="2023-09-04T00:00:00"/>
    <d v="2023-09-05T00:00:00"/>
    <s v="TKA"/>
  </r>
  <r>
    <s v="B CV1083"/>
    <n v="5440"/>
    <s v="2024/005"/>
    <d v="2023-08-06T00:00:00"/>
    <n v="3490"/>
    <x v="1"/>
    <m/>
    <s v="03.02.06.UN-Office supplies"/>
    <s v="D"/>
    <n v="14000"/>
    <s v="BIF"/>
    <n v="2.7534199999999998E-4"/>
    <n v="4.96"/>
    <s v="USD"/>
    <n v="3.85"/>
    <s v="9UN1085"/>
    <s v="Christian Aid"/>
    <s v="I2281"/>
    <n v="0"/>
    <s v="DND"/>
    <d v="2023-09-06T00:00:00"/>
    <d v="2023-09-06T00:00:00"/>
    <s v="TKA"/>
  </r>
  <r>
    <s v="B CV1084"/>
    <n v="5441"/>
    <s v="2024/005"/>
    <d v="2023-08-07T00:00:00"/>
    <n v="3490"/>
    <x v="1"/>
    <m/>
    <s v="03.02.06.UN Office supplies"/>
    <s v="D"/>
    <n v="85500"/>
    <s v="BIF"/>
    <n v="2.7534199999999998E-4"/>
    <n v="30.29"/>
    <s v="USD"/>
    <n v="23.54"/>
    <s v="9UN1085"/>
    <s v="Christian Aid"/>
    <s v="I2281"/>
    <n v="0"/>
    <s v="DND"/>
    <d v="2023-09-06T00:00:00"/>
    <d v="2023-09-06T00:00:00"/>
    <s v="TKA"/>
  </r>
  <r>
    <s v="B CV1086"/>
    <n v="5443"/>
    <s v="2024/005"/>
    <d v="2023-08-11T00:00:00"/>
    <n v="3490"/>
    <x v="1"/>
    <m/>
    <s v="03.02.11.UN-Vehicle wash_E613A IT"/>
    <s v="D"/>
    <n v="10000"/>
    <s v="BIF"/>
    <n v="2.7534199999999998E-4"/>
    <n v="3.54"/>
    <s v="USD"/>
    <n v="2.75"/>
    <s v="9UN1085"/>
    <s v="Christian Aid"/>
    <s v="I2281"/>
    <n v="0"/>
    <s v="DND"/>
    <d v="2023-09-06T00:00:00"/>
    <d v="2023-09-06T00:00:00"/>
    <s v="TKA"/>
  </r>
  <r>
    <s v="B CV1087"/>
    <n v="5446"/>
    <s v="2024/005"/>
    <d v="2023-08-11T00:00:00"/>
    <n v="3490"/>
    <x v="1"/>
    <m/>
    <s v="03.02.06.UN Office supplies"/>
    <s v="D"/>
    <n v="100000"/>
    <s v="BIF"/>
    <n v="2.7534199999999998E-4"/>
    <n v="35.43"/>
    <s v="USD"/>
    <n v="27.53"/>
    <s v="9UN1085"/>
    <s v="Christian Aid"/>
    <s v="I2281"/>
    <n v="0"/>
    <s v="DND"/>
    <d v="2023-09-06T00:00:00"/>
    <d v="2023-09-06T00:00:00"/>
    <s v="TKA"/>
  </r>
  <r>
    <s v="B FACT Internet4561/4552"/>
    <n v="5387"/>
    <s v="2024/005"/>
    <d v="2023-08-09T00:00:00"/>
    <n v="3420"/>
    <x v="1"/>
    <m/>
    <s v="03.02.09.UNInternet subscription_Aug23"/>
    <s v="D"/>
    <n v="1500000"/>
    <s v="BIF"/>
    <n v="2.7534199999999998E-4"/>
    <n v="531.47"/>
    <s v="USD"/>
    <n v="413.01"/>
    <s v="9UN1085"/>
    <s v="Christian Aid"/>
    <s v="I2281"/>
    <n v="0"/>
    <s v="DND"/>
    <d v="2023-09-04T00:00:00"/>
    <d v="2023-09-06T00:00:00"/>
    <s v="TKA"/>
  </r>
  <r>
    <s v="B OFFICE RENT"/>
    <n v="5321"/>
    <s v="2024/005"/>
    <d v="2023-08-23T00:00:00"/>
    <n v="3400"/>
    <x v="1"/>
    <m/>
    <s v="03.02.04.UNOffice Rent_July to Aug23"/>
    <s v="D"/>
    <n v="2287104"/>
    <s v="BIF"/>
    <n v="2.7534199999999998E-4"/>
    <n v="810.34"/>
    <s v="USD"/>
    <n v="629.74"/>
    <s v="9UN1085"/>
    <s v="Christian Aid"/>
    <s v="I2281"/>
    <n v="0"/>
    <s v="DND"/>
    <d v="2023-09-04T00:00:00"/>
    <d v="2023-09-05T00:00:00"/>
    <s v="TKA"/>
  </r>
  <r>
    <s v="BUR_SAL_2024/005"/>
    <n v="5333"/>
    <s v="2024/005"/>
    <d v="2023-08-30T00:00:00"/>
    <n v="3130"/>
    <x v="2"/>
    <m/>
    <s v="CPF ERS"/>
    <s v="D"/>
    <n v="215215"/>
    <s v="BIF"/>
    <n v="2.9997900000000002E-4"/>
    <n v="76.25"/>
    <s v="USD"/>
    <n v="64.56"/>
    <s v="9UN1085"/>
    <s v="Christian Aid"/>
    <s v="I2281"/>
    <n v="102955"/>
    <s v="FHA"/>
    <d v="2023-09-05T00:00:00"/>
    <d v="2023-09-05T00:00:00"/>
    <s v="TKA"/>
  </r>
  <r>
    <s v="BUR_SAL_2024/005"/>
    <n v="5333"/>
    <s v="2024/005"/>
    <d v="2023-08-30T00:00:00"/>
    <n v="3130"/>
    <x v="2"/>
    <m/>
    <s v="CPF ERS"/>
    <s v="D"/>
    <n v="55502.85"/>
    <s v="BIF"/>
    <n v="2.9998500000000001E-4"/>
    <n v="19.670000000000002"/>
    <s v="USD"/>
    <n v="16.649999999999999"/>
    <s v="9UN1085"/>
    <s v="Christian Aid"/>
    <s v="I2281"/>
    <n v="103265"/>
    <s v="FHA"/>
    <d v="2023-09-05T00:00:00"/>
    <d v="2023-09-05T00:00:00"/>
    <s v="TKA"/>
  </r>
  <r>
    <s v="BUR_SAL_2024/005"/>
    <n v="5333"/>
    <s v="2024/005"/>
    <d v="2023-08-30T00:00:00"/>
    <n v="3130"/>
    <x v="2"/>
    <m/>
    <s v="CPF ERS"/>
    <s v="D"/>
    <n v="532244"/>
    <s v="BIF"/>
    <n v="2.9999399999999999E-4"/>
    <n v="188.58"/>
    <s v="USD"/>
    <n v="159.66999999999999"/>
    <s v="9UN1085"/>
    <s v="Christian Aid"/>
    <s v="I2281"/>
    <n v="117871"/>
    <s v="FHA"/>
    <d v="2023-09-05T00:00:00"/>
    <d v="2023-09-05T00:00:00"/>
    <s v="TKA"/>
  </r>
  <r>
    <s v="BUR_SAL_2024/005"/>
    <n v="5333"/>
    <s v="2024/005"/>
    <d v="2023-08-30T00:00:00"/>
    <n v="3130"/>
    <x v="2"/>
    <m/>
    <s v="CPF ERS"/>
    <s v="D"/>
    <n v="286764.79999999999"/>
    <s v="BIF"/>
    <n v="3.0000200000000001E-4"/>
    <n v="101.6"/>
    <s v="USD"/>
    <n v="86.03"/>
    <s v="9UN1085"/>
    <s v="Christian Aid"/>
    <s v="I2281"/>
    <n v="103321"/>
    <s v="FHA"/>
    <d v="2023-09-05T00:00:00"/>
    <d v="2023-09-05T00:00:00"/>
    <s v="TKA"/>
  </r>
  <r>
    <s v="BUR_SAL_2024/005"/>
    <n v="5333"/>
    <s v="2024/005"/>
    <d v="2023-08-30T00:00:00"/>
    <n v="3130"/>
    <x v="2"/>
    <m/>
    <s v="CPF ERS"/>
    <s v="D"/>
    <n v="55848.3"/>
    <s v="BIF"/>
    <n v="2.9992000000000002E-4"/>
    <n v="19.79"/>
    <s v="USD"/>
    <n v="16.75"/>
    <s v="9UN1085"/>
    <s v="Christian Aid"/>
    <s v="I2281"/>
    <n v="117427"/>
    <s v="FHA"/>
    <d v="2023-09-05T00:00:00"/>
    <d v="2023-09-05T00:00:00"/>
    <s v="TKA"/>
  </r>
  <r>
    <s v="BUR_SAL_2024/005"/>
    <n v="5333"/>
    <s v="2024/005"/>
    <d v="2023-08-30T00:00:00"/>
    <n v="3130"/>
    <x v="2"/>
    <m/>
    <s v="CPF ERS"/>
    <s v="D"/>
    <n v="297857.59999999998"/>
    <s v="BIF"/>
    <n v="3.0000900000000001E-4"/>
    <n v="105.53"/>
    <s v="USD"/>
    <n v="89.36"/>
    <s v="9UN1085"/>
    <s v="Christian Aid"/>
    <s v="I2281"/>
    <n v="117872"/>
    <s v="FHA"/>
    <d v="2023-09-05T00:00:00"/>
    <d v="2023-09-05T00:00:00"/>
    <s v="TKA"/>
  </r>
  <r>
    <s v="BUR_SAL_2024/005"/>
    <n v="5333"/>
    <s v="2024/005"/>
    <d v="2023-08-30T00:00:00"/>
    <n v="3130"/>
    <x v="2"/>
    <m/>
    <s v="CPF ERS"/>
    <s v="D"/>
    <n v="66721.5"/>
    <s v="BIF"/>
    <n v="3.00053E-4"/>
    <n v="23.64"/>
    <s v="USD"/>
    <n v="20.02"/>
    <s v="9UN1085"/>
    <s v="Christian Aid"/>
    <s v="I2281"/>
    <n v="103328"/>
    <s v="FHA"/>
    <d v="2023-09-05T00:00:00"/>
    <d v="2023-09-05T00:00:00"/>
    <s v="TKA"/>
  </r>
  <r>
    <s v="BUR_SAL_2024/005"/>
    <n v="5333"/>
    <s v="2024/005"/>
    <d v="2023-08-30T00:00:00"/>
    <n v="3130"/>
    <x v="2"/>
    <m/>
    <s v="CPF ERS"/>
    <s v="D"/>
    <n v="65749.600000000006"/>
    <s v="BIF"/>
    <n v="2.99926E-4"/>
    <n v="23.3"/>
    <s v="USD"/>
    <n v="19.72"/>
    <s v="9UN1085"/>
    <s v="Christian Aid"/>
    <s v="I2281"/>
    <n v="117293"/>
    <s v="FHA"/>
    <d v="2023-09-05T00:00:00"/>
    <d v="2023-09-05T00:00:00"/>
    <s v="TKA"/>
  </r>
  <r>
    <s v="BUR_SAL_2024/005"/>
    <n v="5333"/>
    <s v="2024/005"/>
    <d v="2023-08-30T00:00:00"/>
    <n v="3120"/>
    <x v="2"/>
    <m/>
    <s v="INSS"/>
    <s v="D"/>
    <n v="4410"/>
    <s v="BIF"/>
    <n v="2.9932E-4"/>
    <n v="1.56"/>
    <s v="USD"/>
    <n v="1.32"/>
    <s v="9UN1085"/>
    <s v="Christian Aid"/>
    <s v="I2281"/>
    <n v="103265"/>
    <s v="FHA"/>
    <d v="2023-09-05T00:00:00"/>
    <d v="2023-09-05T00:00:00"/>
    <s v="TKA"/>
  </r>
  <r>
    <s v="BUR_SAL_2024/005"/>
    <n v="5333"/>
    <s v="2024/005"/>
    <d v="2023-08-30T00:00:00"/>
    <n v="3120"/>
    <x v="2"/>
    <m/>
    <s v="INSS"/>
    <s v="D"/>
    <n v="29400"/>
    <s v="BIF"/>
    <n v="2.9999999999999997E-4"/>
    <n v="10.42"/>
    <s v="USD"/>
    <n v="8.82"/>
    <s v="9UN1085"/>
    <s v="Christian Aid"/>
    <s v="I2281"/>
    <n v="117871"/>
    <s v="FHA"/>
    <d v="2023-09-05T00:00:00"/>
    <d v="2023-09-05T00:00:00"/>
    <s v="TKA"/>
  </r>
  <r>
    <s v="BUR_SAL_2024/005"/>
    <n v="5333"/>
    <s v="2024/005"/>
    <d v="2023-08-30T00:00:00"/>
    <n v="3120"/>
    <x v="2"/>
    <m/>
    <s v="INSS"/>
    <s v="D"/>
    <n v="23520"/>
    <s v="BIF"/>
    <n v="3.0016999999999999E-4"/>
    <n v="8.33"/>
    <s v="USD"/>
    <n v="7.06"/>
    <s v="9UN1085"/>
    <s v="Christian Aid"/>
    <s v="I2281"/>
    <n v="103321"/>
    <s v="FHA"/>
    <d v="2023-09-05T00:00:00"/>
    <d v="2023-09-05T00:00:00"/>
    <s v="TKA"/>
  </r>
  <r>
    <s v="BUR_SAL_2024/005"/>
    <n v="5333"/>
    <s v="2024/005"/>
    <d v="2023-08-30T00:00:00"/>
    <n v="3120"/>
    <x v="2"/>
    <m/>
    <s v="INSS"/>
    <s v="D"/>
    <n v="4410"/>
    <s v="BIF"/>
    <n v="2.9932E-4"/>
    <n v="1.56"/>
    <s v="USD"/>
    <n v="1.32"/>
    <s v="9UN1085"/>
    <s v="Christian Aid"/>
    <s v="I2281"/>
    <n v="117427"/>
    <s v="FHA"/>
    <d v="2023-09-05T00:00:00"/>
    <d v="2023-09-05T00:00:00"/>
    <s v="TKA"/>
  </r>
  <r>
    <s v="BUR_SAL_2024/005"/>
    <n v="5333"/>
    <s v="2024/005"/>
    <d v="2023-08-30T00:00:00"/>
    <n v="3120"/>
    <x v="2"/>
    <m/>
    <s v="INSS"/>
    <s v="D"/>
    <n v="23520"/>
    <s v="BIF"/>
    <n v="3.0016999999999999E-4"/>
    <n v="8.33"/>
    <s v="USD"/>
    <n v="7.06"/>
    <s v="9UN1085"/>
    <s v="Christian Aid"/>
    <s v="I2281"/>
    <n v="117872"/>
    <s v="FHA"/>
    <d v="2023-09-05T00:00:00"/>
    <d v="2023-09-05T00:00:00"/>
    <s v="TKA"/>
  </r>
  <r>
    <s v="BUR_SAL_2024/005"/>
    <n v="5333"/>
    <s v="2024/005"/>
    <d v="2023-08-30T00:00:00"/>
    <n v="3120"/>
    <x v="2"/>
    <m/>
    <s v="INSS"/>
    <s v="D"/>
    <n v="14700"/>
    <s v="BIF"/>
    <n v="2.9999999999999997E-4"/>
    <n v="5.21"/>
    <s v="USD"/>
    <n v="4.41"/>
    <s v="9UN1085"/>
    <s v="Christian Aid"/>
    <s v="I2281"/>
    <n v="103328"/>
    <s v="FHA"/>
    <d v="2023-09-05T00:00:00"/>
    <d v="2023-09-05T00:00:00"/>
    <s v="TKA"/>
  </r>
  <r>
    <s v="BUR_SAL_2024/005"/>
    <n v="5333"/>
    <s v="2024/005"/>
    <d v="2023-08-30T00:00:00"/>
    <n v="3120"/>
    <x v="2"/>
    <m/>
    <s v="INSS"/>
    <s v="D"/>
    <n v="2940"/>
    <s v="BIF"/>
    <n v="2.9932E-4"/>
    <n v="1.04"/>
    <s v="USD"/>
    <n v="0.88"/>
    <s v="9UN1085"/>
    <s v="Christian Aid"/>
    <s v="I2281"/>
    <n v="117293"/>
    <s v="FHA"/>
    <d v="2023-09-05T00:00:00"/>
    <d v="2023-09-05T00:00:00"/>
    <s v="TKA"/>
  </r>
  <r>
    <s v="BUR_SAL_2024/005"/>
    <n v="5333"/>
    <s v="2024/005"/>
    <d v="2023-08-30T00:00:00"/>
    <n v="3110"/>
    <x v="2"/>
    <m/>
    <s v="Salary"/>
    <s v="D"/>
    <n v="2152150.2999999998"/>
    <s v="BIF"/>
    <n v="3.0000200000000001E-4"/>
    <n v="762.53"/>
    <s v="USD"/>
    <n v="645.65"/>
    <s v="9UN1085"/>
    <s v="Christian Aid"/>
    <s v="I2281"/>
    <n v="102955"/>
    <s v="FHA"/>
    <d v="2023-09-05T00:00:00"/>
    <d v="2023-09-05T00:00:00"/>
    <s v="TKA"/>
  </r>
  <r>
    <s v="BUR_SAL_2024/005"/>
    <n v="5333"/>
    <s v="2024/005"/>
    <d v="2023-08-30T00:00:00"/>
    <n v="3110"/>
    <x v="2"/>
    <m/>
    <s v="Salary"/>
    <s v="D"/>
    <n v="595528.80000000005"/>
    <s v="BIF"/>
    <n v="3.0000200000000001E-4"/>
    <n v="211"/>
    <s v="USD"/>
    <n v="178.66"/>
    <s v="9UN1085"/>
    <s v="Christian Aid"/>
    <s v="I2281"/>
    <n v="103265"/>
    <s v="FHA"/>
    <d v="2023-09-05T00:00:00"/>
    <d v="2023-09-05T00:00:00"/>
    <s v="TKA"/>
  </r>
  <r>
    <s v="BUR_SAL_2024/005"/>
    <n v="5333"/>
    <s v="2024/005"/>
    <d v="2023-08-30T00:00:00"/>
    <n v="3110"/>
    <x v="2"/>
    <m/>
    <s v="Salary"/>
    <s v="D"/>
    <n v="5592445"/>
    <s v="BIF"/>
    <n v="2.9999900000000001E-4"/>
    <n v="1981.46"/>
    <s v="USD"/>
    <n v="1677.73"/>
    <s v="9UN1085"/>
    <s v="Christian Aid"/>
    <s v="I2281"/>
    <n v="117871"/>
    <s v="FHA"/>
    <d v="2023-09-05T00:00:00"/>
    <d v="2023-09-05T00:00:00"/>
    <s v="TKA"/>
  </r>
  <r>
    <s v="BUR_SAL_2024/005"/>
    <n v="5333"/>
    <s v="2024/005"/>
    <d v="2023-08-30T00:00:00"/>
    <n v="3110"/>
    <x v="2"/>
    <m/>
    <s v="Salary"/>
    <s v="D"/>
    <n v="3083644.8"/>
    <s v="BIF"/>
    <n v="2.9999900000000001E-4"/>
    <n v="1092.57"/>
    <s v="USD"/>
    <n v="925.09"/>
    <s v="9UN1085"/>
    <s v="Christian Aid"/>
    <s v="I2281"/>
    <n v="103321"/>
    <s v="FHA"/>
    <d v="2023-09-05T00:00:00"/>
    <d v="2023-09-05T00:00:00"/>
    <s v="TKA"/>
  </r>
  <r>
    <s v="BUR_SAL_2024/005"/>
    <n v="5333"/>
    <s v="2024/005"/>
    <d v="2023-08-30T00:00:00"/>
    <n v="3110"/>
    <x v="2"/>
    <m/>
    <s v="Salary"/>
    <s v="D"/>
    <n v="598983.44999999995"/>
    <s v="BIF"/>
    <n v="3.0000799999999999E-4"/>
    <n v="212.23"/>
    <s v="USD"/>
    <n v="179.7"/>
    <s v="9UN1085"/>
    <s v="Christian Aid"/>
    <s v="I2281"/>
    <n v="117427"/>
    <s v="FHA"/>
    <d v="2023-09-05T00:00:00"/>
    <d v="2023-09-05T00:00:00"/>
    <s v="TKA"/>
  </r>
  <r>
    <s v="BUR_SAL_2024/005"/>
    <n v="5333"/>
    <s v="2024/005"/>
    <d v="2023-08-30T00:00:00"/>
    <n v="3110"/>
    <x v="2"/>
    <m/>
    <s v="Salary"/>
    <s v="D"/>
    <n v="3194579.2"/>
    <s v="BIF"/>
    <n v="2.9999900000000001E-4"/>
    <n v="1131.8699999999999"/>
    <s v="USD"/>
    <n v="958.37"/>
    <s v="9UN1085"/>
    <s v="Christian Aid"/>
    <s v="I2281"/>
    <n v="117872"/>
    <s v="FHA"/>
    <d v="2023-09-05T00:00:00"/>
    <d v="2023-09-05T00:00:00"/>
    <s v="TKA"/>
  </r>
  <r>
    <s v="BUR_SAL_2024/005"/>
    <n v="5333"/>
    <s v="2024/005"/>
    <d v="2023-08-30T00:00:00"/>
    <n v="3110"/>
    <x v="2"/>
    <m/>
    <s v="Salary"/>
    <s v="D"/>
    <n v="802216.5"/>
    <s v="BIF"/>
    <n v="2.9999399999999999E-4"/>
    <n v="284.23"/>
    <s v="USD"/>
    <n v="240.66"/>
    <s v="9UN1085"/>
    <s v="Christian Aid"/>
    <s v="I2281"/>
    <n v="103328"/>
    <s v="FHA"/>
    <d v="2023-09-05T00:00:00"/>
    <d v="2023-09-05T00:00:00"/>
    <s v="TKA"/>
  </r>
  <r>
    <s v="BUR_SAL_2024/005"/>
    <n v="5333"/>
    <s v="2024/005"/>
    <d v="2023-08-30T00:00:00"/>
    <n v="3110"/>
    <x v="2"/>
    <m/>
    <s v="Salary"/>
    <s v="D"/>
    <n v="684495.7"/>
    <s v="BIF"/>
    <n v="3.0000200000000001E-4"/>
    <n v="242.52"/>
    <s v="USD"/>
    <n v="205.35"/>
    <s v="9UN1085"/>
    <s v="Christian Aid"/>
    <s v="I2281"/>
    <n v="117293"/>
    <s v="FHA"/>
    <d v="2023-09-05T00:00:00"/>
    <d v="2023-09-05T00:00:00"/>
    <s v="TKA"/>
  </r>
  <r>
    <s v="B Bank Charges_USD Account"/>
    <n v="5544"/>
    <s v="2024/006"/>
    <d v="2023-09-30T00:00:00"/>
    <n v="3600"/>
    <x v="1"/>
    <m/>
    <s v="03.02.14.UN-Bank Charges_USD Account_Sept 2023"/>
    <s v="D"/>
    <n v="38.21"/>
    <s v="USD"/>
    <n v="0.78926598299999995"/>
    <n v="38.21"/>
    <s v="USD"/>
    <n v="30.16"/>
    <s v="9UN1085"/>
    <s v="Christian Aid"/>
    <s v="I2281"/>
    <n v="0"/>
    <s v="DND"/>
    <d v="2023-10-03T00:00:00"/>
    <d v="2023-10-04T00:00:00"/>
    <s v="TKA"/>
  </r>
  <r>
    <s v="B CHQ0003339"/>
    <n v="5522"/>
    <s v="2024/006"/>
    <d v="2023-09-01T00:00:00"/>
    <n v="3410"/>
    <x v="1"/>
    <m/>
    <s v="03.02.08.UN-Cash Power_Sept23"/>
    <s v="D"/>
    <n v="200000"/>
    <s v="BIF"/>
    <n v="2.7904399999999999E-4"/>
    <n v="70.709999999999994"/>
    <s v="USD"/>
    <n v="55.81"/>
    <s v="9UN1085"/>
    <s v="Christian Aid"/>
    <s v="I2281"/>
    <n v="0"/>
    <s v="DND"/>
    <d v="2023-10-03T00:00:00"/>
    <d v="2023-10-04T00:00:00"/>
    <s v="TKA"/>
  </r>
  <r>
    <s v="B CV1104"/>
    <n v="5554"/>
    <s v="2024/006"/>
    <d v="2023-09-07T00:00:00"/>
    <n v="3490"/>
    <x v="1"/>
    <m/>
    <s v="03.02.06.UNOffice Supplies"/>
    <s v="D"/>
    <n v="298000"/>
    <s v="BIF"/>
    <n v="2.7904399999999999E-4"/>
    <n v="105.36"/>
    <s v="USD"/>
    <n v="83.16"/>
    <s v="9UN1085"/>
    <s v="Christian Aid"/>
    <s v="I2281"/>
    <n v="0"/>
    <s v="DND"/>
    <d v="2023-10-06T00:00:00"/>
    <d v="2023-10-06T00:00:00"/>
    <s v="TKA"/>
  </r>
  <r>
    <s v="B CV1109"/>
    <n v="5558"/>
    <s v="2024/006"/>
    <d v="2023-09-12T00:00:00"/>
    <n v="3490"/>
    <x v="1"/>
    <m/>
    <s v="03.02.06.UN-Office supply"/>
    <s v="D"/>
    <n v="10000"/>
    <s v="BIF"/>
    <n v="2.7904399999999999E-4"/>
    <n v="3.54"/>
    <s v="USD"/>
    <n v="2.79"/>
    <s v="9UN1085"/>
    <s v="Christian Aid"/>
    <s v="I2281"/>
    <n v="0"/>
    <s v="DND"/>
    <d v="2023-10-06T00:00:00"/>
    <d v="2023-10-06T00:00:00"/>
    <s v="TKA"/>
  </r>
  <r>
    <s v="B CV1118"/>
    <n v="5569"/>
    <s v="2024/006"/>
    <d v="2023-09-23T00:00:00"/>
    <n v="3420"/>
    <x v="1"/>
    <m/>
    <s v="03.02.09.UN-Purchase of 10sim cards for Routers"/>
    <s v="D"/>
    <n v="50000"/>
    <s v="BIF"/>
    <n v="2.7904399999999999E-4"/>
    <n v="17.68"/>
    <s v="USD"/>
    <n v="13.95"/>
    <s v="9UN1085"/>
    <s v="Christian Aid"/>
    <s v="I2281"/>
    <n v="0"/>
    <s v="DND"/>
    <d v="2023-10-06T00:00:00"/>
    <d v="2023-10-06T00:00:00"/>
    <s v="TKA"/>
  </r>
  <r>
    <s v="B CV1120"/>
    <n v="5568"/>
    <s v="2024/006"/>
    <d v="2023-09-27T00:00:00"/>
    <n v="3490"/>
    <x v="1"/>
    <m/>
    <s v="03.02.06.UNPurchase of a Lamp torch+cylinder locks"/>
    <s v="D"/>
    <n v="72000"/>
    <s v="BIF"/>
    <n v="2.7904399999999999E-4"/>
    <n v="25.46"/>
    <s v="USD"/>
    <n v="20.09"/>
    <s v="9UN1085"/>
    <s v="Christian Aid"/>
    <s v="I2281"/>
    <n v="0"/>
    <s v="DND"/>
    <d v="2023-10-06T00:00:00"/>
    <d v="2023-10-06T00:00:00"/>
    <s v="TKA"/>
  </r>
  <r>
    <s v="B CV1122"/>
    <n v="5571"/>
    <s v="2024/006"/>
    <d v="2023-09-27T00:00:00"/>
    <n v="3490"/>
    <x v="1"/>
    <m/>
    <s v="03.02.06.UN-purchase of an extension for Fiacre"/>
    <s v="D"/>
    <n v="30000"/>
    <s v="BIF"/>
    <n v="2.7904399999999999E-4"/>
    <n v="10.61"/>
    <s v="USD"/>
    <n v="8.3699999999999992"/>
    <s v="9UN1085"/>
    <s v="Christian Aid"/>
    <s v="I2281"/>
    <n v="0"/>
    <s v="DND"/>
    <d v="2023-10-06T00:00:00"/>
    <d v="2023-10-06T00:00:00"/>
    <s v="TKA"/>
  </r>
  <r>
    <s v="B CV1124"/>
    <n v="5573"/>
    <s v="2024/006"/>
    <d v="2023-09-28T00:00:00"/>
    <n v="3490"/>
    <x v="1"/>
    <m/>
    <s v="03.02.06.UN-Office supplies"/>
    <s v="D"/>
    <n v="105000"/>
    <s v="BIF"/>
    <n v="2.7904399999999999E-4"/>
    <n v="37.119999999999997"/>
    <s v="USD"/>
    <n v="29.3"/>
    <s v="9UN1085"/>
    <s v="Christian Aid"/>
    <s v="I2281"/>
    <n v="0"/>
    <s v="DND"/>
    <d v="2023-10-06T00:00:00"/>
    <d v="2023-10-06T00:00:00"/>
    <s v="TKA"/>
  </r>
  <r>
    <s v="B FACT3065416"/>
    <n v="5491"/>
    <s v="2024/006"/>
    <d v="2023-09-06T00:00:00"/>
    <n v="3420"/>
    <x v="1"/>
    <m/>
    <s v="03.02.09.UN-Landline_Aug23"/>
    <s v="D"/>
    <n v="61566"/>
    <s v="BIF"/>
    <n v="2.7904399999999999E-4"/>
    <n v="21.77"/>
    <s v="USD"/>
    <n v="17.18"/>
    <s v="9UN1085"/>
    <s v="Christian Aid"/>
    <s v="I2281"/>
    <n v="0"/>
    <s v="DND"/>
    <d v="2023-10-03T00:00:00"/>
    <d v="2023-10-04T00:00:00"/>
    <s v="TKA"/>
  </r>
  <r>
    <s v="B FACTN860W671874/FN239/2023"/>
    <n v="5523"/>
    <s v="2024/006"/>
    <d v="2023-09-11T00:00:00"/>
    <n v="3450"/>
    <x v="0"/>
    <m/>
    <s v="03.02.01.UN-Screens/keyboard&amp;Mouse"/>
    <s v="D"/>
    <n v="4956000"/>
    <s v="BIF"/>
    <n v="2.7904399999999999E-4"/>
    <n v="1752.18"/>
    <s v="USD"/>
    <n v="1382.94"/>
    <s v="9UN1085"/>
    <s v="Christian Aid"/>
    <s v="I2281"/>
    <n v="0"/>
    <s v="DND"/>
    <d v="2023-10-03T00:00:00"/>
    <d v="2023-10-04T00:00:00"/>
    <s v="TKA"/>
  </r>
  <r>
    <s v="B OFFICE RENT_SEPT23"/>
    <n v="5476"/>
    <s v="2024/006"/>
    <d v="2023-09-01T00:00:00"/>
    <n v="3400"/>
    <x v="1"/>
    <m/>
    <s v="03.02.04.UN_Office Rent_Sept23"/>
    <s v="D"/>
    <n v="2000000"/>
    <s v="BIF"/>
    <n v="2.7904399999999999E-4"/>
    <n v="707.1"/>
    <s v="USD"/>
    <n v="558.09"/>
    <s v="9UN1085"/>
    <s v="Christian Aid"/>
    <s v="I2281"/>
    <n v="0"/>
    <s v="DND"/>
    <d v="2023-10-03T00:00:00"/>
    <d v="2023-10-04T00:00:00"/>
    <s v="TKA"/>
  </r>
  <r>
    <s v="B OV0003424"/>
    <n v="5482"/>
    <s v="2024/006"/>
    <d v="2023-09-05T00:00:00"/>
    <n v="3340"/>
    <x v="4"/>
    <m/>
    <s v="03.02.11.UN-Vehicle maintenance_E707AIT"/>
    <s v="D"/>
    <n v="259600"/>
    <s v="BIF"/>
    <n v="2.7904399999999999E-4"/>
    <n v="91.78"/>
    <s v="USD"/>
    <n v="72.44"/>
    <s v="9UN1085"/>
    <s v="Christian Aid"/>
    <s v="I2281"/>
    <n v="0"/>
    <s v="DND"/>
    <d v="2023-10-03T00:00:00"/>
    <d v="2023-10-04T00:00:00"/>
    <s v="TKA"/>
  </r>
  <r>
    <s v="B TICKET0080605517"/>
    <n v="5521"/>
    <s v="2024/006"/>
    <d v="2023-09-12T00:00:00"/>
    <n v="3350"/>
    <x v="4"/>
    <m/>
    <s v="03.02.11.UN-Fuel vehicle E 613 AIT- 106.93L"/>
    <s v="D"/>
    <n v="254452.5"/>
    <s v="BIF"/>
    <n v="2.7904399999999999E-4"/>
    <n v="89.96"/>
    <s v="USD"/>
    <n v="71"/>
    <s v="9UN1085"/>
    <s v="Christian Aid"/>
    <s v="I2281"/>
    <n v="0"/>
    <s v="DND"/>
    <d v="2023-10-03T00:00:00"/>
    <d v="2023-10-04T00:00:00"/>
    <s v="TKA"/>
  </r>
  <r>
    <s v="BUR_SAL_2024/006"/>
    <n v="5480"/>
    <s v="2024/006"/>
    <d v="2023-09-30T00:00:00"/>
    <n v="3110"/>
    <x v="2"/>
    <m/>
    <s v="Salary"/>
    <s v="D"/>
    <n v="2123598.2999999998"/>
    <s v="BIF"/>
    <n v="2.9999999999999997E-4"/>
    <n v="750.79"/>
    <s v="USD"/>
    <n v="637.08000000000004"/>
    <s v="9UN1085"/>
    <s v="Christian Aid"/>
    <s v="I2281"/>
    <n v="102955"/>
    <s v="FHA"/>
    <d v="2023-10-04T00:00:00"/>
    <d v="2023-10-04T00:00:00"/>
    <s v="TKA"/>
  </r>
  <r>
    <s v="BUR_SAL_2024/006"/>
    <n v="5480"/>
    <s v="2024/006"/>
    <d v="2023-09-30T00:00:00"/>
    <n v="3110"/>
    <x v="2"/>
    <m/>
    <s v="Salary"/>
    <s v="D"/>
    <n v="595528.80000000005"/>
    <s v="BIF"/>
    <n v="3.0000200000000001E-4"/>
    <n v="210.55"/>
    <s v="USD"/>
    <n v="178.66"/>
    <s v="9UN1085"/>
    <s v="Christian Aid"/>
    <s v="I2281"/>
    <n v="103265"/>
    <s v="FHA"/>
    <d v="2023-10-04T00:00:00"/>
    <d v="2023-10-04T00:00:00"/>
    <s v="TKA"/>
  </r>
  <r>
    <s v="BUR_SAL_2024/006"/>
    <n v="5480"/>
    <s v="2024/006"/>
    <d v="2023-09-30T00:00:00"/>
    <n v="3110"/>
    <x v="2"/>
    <m/>
    <s v="Salary"/>
    <s v="D"/>
    <n v="5592445"/>
    <s v="BIF"/>
    <n v="2.9999900000000001E-4"/>
    <n v="1977.2"/>
    <s v="USD"/>
    <n v="1677.73"/>
    <s v="9UN1085"/>
    <s v="Christian Aid"/>
    <s v="I2281"/>
    <n v="117871"/>
    <s v="FHA"/>
    <d v="2023-10-04T00:00:00"/>
    <d v="2023-10-04T00:00:00"/>
    <s v="TKA"/>
  </r>
  <r>
    <s v="BUR_SAL_2024/006"/>
    <n v="5480"/>
    <s v="2024/006"/>
    <d v="2023-09-30T00:00:00"/>
    <n v="3110"/>
    <x v="2"/>
    <m/>
    <s v="Salary"/>
    <s v="D"/>
    <n v="3083644.8"/>
    <s v="BIF"/>
    <n v="2.9999900000000001E-4"/>
    <n v="1090.22"/>
    <s v="USD"/>
    <n v="925.09"/>
    <s v="9UN1085"/>
    <s v="Christian Aid"/>
    <s v="I2281"/>
    <n v="103321"/>
    <s v="FHA"/>
    <d v="2023-10-04T00:00:00"/>
    <d v="2023-10-04T00:00:00"/>
    <s v="TKA"/>
  </r>
  <r>
    <s v="BUR_SAL_2024/006"/>
    <n v="5480"/>
    <s v="2024/006"/>
    <d v="2023-09-30T00:00:00"/>
    <n v="3110"/>
    <x v="2"/>
    <m/>
    <s v="Salary"/>
    <s v="D"/>
    <n v="598983.44999999995"/>
    <s v="BIF"/>
    <n v="3.0000799999999999E-4"/>
    <n v="211.77"/>
    <s v="USD"/>
    <n v="179.7"/>
    <s v="9UN1085"/>
    <s v="Christian Aid"/>
    <s v="I2281"/>
    <n v="117427"/>
    <s v="FHA"/>
    <d v="2023-10-04T00:00:00"/>
    <d v="2023-10-04T00:00:00"/>
    <s v="TKA"/>
  </r>
  <r>
    <s v="BUR_SAL_2024/006"/>
    <n v="5480"/>
    <s v="2024/006"/>
    <d v="2023-09-30T00:00:00"/>
    <n v="3110"/>
    <x v="2"/>
    <m/>
    <s v="Salary"/>
    <s v="D"/>
    <n v="3194579.2"/>
    <s v="BIF"/>
    <n v="2.9999900000000001E-4"/>
    <n v="1129.44"/>
    <s v="USD"/>
    <n v="958.37"/>
    <s v="9UN1085"/>
    <s v="Christian Aid"/>
    <s v="I2281"/>
    <n v="117872"/>
    <s v="FHA"/>
    <d v="2023-10-04T00:00:00"/>
    <d v="2023-10-04T00:00:00"/>
    <s v="TKA"/>
  </r>
  <r>
    <s v="BUR_SAL_2024/006"/>
    <n v="5480"/>
    <s v="2024/006"/>
    <d v="2023-09-30T00:00:00"/>
    <n v="3110"/>
    <x v="2"/>
    <m/>
    <s v="Salary"/>
    <s v="D"/>
    <n v="802216.5"/>
    <s v="BIF"/>
    <n v="2.9999399999999999E-4"/>
    <n v="283.62"/>
    <s v="USD"/>
    <n v="240.66"/>
    <s v="9UN1085"/>
    <s v="Christian Aid"/>
    <s v="I2281"/>
    <n v="103328"/>
    <s v="FHA"/>
    <d v="2023-10-04T00:00:00"/>
    <d v="2023-10-04T00:00:00"/>
    <s v="TKA"/>
  </r>
  <r>
    <s v="BUR_SAL_2024/006"/>
    <n v="5480"/>
    <s v="2024/006"/>
    <d v="2023-09-30T00:00:00"/>
    <n v="3110"/>
    <x v="2"/>
    <m/>
    <s v="Salary"/>
    <s v="D"/>
    <n v="684495.7"/>
    <s v="BIF"/>
    <n v="3.0000200000000001E-4"/>
    <n v="242"/>
    <s v="USD"/>
    <n v="205.35"/>
    <s v="9UN1085"/>
    <s v="Christian Aid"/>
    <s v="I2281"/>
    <n v="117293"/>
    <s v="FHA"/>
    <d v="2023-10-04T00:00:00"/>
    <d v="2023-10-04T00:00:00"/>
    <s v="TKA"/>
  </r>
  <r>
    <s v="BUR_SAL_2024/006"/>
    <n v="5480"/>
    <s v="2024/006"/>
    <d v="2023-09-30T00:00:00"/>
    <n v="3120"/>
    <x v="2"/>
    <m/>
    <s v="INSS"/>
    <s v="D"/>
    <n v="4410"/>
    <s v="BIF"/>
    <n v="2.9932E-4"/>
    <n v="1.56"/>
    <s v="USD"/>
    <n v="1.32"/>
    <s v="9UN1085"/>
    <s v="Christian Aid"/>
    <s v="I2281"/>
    <n v="103265"/>
    <s v="FHA"/>
    <d v="2023-10-04T00:00:00"/>
    <d v="2023-10-04T00:00:00"/>
    <s v="TKA"/>
  </r>
  <r>
    <s v="BUR_SAL_2024/006"/>
    <n v="5480"/>
    <s v="2024/006"/>
    <d v="2023-09-30T00:00:00"/>
    <n v="3120"/>
    <x v="2"/>
    <m/>
    <s v="INSS"/>
    <s v="D"/>
    <n v="29400"/>
    <s v="BIF"/>
    <n v="2.9999999999999997E-4"/>
    <n v="10.39"/>
    <s v="USD"/>
    <n v="8.82"/>
    <s v="9UN1085"/>
    <s v="Christian Aid"/>
    <s v="I2281"/>
    <n v="117871"/>
    <s v="FHA"/>
    <d v="2023-10-04T00:00:00"/>
    <d v="2023-10-04T00:00:00"/>
    <s v="TKA"/>
  </r>
  <r>
    <s v="BUR_SAL_2024/006"/>
    <n v="5480"/>
    <s v="2024/006"/>
    <d v="2023-09-30T00:00:00"/>
    <n v="3120"/>
    <x v="2"/>
    <m/>
    <s v="INSS"/>
    <s v="D"/>
    <n v="23520"/>
    <s v="BIF"/>
    <n v="3.0016999999999999E-4"/>
    <n v="8.32"/>
    <s v="USD"/>
    <n v="7.06"/>
    <s v="9UN1085"/>
    <s v="Christian Aid"/>
    <s v="I2281"/>
    <n v="103321"/>
    <s v="FHA"/>
    <d v="2023-10-04T00:00:00"/>
    <d v="2023-10-04T00:00:00"/>
    <s v="TKA"/>
  </r>
  <r>
    <s v="BUR_SAL_2024/006"/>
    <n v="5480"/>
    <s v="2024/006"/>
    <d v="2023-09-30T00:00:00"/>
    <n v="3120"/>
    <x v="2"/>
    <m/>
    <s v="INSS"/>
    <s v="D"/>
    <n v="4410"/>
    <s v="BIF"/>
    <n v="2.9932E-4"/>
    <n v="1.56"/>
    <s v="USD"/>
    <n v="1.32"/>
    <s v="9UN1085"/>
    <s v="Christian Aid"/>
    <s v="I2281"/>
    <n v="117427"/>
    <s v="FHA"/>
    <d v="2023-10-04T00:00:00"/>
    <d v="2023-10-04T00:00:00"/>
    <s v="TKA"/>
  </r>
  <r>
    <s v="BUR_SAL_2024/006"/>
    <n v="5480"/>
    <s v="2024/006"/>
    <d v="2023-09-30T00:00:00"/>
    <n v="3120"/>
    <x v="2"/>
    <m/>
    <s v="INSS"/>
    <s v="D"/>
    <n v="23520"/>
    <s v="BIF"/>
    <n v="3.0016999999999999E-4"/>
    <n v="8.32"/>
    <s v="USD"/>
    <n v="7.06"/>
    <s v="9UN1085"/>
    <s v="Christian Aid"/>
    <s v="I2281"/>
    <n v="117872"/>
    <s v="FHA"/>
    <d v="2023-10-04T00:00:00"/>
    <d v="2023-10-04T00:00:00"/>
    <s v="TKA"/>
  </r>
  <r>
    <s v="BUR_SAL_2024/006"/>
    <n v="5480"/>
    <s v="2024/006"/>
    <d v="2023-09-30T00:00:00"/>
    <n v="3120"/>
    <x v="2"/>
    <m/>
    <s v="INSS"/>
    <s v="D"/>
    <n v="14700"/>
    <s v="BIF"/>
    <n v="2.9999999999999997E-4"/>
    <n v="5.2"/>
    <s v="USD"/>
    <n v="4.41"/>
    <s v="9UN1085"/>
    <s v="Christian Aid"/>
    <s v="I2281"/>
    <n v="103328"/>
    <s v="FHA"/>
    <d v="2023-10-04T00:00:00"/>
    <d v="2023-10-04T00:00:00"/>
    <s v="TKA"/>
  </r>
  <r>
    <s v="BUR_SAL_2024/006"/>
    <n v="5480"/>
    <s v="2024/006"/>
    <d v="2023-09-30T00:00:00"/>
    <n v="3120"/>
    <x v="2"/>
    <m/>
    <s v="INSS"/>
    <s v="D"/>
    <n v="2940"/>
    <s v="BIF"/>
    <n v="2.9932E-4"/>
    <n v="1.04"/>
    <s v="USD"/>
    <n v="0.88"/>
    <s v="9UN1085"/>
    <s v="Christian Aid"/>
    <s v="I2281"/>
    <n v="117293"/>
    <s v="FHA"/>
    <d v="2023-10-04T00:00:00"/>
    <d v="2023-10-04T00:00:00"/>
    <s v="TKA"/>
  </r>
  <r>
    <s v="BUR_SAL_2024/006"/>
    <n v="5480"/>
    <s v="2024/006"/>
    <d v="2023-09-30T00:00:00"/>
    <n v="3130"/>
    <x v="2"/>
    <m/>
    <s v="CPF ERS"/>
    <s v="D"/>
    <n v="212359.8"/>
    <s v="BIF"/>
    <n v="3.0001000000000002E-4"/>
    <n v="75.08"/>
    <s v="USD"/>
    <n v="63.71"/>
    <s v="9UN1085"/>
    <s v="Christian Aid"/>
    <s v="I2281"/>
    <n v="102955"/>
    <s v="FHA"/>
    <d v="2023-10-04T00:00:00"/>
    <d v="2023-10-04T00:00:00"/>
    <s v="TKA"/>
  </r>
  <r>
    <s v="BUR_SAL_2024/006"/>
    <n v="5480"/>
    <s v="2024/006"/>
    <d v="2023-09-30T00:00:00"/>
    <n v="3130"/>
    <x v="2"/>
    <m/>
    <s v="CPF ERS"/>
    <s v="D"/>
    <n v="55502.85"/>
    <s v="BIF"/>
    <n v="2.9998500000000001E-4"/>
    <n v="19.62"/>
    <s v="USD"/>
    <n v="16.649999999999999"/>
    <s v="9UN1085"/>
    <s v="Christian Aid"/>
    <s v="I2281"/>
    <n v="103265"/>
    <s v="FHA"/>
    <d v="2023-10-04T00:00:00"/>
    <d v="2023-10-04T00:00:00"/>
    <s v="TKA"/>
  </r>
  <r>
    <s v="BUR_SAL_2024/006"/>
    <n v="5480"/>
    <s v="2024/006"/>
    <d v="2023-09-30T00:00:00"/>
    <n v="3130"/>
    <x v="2"/>
    <m/>
    <s v="CPF ERS"/>
    <s v="D"/>
    <n v="532244"/>
    <s v="BIF"/>
    <n v="2.9999399999999999E-4"/>
    <n v="188.17"/>
    <s v="USD"/>
    <n v="159.66999999999999"/>
    <s v="9UN1085"/>
    <s v="Christian Aid"/>
    <s v="I2281"/>
    <n v="117871"/>
    <s v="FHA"/>
    <d v="2023-10-04T00:00:00"/>
    <d v="2023-10-04T00:00:00"/>
    <s v="TKA"/>
  </r>
  <r>
    <s v="BUR_SAL_2024/006"/>
    <n v="5480"/>
    <s v="2024/006"/>
    <d v="2023-09-30T00:00:00"/>
    <n v="3130"/>
    <x v="2"/>
    <m/>
    <s v="CPF ERS"/>
    <s v="D"/>
    <n v="286764.79999999999"/>
    <s v="BIF"/>
    <n v="3.0000200000000001E-4"/>
    <n v="101.39"/>
    <s v="USD"/>
    <n v="86.03"/>
    <s v="9UN1085"/>
    <s v="Christian Aid"/>
    <s v="I2281"/>
    <n v="103321"/>
    <s v="FHA"/>
    <d v="2023-10-04T00:00:00"/>
    <d v="2023-10-04T00:00:00"/>
    <s v="TKA"/>
  </r>
  <r>
    <s v="BUR_SAL_2024/006"/>
    <n v="5480"/>
    <s v="2024/006"/>
    <d v="2023-09-30T00:00:00"/>
    <n v="3130"/>
    <x v="2"/>
    <m/>
    <s v="CPF ERS"/>
    <s v="D"/>
    <n v="55848.3"/>
    <s v="BIF"/>
    <n v="2.9992000000000002E-4"/>
    <n v="19.75"/>
    <s v="USD"/>
    <n v="16.75"/>
    <s v="9UN1085"/>
    <s v="Christian Aid"/>
    <s v="I2281"/>
    <n v="117427"/>
    <s v="FHA"/>
    <d v="2023-10-04T00:00:00"/>
    <d v="2023-10-04T00:00:00"/>
    <s v="TKA"/>
  </r>
  <r>
    <s v="BUR_SAL_2024/006"/>
    <n v="5480"/>
    <s v="2024/006"/>
    <d v="2023-09-30T00:00:00"/>
    <n v="3130"/>
    <x v="2"/>
    <m/>
    <s v="CPF ERS"/>
    <s v="D"/>
    <n v="297857.59999999998"/>
    <s v="BIF"/>
    <n v="3.0000900000000001E-4"/>
    <n v="105.31"/>
    <s v="USD"/>
    <n v="89.36"/>
    <s v="9UN1085"/>
    <s v="Christian Aid"/>
    <s v="I2281"/>
    <n v="117872"/>
    <s v="FHA"/>
    <d v="2023-10-04T00:00:00"/>
    <d v="2023-10-04T00:00:00"/>
    <s v="TKA"/>
  </r>
  <r>
    <s v="BUR_SAL_2024/006"/>
    <n v="5480"/>
    <s v="2024/006"/>
    <d v="2023-09-30T00:00:00"/>
    <n v="3130"/>
    <x v="2"/>
    <m/>
    <s v="CPF ERS"/>
    <s v="D"/>
    <n v="66721.5"/>
    <s v="BIF"/>
    <n v="3.00053E-4"/>
    <n v="23.59"/>
    <s v="USD"/>
    <n v="20.02"/>
    <s v="9UN1085"/>
    <s v="Christian Aid"/>
    <s v="I2281"/>
    <n v="103328"/>
    <s v="FHA"/>
    <d v="2023-10-04T00:00:00"/>
    <d v="2023-10-04T00:00:00"/>
    <s v="TKA"/>
  </r>
  <r>
    <s v="BUR_SAL_2024/006"/>
    <n v="5480"/>
    <s v="2024/006"/>
    <d v="2023-09-30T00:00:00"/>
    <n v="3130"/>
    <x v="2"/>
    <m/>
    <s v="CPF ERS"/>
    <s v="D"/>
    <n v="65749.600000000006"/>
    <s v="BIF"/>
    <n v="2.99926E-4"/>
    <n v="23.25"/>
    <s v="USD"/>
    <n v="19.72"/>
    <s v="9UN1085"/>
    <s v="Christian Aid"/>
    <s v="I2281"/>
    <n v="117293"/>
    <s v="FHA"/>
    <d v="2023-10-04T00:00:00"/>
    <d v="2023-10-04T00:00:00"/>
    <s v="TKA"/>
  </r>
  <r>
    <s v="Bank Charges_BIF"/>
    <n v="5538"/>
    <s v="2024/006"/>
    <d v="2023-09-30T00:00:00"/>
    <n v="3600"/>
    <x v="1"/>
    <m/>
    <s v="03.02.14.UN-Bank charges _ BIF Account_Sept2023"/>
    <s v="D"/>
    <n v="30000"/>
    <s v="BIF"/>
    <n v="2.7904399999999999E-4"/>
    <n v="10.61"/>
    <s v="USD"/>
    <n v="8.3699999999999992"/>
    <s v="9UN1085"/>
    <s v="Christian Aid"/>
    <s v="I2281"/>
    <n v="0"/>
    <s v="DND"/>
    <d v="2023-10-03T00:00:00"/>
    <d v="2023-10-04T00:00:00"/>
    <s v="TKA"/>
  </r>
  <r>
    <s v="OP170867"/>
    <n v="159"/>
    <d v="2023-10-01T00:00:00"/>
    <d v="2023-10-30T00:00:00"/>
    <m/>
    <x v="3"/>
    <s v="S.3.1"/>
    <s v="Executive Secretary's salary for the month of October  2023"/>
    <s v="D"/>
    <n v="382766.2"/>
    <s v="BIF"/>
    <n v="2802.3999950000002"/>
    <n v="136.58514155114392"/>
    <s v="USD"/>
    <n v="0"/>
    <s v="9UN1085"/>
    <s v="DUSHIREHAMWE"/>
    <n v="0"/>
    <n v="0"/>
    <n v="0"/>
    <n v="0"/>
    <n v="0"/>
    <n v="0"/>
  </r>
  <r>
    <s v="OP170867"/>
    <n v="159"/>
    <d v="2023-10-01T00:00:00"/>
    <d v="2023-10-30T00:00:00"/>
    <m/>
    <x v="3"/>
    <s v="S.3.2"/>
    <s v="Human Resources and Administration Officer's salary for the month of September  2023"/>
    <s v="D"/>
    <n v="113992.3"/>
    <s v="BIF"/>
    <n v="2802.3999950000002"/>
    <n v="40.676670069720004"/>
    <s v="USD"/>
    <n v="0"/>
    <s v="9UN1085"/>
    <s v="DUSHIREHAMWE"/>
    <n v="0"/>
    <n v="0"/>
    <n v="0"/>
    <n v="0"/>
    <n v="0"/>
    <n v="0"/>
  </r>
  <r>
    <s v="OP170867"/>
    <n v="159"/>
    <d v="2023-10-01T00:00:00"/>
    <d v="2023-10-30T00:00:00"/>
    <m/>
    <x v="3"/>
    <s v="S.3.3"/>
    <s v="Finance Officer's salary for the month of September 2023"/>
    <s v="D"/>
    <n v="183146.6"/>
    <s v="BIF"/>
    <n v="2802.3999950000002"/>
    <n v="65.353482845692056"/>
    <s v="USD"/>
    <n v="0"/>
    <s v="9UN1085"/>
    <s v="DUSHIREHAMWE"/>
    <n v="0"/>
    <n v="0"/>
    <n v="0"/>
    <n v="0"/>
    <n v="0"/>
    <n v="0"/>
  </r>
  <r>
    <s v="OP170867"/>
    <n v="159"/>
    <d v="2023-10-01T00:00:00"/>
    <d v="2023-10-30T00:00:00"/>
    <m/>
    <x v="3"/>
    <s v="S.3.4"/>
    <s v="Administrative and Financial Assistant's salary for the month of September  2023"/>
    <s v="D"/>
    <n v="133403.6"/>
    <s v="BIF"/>
    <n v="2802.3999950000002"/>
    <n v="47.60334007922377"/>
    <s v="USD"/>
    <n v="0"/>
    <s v="9UN1085"/>
    <s v="DUSHIREHAMWE"/>
    <n v="0"/>
    <n v="0"/>
    <n v="0"/>
    <n v="0"/>
    <n v="0"/>
    <n v="0"/>
  </r>
  <r>
    <s v="OP170867"/>
    <n v="159"/>
    <d v="2023-10-01T00:00:00"/>
    <d v="2023-10-30T00:00:00"/>
    <m/>
    <x v="3"/>
    <s v="S.3.5"/>
    <s v="Driver's salary for September   2023"/>
    <s v="D"/>
    <n v="345468.5"/>
    <s v="BIF"/>
    <n v="2802.3999950000002"/>
    <n v="123.27594226961878"/>
    <s v="USD"/>
    <n v="0"/>
    <s v="9UN1085"/>
    <s v="DUSHIREHAMWE"/>
    <n v="0"/>
    <n v="0"/>
    <n v="0"/>
    <n v="0"/>
    <n v="0"/>
    <n v="0"/>
  </r>
  <r>
    <s v="OP170867"/>
    <n v="159"/>
    <d v="2023-10-01T00:00:00"/>
    <d v="2023-10-30T00:00:00"/>
    <m/>
    <x v="3"/>
    <s v="S.3.6"/>
    <s v="Project coordinator's salary for September   2023"/>
    <s v="D"/>
    <n v="1509203"/>
    <s v="BIF"/>
    <n v="2802.3999950000002"/>
    <n v="538.5394671327067"/>
    <s v="USD"/>
    <n v="0"/>
    <s v="9UN1085"/>
    <s v="DUSHIREHAMWE"/>
    <n v="0"/>
    <n v="0"/>
    <n v="0"/>
    <n v="0"/>
    <n v="0"/>
    <n v="0"/>
  </r>
  <r>
    <s v="OP170855"/>
    <n v="160"/>
    <d v="2023-10-01T00:00:00"/>
    <d v="2023-10-18T00:00:00"/>
    <m/>
    <x v="3"/>
    <s v="O.3.3"/>
    <s v="Bujumbura office rent for October 2023"/>
    <s v="D"/>
    <n v="200000"/>
    <s v="BIF"/>
    <n v="2802.3999950000002"/>
    <n v="71.367399499299523"/>
    <s v="USD"/>
    <n v="0"/>
    <s v="9UN1085"/>
    <s v="DUSHIREHAMWE"/>
    <n v="0"/>
    <n v="0"/>
    <n v="0"/>
    <n v="0"/>
    <n v="0"/>
    <n v="0"/>
  </r>
  <r>
    <s v="OP170855"/>
    <n v="160"/>
    <d v="2023-10-01T00:00:00"/>
    <d v="2023-10-18T00:00:00"/>
    <m/>
    <x v="3"/>
    <s v="O.3.5"/>
    <s v="Telephone fixed  communication for october 2023"/>
    <s v="D"/>
    <n v="30000"/>
    <s v="BIF"/>
    <n v="2802.3999950000002"/>
    <n v="10.705109924894929"/>
    <s v="USD"/>
    <n v="0"/>
    <s v="9UN1085"/>
    <s v="DUSHIREHAMWE"/>
    <n v="0"/>
    <n v="0"/>
    <n v="0"/>
    <n v="0"/>
    <n v="0"/>
    <n v="0"/>
  </r>
  <r>
    <s v="OP170855"/>
    <n v="160"/>
    <d v="2023-10-01T00:00:00"/>
    <d v="2023-10-18T00:00:00"/>
    <m/>
    <x v="3"/>
    <s v="O.3.6"/>
    <s v="Internet for October 2023"/>
    <s v="D"/>
    <n v="90000"/>
    <s v="BIF"/>
    <n v="2802.3999950000002"/>
    <n v="32.115329774684788"/>
    <s v="USD"/>
    <n v="0"/>
    <s v="9UN1085"/>
    <s v="DUSHIREHAMWE"/>
    <n v="0"/>
    <n v="0"/>
    <n v="0"/>
    <n v="0"/>
    <n v="0"/>
    <n v="0"/>
  </r>
  <r>
    <s v="OP170855"/>
    <n v="160"/>
    <d v="2023-10-01T00:00:00"/>
    <d v="2023-10-18T00:00:00"/>
    <m/>
    <x v="3"/>
    <s v="O.3.7"/>
    <s v="Maintenance equipments for October  2023"/>
    <s v="D"/>
    <n v="60000"/>
    <s v="BIF"/>
    <n v="2802.3999950000002"/>
    <n v="21.410219849789858"/>
    <s v="USD"/>
    <n v="0"/>
    <s v="9UN1085"/>
    <s v="DUSHIREHAMWE"/>
    <n v="0"/>
    <n v="0"/>
    <n v="0"/>
    <n v="0"/>
    <n v="0"/>
    <n v="0"/>
  </r>
  <r>
    <s v="OP170855"/>
    <n v="160"/>
    <d v="2023-10-01T00:00:00"/>
    <d v="2023-10-18T00:00:00"/>
    <m/>
    <x v="3"/>
    <s v="O.3.8"/>
    <s v="Guards Bujumbura office for October 2023"/>
    <s v="D"/>
    <n v="29495"/>
    <s v="BIF"/>
    <n v="2802.3999950000002"/>
    <n v="10.524907241159196"/>
    <s v="USD"/>
    <n v="0"/>
    <s v="9UN1085"/>
    <s v="DUSHIREHAMWE"/>
    <n v="0"/>
    <n v="0"/>
    <n v="0"/>
    <n v="0"/>
    <n v="0"/>
    <n v="0"/>
  </r>
  <r>
    <s v="CHQ 8880807"/>
    <n v="161"/>
    <d v="2023-10-01T00:00:00"/>
    <d v="2023-10-18T00:00:00"/>
    <m/>
    <x v="3"/>
    <s v="O.3.11"/>
    <s v="Water"/>
    <s v="D"/>
    <n v="32500"/>
    <s v="BIF"/>
    <n v="2802.3999950000002"/>
    <n v="11.597202418636172"/>
    <s v="USD"/>
    <n v="0"/>
    <s v="9UN1085"/>
    <s v="DUSHIREHAMWE"/>
    <n v="0"/>
    <n v="0"/>
    <n v="0"/>
    <n v="0"/>
    <n v="0"/>
    <n v="0"/>
  </r>
  <r>
    <s v="CHQ 8880794"/>
    <n v="162"/>
    <d v="2023-10-01T00:00:00"/>
    <d v="2023-09-18T00:00:00"/>
    <m/>
    <x v="3"/>
    <s v="O.3.11"/>
    <s v="Water"/>
    <s v="D"/>
    <n v="51000"/>
    <s v="BIF"/>
    <n v="2802.3999950000002"/>
    <n v="18.198686872321378"/>
    <s v="USD"/>
    <n v="0"/>
    <s v="9UN1085"/>
    <s v="DUSHIREHAMWE"/>
    <n v="0"/>
    <n v="0"/>
    <n v="0"/>
    <n v="0"/>
    <n v="0"/>
    <n v="0"/>
  </r>
  <r>
    <s v="OP170870"/>
    <n v="163"/>
    <d v="2023-10-01T00:00:00"/>
    <d v="2023-10-31T00:00:00"/>
    <m/>
    <x v="3"/>
    <s v="O.3.4"/>
    <s v="Office Ruyigi for October  2023"/>
    <s v="D"/>
    <n v="150000"/>
    <s v="BIF"/>
    <n v="2802.3999950000002"/>
    <n v="53.525549624474642"/>
    <s v="USD"/>
    <n v="0"/>
    <s v="9UN1085"/>
    <s v="DUSHIREHAMWE"/>
    <n v="0"/>
    <n v="0"/>
    <n v="0"/>
    <n v="0"/>
    <n v="0"/>
    <n v="0"/>
  </r>
  <r>
    <s v="OP170864"/>
    <n v="164"/>
    <d v="2023-10-01T00:00:00"/>
    <d v="2023-10-30T00:00:00"/>
    <m/>
    <x v="3"/>
    <s v="O.3.9"/>
    <s v="Guards Ruyigi for October  2023"/>
    <s v="D"/>
    <n v="93958"/>
    <s v="BIF"/>
    <n v="2802.3999950000002"/>
    <n v="33.52769061077592"/>
    <s v="USD"/>
    <n v="0"/>
    <s v="9UN1085"/>
    <s v="DUSHIREHAMWE"/>
    <n v="0"/>
    <n v="0"/>
    <n v="0"/>
    <n v="0"/>
    <n v="0"/>
    <n v="0"/>
  </r>
  <r>
    <s v="OP170865"/>
    <n v="165"/>
    <d v="2023-10-01T00:00:00"/>
    <d v="2023-10-30T00:00:00"/>
    <m/>
    <x v="3"/>
    <s v="O.3.9"/>
    <s v="Guards Ruyigi for October  2023"/>
    <s v="D"/>
    <n v="16042"/>
    <s v="BIF"/>
    <n v="2802.3999950000002"/>
    <n v="5.7243791138388147"/>
    <s v="USD"/>
    <n v="0"/>
    <s v="9UN1085"/>
    <s v="DUSHIREHAMWE"/>
    <n v="0"/>
    <n v="0"/>
    <n v="0"/>
    <n v="0"/>
    <n v="0"/>
    <n v="0"/>
  </r>
  <r>
    <s v="OP170866"/>
    <n v="166"/>
    <d v="2023-10-01T00:00:00"/>
    <d v="2023-10-30T00:00:00"/>
    <m/>
    <x v="3"/>
    <s v="O.3.9"/>
    <s v="Guards Ruyigi for October  2023"/>
    <s v="D"/>
    <n v="40000"/>
    <s v="BIF"/>
    <n v="2802.3999950000002"/>
    <n v="14.273479899859904"/>
    <s v="USD"/>
    <n v="0"/>
    <s v="9UN1085"/>
    <s v="DUSHIREHAMWE"/>
    <n v="0"/>
    <n v="0"/>
    <n v="0"/>
    <n v="0"/>
    <n v="0"/>
    <n v="0"/>
  </r>
  <r>
    <s v="Bank statement"/>
    <n v="167"/>
    <d v="2023-10-01T00:00:00"/>
    <d v="2023-10-31T00:00:00"/>
    <m/>
    <x v="3"/>
    <s v="O.3.12"/>
    <s v="Bank Charges for October 2023"/>
    <s v="D"/>
    <n v="25100"/>
    <s v="BIF"/>
    <n v="2802.3999950000002"/>
    <n v="8.9566086371620894"/>
    <s v="USD"/>
    <n v="0"/>
    <s v="9UN1085"/>
    <s v="DUSHIREHAMWE"/>
    <n v="0"/>
    <n v="0"/>
    <n v="0"/>
    <n v="0"/>
    <n v="0"/>
    <n v="0"/>
  </r>
  <r>
    <s v="CH8998718"/>
    <n v="36"/>
    <d v="2023-10-01T00:00:00"/>
    <d v="2023-10-18T00:00:00"/>
    <m/>
    <x v="3"/>
    <s v="O.2.3"/>
    <s v="Paiement frais de télephone fixe septembre"/>
    <s v="D"/>
    <n v="20839"/>
    <s v="BIF"/>
    <n v="2803.6597999999999"/>
    <n v="7.4327848193279369"/>
    <s v="USD"/>
    <n v="0"/>
    <s v="9UN1085"/>
    <s v="YELI"/>
    <n v="0"/>
    <n v="0"/>
    <n v="0"/>
    <n v="0"/>
    <n v="0"/>
    <n v="0"/>
  </r>
  <r>
    <s v="OV 038"/>
    <n v="37"/>
    <d v="2023-10-01T00:00:00"/>
    <d v="2023-10-25T00:00:00"/>
    <m/>
    <x v="3"/>
    <s v="S.2.1"/>
    <s v="Executive Director salaire Octobre 2023"/>
    <s v="D"/>
    <n v="382454"/>
    <s v="BIF"/>
    <n v="2803.6597999999999"/>
    <n v="136.4124135175031"/>
    <s v="USD"/>
    <n v="0"/>
    <s v="9UN1085"/>
    <s v="YELI"/>
    <n v="0"/>
    <n v="0"/>
    <n v="0"/>
    <n v="0"/>
    <n v="0"/>
    <n v="0"/>
  </r>
  <r>
    <s v="OV 038"/>
    <n v="37"/>
    <d v="2023-10-01T00:00:00"/>
    <d v="2023-10-25T00:00:00"/>
    <m/>
    <x v="3"/>
    <s v="S.2.2"/>
    <s v=" Financial and Administrative Manager salaire Octobre 2023"/>
    <s v="D"/>
    <n v="216919"/>
    <s v="BIF"/>
    <n v="2803.6597999999999"/>
    <n v="77.369943386141216"/>
    <s v="USD"/>
    <n v="0"/>
    <s v="9UN1085"/>
    <s v="YELI"/>
    <n v="0"/>
    <n v="0"/>
    <n v="0"/>
    <n v="0"/>
    <n v="0"/>
    <n v="0"/>
  </r>
  <r>
    <s v="OV 038"/>
    <n v="37"/>
    <d v="2023-10-01T00:00:00"/>
    <d v="2023-10-25T00:00:00"/>
    <m/>
    <x v="3"/>
    <s v="S.2.3"/>
    <s v=" Monitoring and Evaluation salaire octobre 2023"/>
    <s v="D"/>
    <n v="344893"/>
    <s v="BIF"/>
    <n v="2803.6597999999999"/>
    <n v="123.01528166862471"/>
    <s v="USD"/>
    <n v="0"/>
    <s v="9UN1085"/>
    <s v="YELI"/>
    <n v="0"/>
    <n v="0"/>
    <n v="0"/>
    <n v="0"/>
    <n v="0"/>
    <n v="0"/>
  </r>
  <r>
    <s v="OV 038"/>
    <n v="37"/>
    <d v="2023-10-01T00:00:00"/>
    <d v="2023-10-25T00:00:00"/>
    <m/>
    <x v="3"/>
    <s v="S.2.4"/>
    <s v=" Project Manager salaire octobre 2023"/>
    <s v="D"/>
    <n v="1288541"/>
    <s v="BIF"/>
    <n v="2803.6597999999999"/>
    <n v="459.59249406793225"/>
    <s v="USD"/>
    <n v="0"/>
    <s v="9UN1085"/>
    <s v="YELI"/>
    <n v="0"/>
    <n v="0"/>
    <n v="0"/>
    <n v="0"/>
    <n v="0"/>
    <n v="0"/>
  </r>
  <r>
    <s v="OV 038"/>
    <n v="37"/>
    <d v="2023-10-01T00:00:00"/>
    <d v="2023-10-25T00:00:00"/>
    <m/>
    <x v="3"/>
    <s v="S.2.5"/>
    <s v=" Capacity building Officer salaire octobre 2023"/>
    <s v="D"/>
    <n v="454657"/>
    <s v="BIF"/>
    <n v="2803.6597999999999"/>
    <n v="162.16553805850481"/>
    <s v="USD"/>
    <n v="0"/>
    <s v="9UN1085"/>
    <s v="YELI"/>
    <n v="0"/>
    <n v="0"/>
    <n v="0"/>
    <n v="0"/>
    <n v="0"/>
    <n v="0"/>
  </r>
  <r>
    <s v="OV 038"/>
    <n v="37"/>
    <d v="2023-10-01T00:00:00"/>
    <d v="2023-10-25T00:00:00"/>
    <m/>
    <x v="3"/>
    <s v="S.2.6"/>
    <s v=" Accountant  salaire octobre 2023"/>
    <s v="D"/>
    <n v="147836"/>
    <s v="BIF"/>
    <n v="2803.6597999999999"/>
    <n v="52.729650009605301"/>
    <s v="USD"/>
    <n v="0"/>
    <s v="9UN1085"/>
    <s v="YELI"/>
    <n v="0"/>
    <n v="0"/>
    <n v="0"/>
    <n v="0"/>
    <n v="0"/>
    <n v="0"/>
  </r>
  <r>
    <s v="CHOV 37"/>
    <n v="38"/>
    <d v="2023-10-01T00:00:00"/>
    <d v="2023-10-18T00:00:00"/>
    <m/>
    <x v="3"/>
    <s v="S.2.3"/>
    <s v="Payment FPC du M&amp;E septembre 2023"/>
    <s v="D"/>
    <n v="47380"/>
    <s v="BIF"/>
    <n v="2803.6597999999999"/>
    <n v="16.89933992704821"/>
    <s v="USD"/>
    <n v="0"/>
    <s v="9UN1085"/>
    <s v="YELI"/>
    <n v="0"/>
    <n v="0"/>
    <n v="0"/>
    <n v="0"/>
    <n v="0"/>
    <n v="0"/>
  </r>
  <r>
    <s v="CHOV 37"/>
    <n v="38"/>
    <d v="2023-10-01T00:00:00"/>
    <d v="2023-10-18T00:00:00"/>
    <m/>
    <x v="3"/>
    <s v="S.2.4"/>
    <s v=" Payment FPC of Project Manager  Fevrier2023 "/>
    <s v="D"/>
    <n v="136571"/>
    <s v="BIF"/>
    <n v="2803.6597999999999"/>
    <n v="48.711687487904207"/>
    <s v="USD"/>
    <n v="0"/>
    <s v="9UN1085"/>
    <s v="YELI"/>
    <n v="0"/>
    <n v="0"/>
    <n v="0"/>
    <n v="0"/>
    <n v="0"/>
    <n v="0"/>
  </r>
  <r>
    <s v="CHOV 37"/>
    <n v="38"/>
    <d v="2023-10-01T00:00:00"/>
    <d v="2023-10-18T00:00:00"/>
    <m/>
    <x v="3"/>
    <s v="S.2.4"/>
    <s v=" Payment FPC of Project Manager  Mars2023 "/>
    <s v="D"/>
    <n v="136571"/>
    <s v="BIF"/>
    <n v="2803.6597999999999"/>
    <n v="48.711687487904207"/>
    <s v="USD"/>
    <n v="0"/>
    <s v="9UN1085"/>
    <s v="YELI"/>
    <n v="0"/>
    <n v="0"/>
    <n v="0"/>
    <n v="0"/>
    <n v="0"/>
    <n v="0"/>
  </r>
  <r>
    <s v="CHOV 37"/>
    <n v="38"/>
    <d v="2023-10-01T00:00:00"/>
    <d v="2023-10-18T00:00:00"/>
    <m/>
    <x v="3"/>
    <s v="S.2.4"/>
    <s v=" Payment FPC of Project Manager  Avril2023 "/>
    <s v="D"/>
    <n v="136571"/>
    <s v="BIF"/>
    <n v="2803.6597999999999"/>
    <n v="48.711687487904207"/>
    <s v="USD"/>
    <n v="0"/>
    <s v="9UN1085"/>
    <s v="YELI"/>
    <n v="0"/>
    <n v="0"/>
    <n v="0"/>
    <n v="0"/>
    <n v="0"/>
    <n v="0"/>
  </r>
  <r>
    <s v="CHOV 37"/>
    <n v="38"/>
    <d v="2023-10-01T00:00:00"/>
    <d v="2023-10-18T00:00:00"/>
    <m/>
    <x v="3"/>
    <s v="S.2.4"/>
    <s v=" Payment FPC of Project Manager  Mai 2023 "/>
    <s v="D"/>
    <n v="136571"/>
    <s v="BIF"/>
    <n v="2803.6597999999999"/>
    <n v="48.711687487904207"/>
    <s v="USD"/>
    <n v="0"/>
    <s v="9UN1085"/>
    <s v="YELI"/>
    <n v="0"/>
    <n v="0"/>
    <n v="0"/>
    <n v="0"/>
    <n v="0"/>
    <n v="0"/>
  </r>
  <r>
    <s v="CHOV 37"/>
    <n v="38"/>
    <d v="2023-10-01T00:00:00"/>
    <d v="2023-10-18T00:00:00"/>
    <m/>
    <x v="3"/>
    <s v="S.2.4"/>
    <s v=" Payment FPC of Project Manager  Juin 2023 "/>
    <s v="D"/>
    <n v="128000"/>
    <s v="BIF"/>
    <n v="2803.6597999999999"/>
    <n v="45.654611875520708"/>
    <s v="USD"/>
    <n v="0"/>
    <s v="9UN1085"/>
    <s v="YELI"/>
    <n v="0"/>
    <n v="0"/>
    <n v="0"/>
    <n v="0"/>
    <n v="0"/>
    <n v="0"/>
  </r>
  <r>
    <s v="CHOV 37"/>
    <n v="38"/>
    <d v="2023-10-01T00:00:00"/>
    <d v="2023-10-18T00:00:00"/>
    <m/>
    <x v="3"/>
    <s v="S.2.4"/>
    <s v=" Payment FPC of Project Manager Juillet2023 "/>
    <s v="D"/>
    <n v="188953"/>
    <s v="BIF"/>
    <n v="2803.6597999999999"/>
    <n v="67.395124044650501"/>
    <s v="USD"/>
    <n v="0"/>
    <s v="9UN1085"/>
    <s v="YELI"/>
    <n v="0"/>
    <n v="0"/>
    <n v="0"/>
    <n v="0"/>
    <n v="0"/>
    <n v="0"/>
  </r>
  <r>
    <s v="CHOV 37"/>
    <n v="38"/>
    <d v="2023-10-01T00:00:00"/>
    <d v="2023-10-18T00:00:00"/>
    <m/>
    <x v="3"/>
    <s v="S.2.4"/>
    <s v=" Payment FPC of Project Manager  Aout2023 "/>
    <s v="D"/>
    <n v="188953"/>
    <s v="BIF"/>
    <n v="2803.6597999999999"/>
    <n v="67.395124044650501"/>
    <s v="USD"/>
    <n v="0"/>
    <s v="9UN1085"/>
    <s v="YELI"/>
    <n v="0"/>
    <n v="0"/>
    <n v="0"/>
    <n v="0"/>
    <n v="0"/>
    <n v="0"/>
  </r>
  <r>
    <s v="CHOV 37"/>
    <n v="38"/>
    <d v="2023-10-01T00:00:00"/>
    <d v="2023-10-18T00:00:00"/>
    <m/>
    <x v="3"/>
    <s v="S.2.4"/>
    <s v=" Payment FPC of Project Manager  Septembre2023 "/>
    <s v="D"/>
    <n v="188953"/>
    <s v="BIF"/>
    <n v="2803.6597999999999"/>
    <n v="67.395124044650501"/>
    <s v="USD"/>
    <n v="0"/>
    <s v="9UN1085"/>
    <s v="YELI"/>
    <n v="0"/>
    <n v="0"/>
    <n v="0"/>
    <n v="0"/>
    <n v="0"/>
    <n v="0"/>
  </r>
  <r>
    <s v="CHOV 37"/>
    <n v="38"/>
    <d v="2023-10-01T00:00:00"/>
    <d v="2023-10-18T00:00:00"/>
    <m/>
    <x v="3"/>
    <s v="S.2.5"/>
    <s v="Payment FPC  Capacity building Officer salaire Septembe 2023"/>
    <s v="D"/>
    <n v="63174"/>
    <s v="BIF"/>
    <n v="2803.6597999999999"/>
    <n v="22.532691020501133"/>
    <s v="USD"/>
    <n v="0"/>
    <s v="9UN1085"/>
    <s v="YELI"/>
    <n v="0"/>
    <n v="0"/>
    <n v="0"/>
    <n v="0"/>
    <n v="0"/>
    <n v="0"/>
  </r>
  <r>
    <s v="OV 017-018-109-020-021"/>
    <n v="40"/>
    <d v="2023-10-01T00:00:00"/>
    <s v="30/10/2023"/>
    <m/>
    <x v="3"/>
    <s v="S.2.1"/>
    <s v="Correction  executive Director salaire Additionnel  janvier 2023"/>
    <s v="C"/>
    <n v="-52080.533920909089"/>
    <s v="BIF"/>
    <n v="2803.6597999999999"/>
    <n v="-18.575910643976524"/>
    <s v="USD"/>
    <n v="0"/>
    <s v="9UN1085"/>
    <s v="YELI"/>
    <n v="0"/>
    <n v="0"/>
    <n v="0"/>
    <n v="0"/>
    <n v="0"/>
    <n v="0"/>
  </r>
  <r>
    <s v="OV 017-018-109-020-021"/>
    <n v="40"/>
    <d v="2023-10-01T00:00:00"/>
    <s v="30/10/2023"/>
    <m/>
    <x v="3"/>
    <s v="S.2.2"/>
    <s v="Correction Financial and Adlinistrative Manager salaire Additionnel  janvier 2023"/>
    <s v="C"/>
    <n v="-29508.479382727273"/>
    <s v="BIF"/>
    <n v="2803.6597999999999"/>
    <n v="-10.524985728556395"/>
    <s v="USD"/>
    <n v="0"/>
    <s v="9UN1085"/>
    <s v="YELI"/>
    <n v="0"/>
    <n v="0"/>
    <n v="0"/>
    <n v="0"/>
    <n v="0"/>
    <n v="0"/>
  </r>
  <r>
    <s v="OV 017-018-109-020-021"/>
    <n v="40"/>
    <d v="2023-10-01T00:00:00"/>
    <s v="30/10/2023"/>
    <m/>
    <x v="3"/>
    <s v="S.2.3"/>
    <s v="Correction Monitoring and Evaluation salaire Additionnel janvier 2023"/>
    <s v="C"/>
    <n v="-52080.533920909089"/>
    <s v="BIF"/>
    <n v="2803.6597999999999"/>
    <n v="-18.575910643976524"/>
    <s v="USD"/>
    <n v="0"/>
    <s v="9UN1085"/>
    <s v="YELI"/>
    <n v="0"/>
    <n v="0"/>
    <n v="0"/>
    <n v="0"/>
    <n v="0"/>
    <n v="0"/>
  </r>
  <r>
    <s v="OV 017-018-109-020-021"/>
    <n v="40"/>
    <d v="2023-10-01T00:00:00"/>
    <s v="30/10/2023"/>
    <m/>
    <x v="3"/>
    <s v="S.2.4"/>
    <s v="Correction Project Manager salaire  Additionnel janvier 2023"/>
    <s v="C"/>
    <n v="-229168.36755099997"/>
    <s v="BIF"/>
    <n v="2803.6597999999999"/>
    <n v="-81.739006833496703"/>
    <s v="USD"/>
    <n v="0"/>
    <s v="9UN1085"/>
    <s v="YELI"/>
    <n v="0"/>
    <n v="0"/>
    <n v="0"/>
    <n v="0"/>
    <n v="0"/>
    <n v="0"/>
  </r>
  <r>
    <s v="OV 017-018-109-020-021"/>
    <n v="40"/>
    <d v="2023-10-01T00:00:00"/>
    <s v="30/10/2023"/>
    <m/>
    <x v="3"/>
    <s v="S.2.5"/>
    <s v="Correction Capacity building Officer salaire Additionnel  janvier 2023"/>
    <s v="C"/>
    <n v="-69440.711894545457"/>
    <s v="BIF"/>
    <n v="2803.6597999999999"/>
    <n v="-24.767880858635365"/>
    <s v="USD"/>
    <n v="0"/>
    <s v="9UN1085"/>
    <s v="YELI"/>
    <n v="0"/>
    <n v="0"/>
    <n v="0"/>
    <n v="0"/>
    <n v="0"/>
    <n v="0"/>
  </r>
  <r>
    <s v="OV 017-018-109-020-021"/>
    <n v="40"/>
    <d v="2023-10-01T00:00:00"/>
    <s v="30/10/2023"/>
    <m/>
    <x v="3"/>
    <s v="S.2.6"/>
    <s v="Correction  Accountant  salaire Additionnel janvier 2023"/>
    <s v="C"/>
    <n v="-20834.705531818181"/>
    <s v="BIF"/>
    <n v="2803.6597999999999"/>
    <n v="-7.4312530827806507"/>
    <s v="USD"/>
    <n v="0"/>
    <s v="9UN1085"/>
    <s v="YELI"/>
    <n v="0"/>
    <n v="0"/>
    <n v="0"/>
    <n v="0"/>
    <n v="0"/>
    <n v="0"/>
  </r>
  <r>
    <s v="Quitt OBR no 23100747839"/>
    <n v="87"/>
    <d v="2023-10-01T00:00:00"/>
    <d v="2023-03-10T00:00:00"/>
    <n v="4325"/>
    <x v="3"/>
    <s v="S.1.1"/>
    <s v="Tax on Sal of country repres Sept-023"/>
    <s v="D"/>
    <n v="4286"/>
    <s v="BIF"/>
    <n v="2801.6"/>
    <n v="1.5298400913763563"/>
    <s v="USD"/>
    <n v="0"/>
    <s v="9UN1085"/>
    <s v="RFP"/>
    <n v="0"/>
    <n v="0"/>
    <n v="0"/>
    <n v="0"/>
    <n v="0"/>
    <n v="0"/>
  </r>
  <r>
    <s v="Quitt OBR no 23100747839"/>
    <n v="87"/>
    <d v="2023-10-01T00:00:00"/>
    <d v="2023-03-10T00:00:00"/>
    <n v="4325"/>
    <x v="3"/>
    <s v="S.1.2"/>
    <s v="Tax on Sal of Project coord Sept-023"/>
    <s v="D"/>
    <n v="156703"/>
    <s v="BIF"/>
    <n v="2801.6"/>
    <n v="55.933395202741295"/>
    <s v="USD"/>
    <n v="0"/>
    <s v="9UN1085"/>
    <s v="RFP"/>
    <n v="0"/>
    <n v="0"/>
    <n v="0"/>
    <n v="0"/>
    <n v="0"/>
    <n v="0"/>
  </r>
  <r>
    <s v="Quitt OBR no 23100747839"/>
    <n v="87"/>
    <d v="2023-10-01T00:00:00"/>
    <d v="2023-03-10T00:00:00"/>
    <n v="4325"/>
    <x v="3"/>
    <s v="S.1.3"/>
    <s v="Tax on Sal of Accountant Sept-023"/>
    <s v="D"/>
    <n v="4286"/>
    <s v="BIF"/>
    <n v="2801.6"/>
    <n v="1.5298400913763563"/>
    <s v="USD"/>
    <n v="0"/>
    <s v="9UN1085"/>
    <s v="RFP"/>
    <n v="0"/>
    <n v="0"/>
    <n v="0"/>
    <n v="0"/>
    <n v="0"/>
    <n v="0"/>
  </r>
  <r>
    <s v="Relevé bancaire G435918"/>
    <n v="87"/>
    <d v="2023-10-01T00:00:00"/>
    <d v="2023-03-10T00:00:00"/>
    <n v="6341"/>
    <x v="3"/>
    <s v="O.1.8"/>
    <s v="Office supplies (bank charge)"/>
    <s v="D"/>
    <n v="1500"/>
    <s v="BIF"/>
    <n v="2801.6"/>
    <n v="0.53540833809251853"/>
    <s v="USD"/>
    <n v="0"/>
    <s v="9UN1085"/>
    <s v="RFP"/>
    <n v="0"/>
    <n v="0"/>
    <n v="0"/>
    <n v="0"/>
    <n v="0"/>
    <n v="0"/>
  </r>
  <r>
    <s v="Chq 1693955 "/>
    <n v="88"/>
    <d v="2023-10-01T00:00:00"/>
    <s v="2023/18/10"/>
    <n v="6176"/>
    <x v="3"/>
    <s v="O.1.7"/>
    <s v="Internet"/>
    <s v="D"/>
    <n v="90000"/>
    <s v="BIF"/>
    <n v="2801.6"/>
    <n v="32.124500285551115"/>
    <s v="USD"/>
    <n v="0"/>
    <s v="9UN1085"/>
    <s v="RFP"/>
    <n v="0"/>
    <n v="0"/>
    <n v="0"/>
    <n v="0"/>
    <n v="0"/>
    <n v="0"/>
  </r>
  <r>
    <s v="Chq 1693955 "/>
    <n v="88"/>
    <d v="2023-10-01T00:00:00"/>
    <s v="2023/18/10"/>
    <n v="6176"/>
    <x v="3"/>
    <s v="O.1.11"/>
    <s v="Téléphone"/>
    <s v="D"/>
    <n v="27000"/>
    <s v="BIF"/>
    <n v="2801.6"/>
    <n v="9.637350085665334"/>
    <s v="USD"/>
    <n v="0"/>
    <s v="9UN1085"/>
    <s v="RFP"/>
    <n v="0"/>
    <n v="0"/>
    <n v="0"/>
    <n v="0"/>
    <n v="0"/>
    <n v="0"/>
  </r>
  <r>
    <s v="Chq 1693956 "/>
    <n v="89"/>
    <d v="2023-10-01T00:00:00"/>
    <s v="2023/18/10"/>
    <n v="6176"/>
    <x v="3"/>
    <s v="O.1.10"/>
    <s v="Equipment and Maintenance"/>
    <s v="D"/>
    <n v="230000"/>
    <s v="BIF"/>
    <n v="2801.6"/>
    <n v="82.095945174186184"/>
    <s v="USD"/>
    <n v="0"/>
    <s v="9UN1085"/>
    <s v="RFP"/>
    <n v="0"/>
    <n v="0"/>
    <n v="0"/>
    <n v="0"/>
    <n v="0"/>
    <n v="0"/>
  </r>
  <r>
    <s v="Chq 1693960 "/>
    <n v="90"/>
    <d v="2023-10-01T00:00:00"/>
    <s v="2023/18/10"/>
    <n v="6176"/>
    <x v="3"/>
    <s v="O.1.8"/>
    <s v="Office supplies"/>
    <s v="D"/>
    <n v="98000"/>
    <s v="BIF"/>
    <n v="2801.6"/>
    <n v="34.980011422044548"/>
    <s v="USD"/>
    <n v="0"/>
    <s v="9UN1085"/>
    <s v="RFP"/>
    <n v="0"/>
    <n v="0"/>
    <n v="0"/>
    <n v="0"/>
    <n v="0"/>
    <n v="0"/>
  </r>
  <r>
    <s v="DV 82/10/EN/2023"/>
    <n v="91"/>
    <d v="2023-10-01T00:00:00"/>
    <s v="2023/26/10"/>
    <n v="421"/>
    <x v="3"/>
    <s v="S.1.1"/>
    <s v="Sal of country repres Oct-023"/>
    <s v="D"/>
    <n v="295714"/>
    <s v="BIF"/>
    <n v="2801.6"/>
    <n v="105.55182752712736"/>
    <s v="USD"/>
    <n v="0"/>
    <s v="9UN1085"/>
    <s v="RFP"/>
    <n v="0"/>
    <n v="0"/>
    <n v="0"/>
    <n v="0"/>
    <n v="0"/>
    <n v="0"/>
  </r>
  <r>
    <s v="DV 82/10/EN/2023"/>
    <n v="91"/>
    <d v="2023-10-01T00:00:00"/>
    <s v="2023/26/10"/>
    <n v="421"/>
    <x v="3"/>
    <s v="S.1.2"/>
    <s v="Sal of Project Coordin Oct-023"/>
    <s v="D"/>
    <n v="1265383"/>
    <s v="BIF"/>
    <n v="2801.6"/>
    <n v="451.66440605368365"/>
    <s v="USD"/>
    <n v="0"/>
    <s v="9UN1085"/>
    <s v="RFP"/>
    <n v="0"/>
    <n v="0"/>
    <n v="0"/>
    <n v="0"/>
    <n v="0"/>
    <n v="0"/>
  </r>
  <r>
    <s v="DV 82/10/EN/2023"/>
    <n v="91"/>
    <d v="2023-10-01T00:00:00"/>
    <s v="2023/26/10"/>
    <n v="421"/>
    <x v="3"/>
    <s v="S.1.3"/>
    <s v="Sal of Accountant  Oct-023"/>
    <s v="D"/>
    <n v="295714"/>
    <s v="BIF"/>
    <n v="2801.6"/>
    <n v="105.55182752712736"/>
    <s v="USD"/>
    <n v="0"/>
    <s v="9UN1085"/>
    <s v="RFP"/>
    <n v="0"/>
    <n v="0"/>
    <n v="0"/>
    <n v="0"/>
    <n v="0"/>
    <n v="0"/>
  </r>
  <r>
    <s v="DV 82/10/EN/2023 "/>
    <n v="91"/>
    <d v="2023-10-01T00:00:00"/>
    <s v="2023/26/10"/>
    <n v="421"/>
    <x v="3"/>
    <s v="S.1.4"/>
    <s v="Sal of secretary account Oct-023"/>
    <s v="D"/>
    <n v="70816"/>
    <s v="BIF"/>
    <n v="2801.6"/>
    <n v="25.276984580239862"/>
    <s v="USD"/>
    <n v="0"/>
    <s v="9UN1085"/>
    <s v="RFP"/>
    <n v="0"/>
    <n v="0"/>
    <n v="0"/>
    <n v="0"/>
    <n v="0"/>
    <n v="0"/>
  </r>
  <r>
    <s v="DV 82/10/EN/2023"/>
    <n v="91"/>
    <d v="2023-10-01T00:00:00"/>
    <s v="2023/26/10"/>
    <n v="421"/>
    <x v="3"/>
    <s v="S.1.5"/>
    <s v="Sal of Communic Officer  Oct-023"/>
    <s v="D"/>
    <n v="124808"/>
    <s v="BIF"/>
    <n v="2801.6"/>
    <n v="44.548829240434038"/>
    <s v="USD"/>
    <n v="0"/>
    <s v="9UN1085"/>
    <s v="RFP"/>
    <n v="0"/>
    <n v="0"/>
    <n v="0"/>
    <n v="0"/>
    <n v="0"/>
    <n v="0"/>
  </r>
  <r>
    <s v="DV 82/10/EN/2023 "/>
    <n v="91"/>
    <d v="2023-10-01T00:00:00"/>
    <s v="2023/26/10"/>
    <n v="421"/>
    <x v="3"/>
    <s v="S.1.6"/>
    <s v="Sal of the Cleaner Oct-023"/>
    <s v="D"/>
    <n v="133675"/>
    <s v="BIF"/>
    <n v="2801.6"/>
    <n v="47.71380639634495"/>
    <s v="USD"/>
    <n v="0"/>
    <s v="9UN1085"/>
    <s v="RFP"/>
    <n v="0"/>
    <n v="0"/>
    <n v="0"/>
    <n v="0"/>
    <n v="0"/>
    <n v="0"/>
  </r>
  <r>
    <s v="DV 82/10/EN/2023 "/>
    <n v="91"/>
    <d v="2023-10-01T00:00:00"/>
    <s v="2023/26/10"/>
    <n v="421"/>
    <x v="3"/>
    <s v="O.1.5"/>
    <s v="Sal of guard Bujumbura Oct-023"/>
    <s v="D"/>
    <n v="26422"/>
    <s v="BIF"/>
    <n v="2801.6"/>
    <n v="9.4310394060536833"/>
    <s v="USD"/>
    <n v="0"/>
    <s v="9UN1085"/>
    <s v="RFP"/>
    <n v="0"/>
    <n v="0"/>
    <n v="0"/>
    <n v="0"/>
    <n v="0"/>
    <n v="0"/>
  </r>
  <r>
    <s v="DV 82/10/EN/2023"/>
    <n v="91"/>
    <d v="2023-10-01T00:00:00"/>
    <s v="2023/26/10"/>
    <n v="421"/>
    <x v="3"/>
    <s v="O.1.6"/>
    <s v="Sal of guard Rutana Oct-023"/>
    <s v="D"/>
    <n v="150000"/>
    <s v="BIF"/>
    <n v="2801.6"/>
    <n v="53.540833809251858"/>
    <s v="USD"/>
    <n v="0"/>
    <s v="9UN1085"/>
    <s v="RFP"/>
    <n v="0"/>
    <n v="0"/>
    <n v="0"/>
    <n v="0"/>
    <n v="0"/>
    <n v="0"/>
  </r>
  <r>
    <s v="DV 83/10/EN/2023 "/>
    <n v="92"/>
    <d v="2023-10-01T00:00:00"/>
    <s v="2023/26/10"/>
    <n v="6311"/>
    <x v="3"/>
    <s v="O.1.4"/>
    <s v="Rutana office rent"/>
    <s v="D"/>
    <n v="150000"/>
    <s v="BIF"/>
    <n v="2801.6"/>
    <n v="53.540833809251858"/>
    <s v="USD"/>
    <n v="0"/>
    <s v="9UN1085"/>
    <s v="RFP"/>
    <n v="0"/>
    <n v="0"/>
    <n v="0"/>
    <n v="0"/>
    <n v="0"/>
    <n v="0"/>
  </r>
  <r>
    <s v="DV 84/10/EN/2023 pr Eau et Electr"/>
    <n v="93"/>
    <d v="2023-10-01T00:00:00"/>
    <s v="2023/27/10"/>
    <n v="6171"/>
    <x v="3"/>
    <s v="O.1.9"/>
    <s v="Water and electricity"/>
    <s v="D"/>
    <n v="45000"/>
    <s v="BIF"/>
    <n v="2801.6"/>
    <n v="16.062250142775557"/>
    <s v="USD"/>
    <n v="0"/>
    <s v="9UN1085"/>
    <s v="RFP"/>
    <n v="0"/>
    <n v="0"/>
    <n v="0"/>
    <n v="0"/>
    <n v="0"/>
    <n v="0"/>
  </r>
  <r>
    <s v="Relevé bancaire  G 541686"/>
    <n v="87"/>
    <d v="2023-10-01T00:00:00"/>
    <s v="2023/27/10"/>
    <n v="6341"/>
    <x v="3"/>
    <s v="O.1.8"/>
    <s v="Office supplies(bank charge)"/>
    <s v="D"/>
    <n v="3750"/>
    <s v="BIF"/>
    <n v="2801.6"/>
    <n v="1.3385208452312964"/>
    <s v="USD"/>
    <n v="0"/>
    <s v="9UN1085"/>
    <s v="RFP"/>
    <n v="0"/>
    <n v="0"/>
    <n v="0"/>
    <n v="0"/>
    <n v="0"/>
    <n v="0"/>
  </r>
  <r>
    <s v="Relevé bancaire  "/>
    <n v="87"/>
    <d v="2023-10-01T00:00:00"/>
    <s v="2023/30/10"/>
    <n v="6341"/>
    <x v="3"/>
    <s v="O.1.8"/>
    <s v="Office supplies(bank charge)"/>
    <s v="D"/>
    <n v="6000"/>
    <s v="BIF"/>
    <n v="2801.6"/>
    <n v="2.1416333523700741"/>
    <s v="USD"/>
    <n v="0"/>
    <s v="9UN1085"/>
    <s v="RFP"/>
    <n v="0"/>
    <n v="0"/>
    <n v="0"/>
    <n v="0"/>
    <n v="0"/>
    <n v="0"/>
  </r>
  <r>
    <s v="B Bank Charges_BIF Account"/>
    <n v="5723"/>
    <s v="2024/007"/>
    <d v="2023-10-31T00:00:00"/>
    <n v="3600"/>
    <x v="1"/>
    <m/>
    <s v="03.02.14.UN-Bank charges _ BIF Account_Oct2023"/>
    <s v="D"/>
    <n v="45000"/>
    <s v="BIF"/>
    <n v="2.8998300000000001E-4"/>
    <n v="15.93"/>
    <s v="USD"/>
    <n v="13.05"/>
    <s v="9UN1085"/>
    <s v="Christian Aid"/>
    <s v="I2281"/>
    <n v="0"/>
    <s v="DND"/>
    <d v="2023-11-05T00:00:00"/>
    <d v="2023-11-06T00:00:00"/>
    <s v="TKA"/>
  </r>
  <r>
    <s v="B CHQ0003598"/>
    <n v="5611"/>
    <s v="2024/007"/>
    <d v="2023-10-03T00:00:00"/>
    <n v="3410"/>
    <x v="1"/>
    <m/>
    <s v="03.02.08.UN-Cash Power_Oct23"/>
    <s v="D"/>
    <n v="200000"/>
    <s v="BIF"/>
    <n v="2.8998300000000001E-4"/>
    <n v="70.8"/>
    <s v="USD"/>
    <n v="58"/>
    <s v="9UN1085"/>
    <s v="Christian Aid"/>
    <s v="I2281"/>
    <n v="0"/>
    <s v="DND"/>
    <d v="2023-11-04T00:00:00"/>
    <d v="2023-11-06T00:00:00"/>
    <s v="TKA"/>
  </r>
  <r>
    <s v="B CHQ0003629"/>
    <n v="5756"/>
    <s v="2024/007"/>
    <d v="2023-10-27T00:00:00"/>
    <n v="3350"/>
    <x v="4"/>
    <m/>
    <s v="03.02.11.UN-Fuel vehicle A 418 IT-51.12L"/>
    <s v="D"/>
    <n v="232600"/>
    <s v="BIF"/>
    <n v="2.8998300000000001E-4"/>
    <n v="82.34"/>
    <s v="USD"/>
    <n v="67.45"/>
    <s v="9UN1085"/>
    <s v="Christian Aid"/>
    <s v="I2281"/>
    <n v="0"/>
    <s v="DND"/>
    <d v="2023-11-05T00:00:00"/>
    <d v="2023-11-06T00:00:00"/>
    <s v="TKA"/>
  </r>
  <r>
    <s v="B CV1136"/>
    <n v="5700"/>
    <s v="2024/007"/>
    <d v="2023-10-06T00:00:00"/>
    <n v="3490"/>
    <x v="1"/>
    <m/>
    <s v="03.02.06.UN-Office Supplies"/>
    <s v="D"/>
    <n v="96500"/>
    <s v="BIF"/>
    <n v="2.8998300000000001E-4"/>
    <n v="34.159999999999997"/>
    <s v="USD"/>
    <n v="27.98"/>
    <s v="9UN1085"/>
    <s v="Christian Aid"/>
    <s v="I2281"/>
    <n v="0"/>
    <s v="DND"/>
    <d v="2023-11-05T00:00:00"/>
    <d v="2023-11-06T00:00:00"/>
    <s v="TKA"/>
  </r>
  <r>
    <s v="B CV1139"/>
    <n v="5703"/>
    <s v="2024/007"/>
    <d v="2023-10-09T00:00:00"/>
    <n v="3490"/>
    <x v="1"/>
    <m/>
    <s v="03.02.06.UN-Office supplies"/>
    <s v="D"/>
    <n v="50000"/>
    <s v="BIF"/>
    <n v="2.8998300000000001E-4"/>
    <n v="17.7"/>
    <s v="USD"/>
    <n v="14.5"/>
    <s v="9UN1085"/>
    <s v="Christian Aid"/>
    <s v="I2281"/>
    <n v="0"/>
    <s v="DND"/>
    <d v="2023-11-05T00:00:00"/>
    <d v="2023-11-06T00:00:00"/>
    <s v="TKA"/>
  </r>
  <r>
    <s v="B CV1141"/>
    <n v="5705"/>
    <s v="2024/007"/>
    <d v="2023-10-12T00:00:00"/>
    <n v="3490"/>
    <x v="1"/>
    <m/>
    <s v="03.02.06.UN-Transport fees_Fiacre Havyarimana"/>
    <s v="D"/>
    <n v="4000"/>
    <s v="BIF"/>
    <n v="2.8998300000000001E-4"/>
    <n v="1.42"/>
    <s v="USD"/>
    <n v="1.1599999999999999"/>
    <s v="9UN1085"/>
    <s v="Christian Aid"/>
    <s v="I2281"/>
    <n v="0"/>
    <s v="DND"/>
    <d v="2023-11-05T00:00:00"/>
    <d v="2023-11-06T00:00:00"/>
    <s v="TKA"/>
  </r>
  <r>
    <s v="B CV1144"/>
    <n v="5709"/>
    <s v="2024/007"/>
    <d v="2023-10-17T00:00:00"/>
    <n v="3490"/>
    <x v="1"/>
    <m/>
    <s v="03.02.06.UN-Purchase of a Tube&amp;starter"/>
    <s v="D"/>
    <n v="7000"/>
    <s v="BIF"/>
    <n v="2.8998300000000001E-4"/>
    <n v="2.48"/>
    <s v="USD"/>
    <n v="2.0299999999999998"/>
    <s v="9UN1085"/>
    <s v="Christian Aid"/>
    <s v="I2281"/>
    <n v="0"/>
    <s v="DND"/>
    <d v="2023-11-05T00:00:00"/>
    <d v="2023-11-06T00:00:00"/>
    <s v="TKA"/>
  </r>
  <r>
    <s v="B CV1148"/>
    <n v="5713"/>
    <s v="2024/007"/>
    <d v="2023-10-23T00:00:00"/>
    <n v="3340"/>
    <x v="1"/>
    <m/>
    <s v="03.02.11.UNPincage de 2 vehicules_E613AIT&amp;E707A IT"/>
    <s v="D"/>
    <n v="40000"/>
    <s v="BIF"/>
    <n v="2.8998300000000001E-4"/>
    <n v="14.16"/>
    <s v="USD"/>
    <n v="11.6"/>
    <s v="9UN1085"/>
    <s v="Christian Aid"/>
    <s v="I2281"/>
    <n v="0"/>
    <s v="DND"/>
    <d v="2023-11-05T00:00:00"/>
    <d v="2023-11-06T00:00:00"/>
    <s v="TKA"/>
  </r>
  <r>
    <s v="B CV1153"/>
    <n v="5719"/>
    <s v="2024/007"/>
    <d v="2023-10-26T00:00:00"/>
    <n v="3490"/>
    <x v="1"/>
    <m/>
    <s v="03.02.06.UN-Gardening fees"/>
    <s v="D"/>
    <n v="30000"/>
    <s v="BIF"/>
    <n v="2.8998300000000001E-4"/>
    <n v="10.62"/>
    <s v="USD"/>
    <n v="8.6999999999999993"/>
    <s v="9UN1085"/>
    <s v="Christian Aid"/>
    <s v="I2281"/>
    <n v="0"/>
    <s v="DND"/>
    <d v="2023-11-05T00:00:00"/>
    <d v="2023-11-06T00:00:00"/>
    <s v="TKA"/>
  </r>
  <r>
    <s v="B FACT003/2023"/>
    <n v="5615"/>
    <s v="2024/007"/>
    <d v="2023-10-02T00:00:00"/>
    <n v="3170"/>
    <x v="2"/>
    <m/>
    <s v="03.02.05.UN-CD Rent_Oct to Dec23"/>
    <s v="D"/>
    <n v="1500000"/>
    <s v="BIF"/>
    <n v="2.8998300000000001E-4"/>
    <n v="530.97"/>
    <s v="USD"/>
    <n v="434.97"/>
    <s v="9UN1085"/>
    <s v="Christian Aid"/>
    <s v="I2281"/>
    <n v="0"/>
    <s v="DND"/>
    <d v="2023-11-04T00:00:00"/>
    <d v="2023-11-06T00:00:00"/>
    <s v="TKA"/>
  </r>
  <r>
    <s v="B FACT0479/MS-CA"/>
    <n v="5729"/>
    <s v="2024/007"/>
    <d v="2023-10-11T00:00:00"/>
    <n v="3340"/>
    <x v="4"/>
    <m/>
    <s v="03.02.11.UN-Vehicle maintenance_C787AIT"/>
    <s v="D"/>
    <n v="214760"/>
    <s v="BIF"/>
    <n v="2.8998300000000001E-4"/>
    <n v="76.02"/>
    <s v="USD"/>
    <n v="62.28"/>
    <s v="9UN1085"/>
    <s v="Christian Aid"/>
    <s v="I2281"/>
    <n v="0"/>
    <s v="DND"/>
    <d v="2023-11-05T00:00:00"/>
    <d v="2023-11-06T00:00:00"/>
    <s v="TKA"/>
  </r>
  <r>
    <s v="B FACT1830"/>
    <n v="5619"/>
    <s v="2024/007"/>
    <d v="2023-10-23T00:00:00"/>
    <n v="3400"/>
    <x v="1"/>
    <m/>
    <s v="03.02.07.UN-Security fees_Oct23"/>
    <s v="D"/>
    <n v="107000"/>
    <s v="BIF"/>
    <n v="2.8998300000000001E-4"/>
    <n v="37.880000000000003"/>
    <s v="USD"/>
    <n v="31.03"/>
    <s v="9UN1085"/>
    <s v="Christian Aid"/>
    <s v="I2281"/>
    <n v="0"/>
    <s v="DND"/>
    <d v="2023-11-05T00:00:00"/>
    <d v="2023-11-06T00:00:00"/>
    <s v="TKA"/>
  </r>
  <r>
    <s v="B FACT28-09-2023"/>
    <n v="5632"/>
    <s v="2024/007"/>
    <d v="2023-09-28T00:00:00"/>
    <n v="3460"/>
    <x v="0"/>
    <m/>
    <s v="03.02.10.UN-Maintenance of I.T Equipment"/>
    <s v="D"/>
    <n v="400000"/>
    <s v="BIF"/>
    <n v="2.8998300000000001E-4"/>
    <n v="141.59"/>
    <s v="USD"/>
    <n v="115.99"/>
    <s v="9UN1085"/>
    <s v="Christian Aid"/>
    <s v="I2281"/>
    <n v="0"/>
    <s v="DND"/>
    <d v="2023-11-05T00:00:00"/>
    <d v="2023-11-06T00:00:00"/>
    <s v="TKA"/>
  </r>
  <r>
    <s v="B FACT28-09-2023"/>
    <n v="5632"/>
    <s v="2024/007"/>
    <d v="2023-09-28T00:00:00"/>
    <n v="3460"/>
    <x v="0"/>
    <m/>
    <s v="03.02.10.UN_Maintenance of I.T Equipment"/>
    <s v="D"/>
    <n v="367000"/>
    <s v="BIF"/>
    <n v="2.8998300000000001E-4"/>
    <n v="129.91"/>
    <s v="USD"/>
    <n v="106.42"/>
    <s v="9UN1085"/>
    <s v="Christian Aid"/>
    <s v="I2281"/>
    <n v="0"/>
    <s v="DND"/>
    <d v="2023-11-05T00:00:00"/>
    <d v="2023-11-06T00:00:00"/>
    <s v="TKA"/>
  </r>
  <r>
    <s v="B FACT502230900543731"/>
    <n v="5622"/>
    <s v="2024/007"/>
    <d v="2023-10-24T00:00:00"/>
    <n v="3410"/>
    <x v="1"/>
    <m/>
    <s v="03.02.08.UN-Invoice for water_Sept23"/>
    <s v="D"/>
    <n v="50000"/>
    <s v="BIF"/>
    <n v="2.8998300000000001E-4"/>
    <n v="17.7"/>
    <s v="USD"/>
    <n v="14.5"/>
    <s v="9UN1085"/>
    <s v="Christian Aid"/>
    <s v="I2281"/>
    <n v="0"/>
    <s v="DND"/>
    <d v="2023-11-05T00:00:00"/>
    <d v="2023-11-06T00:00:00"/>
    <s v="TKA"/>
  </r>
  <r>
    <s v="B OV0003491"/>
    <n v="5617"/>
    <s v="2024/007"/>
    <d v="2023-10-04T00:00:00"/>
    <n v="3490"/>
    <x v="1"/>
    <m/>
    <s v="03.02.06.UN-Office Supplies"/>
    <s v="D"/>
    <n v="200000"/>
    <s v="BIF"/>
    <n v="2.8998300000000001E-4"/>
    <n v="70.8"/>
    <s v="USD"/>
    <n v="58"/>
    <s v="9UN1085"/>
    <s v="Christian Aid"/>
    <s v="I2281"/>
    <n v="0"/>
    <s v="DND"/>
    <d v="2023-11-04T00:00:00"/>
    <d v="2023-11-06T00:00:00"/>
    <s v="TKA"/>
  </r>
  <r>
    <s v="B OV0003506"/>
    <n v="5734"/>
    <s v="2024/007"/>
    <d v="2023-10-10T00:00:00"/>
    <n v="3420"/>
    <x v="1"/>
    <m/>
    <s v="03.02.09.UN-Office Internet_October 2023"/>
    <s v="D"/>
    <n v="500000"/>
    <s v="BIF"/>
    <n v="2.8998300000000001E-4"/>
    <n v="176.99"/>
    <s v="USD"/>
    <n v="144.99"/>
    <s v="9UN1085"/>
    <s v="Christian Aid"/>
    <s v="I2281"/>
    <n v="0"/>
    <s v="DND"/>
    <d v="2023-11-05T00:00:00"/>
    <d v="2023-11-06T00:00:00"/>
    <s v="TKA"/>
  </r>
  <r>
    <s v="BUR_SAL_2024/007"/>
    <n v="5608"/>
    <s v="2024/007"/>
    <d v="2023-10-30T00:00:00"/>
    <n v="3110"/>
    <x v="2"/>
    <m/>
    <s v="Salary"/>
    <s v="D"/>
    <n v="2043487.1"/>
    <s v="BIF"/>
    <n v="2.8998300000000001E-4"/>
    <n v="723.36"/>
    <s v="USD"/>
    <n v="613.04999999999995"/>
    <s v="9UN1085"/>
    <s v="Christian Aid"/>
    <s v="I2281"/>
    <n v="102955"/>
    <s v="FHA"/>
    <d v="2023-11-03T00:00:00"/>
    <d v="2023-11-02T00:00:00"/>
    <s v="TKA"/>
  </r>
  <r>
    <s v="BUR_SAL_2024/007"/>
    <n v="5608"/>
    <s v="2024/007"/>
    <d v="2023-10-30T00:00:00"/>
    <n v="3110"/>
    <x v="2"/>
    <m/>
    <s v="Salary"/>
    <s v="D"/>
    <n v="595528.80000000005"/>
    <s v="BIF"/>
    <n v="2.8998300000000001E-4"/>
    <n v="210.81"/>
    <s v="USD"/>
    <n v="178.66"/>
    <s v="9UN1085"/>
    <s v="Christian Aid"/>
    <s v="I2281"/>
    <n v="103265"/>
    <s v="FHA"/>
    <d v="2023-11-03T00:00:00"/>
    <d v="2023-11-02T00:00:00"/>
    <s v="TKA"/>
  </r>
  <r>
    <s v="BUR_SAL_2024/007"/>
    <n v="5608"/>
    <s v="2024/007"/>
    <d v="2023-10-30T00:00:00"/>
    <n v="3110"/>
    <x v="2"/>
    <m/>
    <s v="Salary"/>
    <s v="D"/>
    <n v="5592445"/>
    <s v="BIF"/>
    <n v="2.8998300000000001E-4"/>
    <n v="1979.62"/>
    <s v="USD"/>
    <n v="1677.73"/>
    <s v="9UN1085"/>
    <s v="Christian Aid"/>
    <s v="I2281"/>
    <n v="117871"/>
    <s v="FHA"/>
    <d v="2023-11-03T00:00:00"/>
    <d v="2023-11-02T00:00:00"/>
    <s v="TKA"/>
  </r>
  <r>
    <s v="BUR_SAL_2024/007"/>
    <n v="5608"/>
    <s v="2024/007"/>
    <d v="2023-10-30T00:00:00"/>
    <n v="3110"/>
    <x v="2"/>
    <m/>
    <s v="Salary"/>
    <s v="D"/>
    <n v="3083644.8"/>
    <s v="BIF"/>
    <n v="2.8998300000000001E-4"/>
    <n v="1091.55"/>
    <s v="USD"/>
    <n v="925.09"/>
    <s v="9UN1085"/>
    <s v="Christian Aid"/>
    <s v="I2281"/>
    <n v="103321"/>
    <s v="FHA"/>
    <d v="2023-11-03T00:00:00"/>
    <d v="2023-11-02T00:00:00"/>
    <s v="TKA"/>
  </r>
  <r>
    <s v="BUR_SAL_2024/007"/>
    <n v="5608"/>
    <s v="2024/007"/>
    <d v="2023-10-30T00:00:00"/>
    <n v="3110"/>
    <x v="2"/>
    <m/>
    <s v="Salary"/>
    <s v="D"/>
    <n v="598983.6"/>
    <s v="BIF"/>
    <n v="2.8998300000000001E-4"/>
    <n v="212.03"/>
    <s v="USD"/>
    <n v="179.7"/>
    <s v="9UN1085"/>
    <s v="Christian Aid"/>
    <s v="I2281"/>
    <n v="117427"/>
    <s v="FHA"/>
    <d v="2023-11-03T00:00:00"/>
    <d v="2023-11-02T00:00:00"/>
    <s v="TKA"/>
  </r>
  <r>
    <s v="BUR_SAL_2024/007"/>
    <n v="5608"/>
    <s v="2024/007"/>
    <d v="2023-10-30T00:00:00"/>
    <n v="3110"/>
    <x v="2"/>
    <m/>
    <s v="Salary"/>
    <s v="D"/>
    <n v="3194579.2"/>
    <s v="BIF"/>
    <n v="2.8998300000000001E-4"/>
    <n v="1130.82"/>
    <s v="USD"/>
    <n v="958.37"/>
    <s v="9UN1085"/>
    <s v="Christian Aid"/>
    <s v="I2281"/>
    <n v="117872"/>
    <s v="FHA"/>
    <d v="2023-11-03T00:00:00"/>
    <d v="2023-11-02T00:00:00"/>
    <s v="TKA"/>
  </r>
  <r>
    <s v="BUR_SAL_2024/007"/>
    <n v="5608"/>
    <s v="2024/007"/>
    <d v="2023-10-30T00:00:00"/>
    <n v="3110"/>
    <x v="2"/>
    <m/>
    <s v="Salary"/>
    <s v="D"/>
    <n v="802216.5"/>
    <s v="BIF"/>
    <n v="2.8998300000000001E-4"/>
    <n v="283.97000000000003"/>
    <s v="USD"/>
    <n v="240.66"/>
    <s v="9UN1085"/>
    <s v="Christian Aid"/>
    <s v="I2281"/>
    <n v="103328"/>
    <s v="FHA"/>
    <d v="2023-11-03T00:00:00"/>
    <d v="2023-11-02T00:00:00"/>
    <s v="TKA"/>
  </r>
  <r>
    <s v="BUR_SAL_2024/007"/>
    <n v="5608"/>
    <s v="2024/007"/>
    <d v="2023-10-30T00:00:00"/>
    <n v="3110"/>
    <x v="2"/>
    <m/>
    <s v="Salary"/>
    <s v="D"/>
    <n v="684495.7"/>
    <s v="BIF"/>
    <n v="2.8998300000000001E-4"/>
    <n v="242.3"/>
    <s v="USD"/>
    <n v="205.35"/>
    <s v="9UN1085"/>
    <s v="Christian Aid"/>
    <s v="I2281"/>
    <n v="117293"/>
    <s v="FHA"/>
    <d v="2023-11-03T00:00:00"/>
    <d v="2023-11-02T00:00:00"/>
    <s v="TKA"/>
  </r>
  <r>
    <s v="BUR_SAL_2024/007"/>
    <n v="5608"/>
    <s v="2024/007"/>
    <d v="2023-10-30T00:00:00"/>
    <n v="3120"/>
    <x v="2"/>
    <m/>
    <s v="INSS"/>
    <s v="D"/>
    <n v="4410"/>
    <s v="BIF"/>
    <n v="2.8998300000000001E-4"/>
    <n v="1.56"/>
    <s v="USD"/>
    <n v="1.32"/>
    <s v="9UN1085"/>
    <s v="Christian Aid"/>
    <s v="I2281"/>
    <n v="103265"/>
    <s v="FHA"/>
    <d v="2023-11-03T00:00:00"/>
    <d v="2023-11-02T00:00:00"/>
    <s v="TKA"/>
  </r>
  <r>
    <s v="BUR_SAL_2024/007"/>
    <n v="5608"/>
    <s v="2024/007"/>
    <d v="2023-10-30T00:00:00"/>
    <n v="3120"/>
    <x v="2"/>
    <m/>
    <s v="INSS"/>
    <s v="D"/>
    <n v="29400"/>
    <s v="BIF"/>
    <n v="2.8998300000000001E-4"/>
    <n v="10.41"/>
    <s v="USD"/>
    <n v="8.82"/>
    <s v="9UN1085"/>
    <s v="Christian Aid"/>
    <s v="I2281"/>
    <n v="117871"/>
    <s v="FHA"/>
    <d v="2023-11-03T00:00:00"/>
    <d v="2023-11-02T00:00:00"/>
    <s v="TKA"/>
  </r>
  <r>
    <s v="BUR_SAL_2024/007"/>
    <n v="5608"/>
    <s v="2024/007"/>
    <d v="2023-10-30T00:00:00"/>
    <n v="3120"/>
    <x v="2"/>
    <m/>
    <s v="INSS"/>
    <s v="D"/>
    <n v="23520"/>
    <s v="BIF"/>
    <n v="2.8998300000000001E-4"/>
    <n v="8.33"/>
    <s v="USD"/>
    <n v="7.06"/>
    <s v="9UN1085"/>
    <s v="Christian Aid"/>
    <s v="I2281"/>
    <n v="103321"/>
    <s v="FHA"/>
    <d v="2023-11-03T00:00:00"/>
    <d v="2023-11-02T00:00:00"/>
    <s v="TKA"/>
  </r>
  <r>
    <s v="BUR_SAL_2024/007"/>
    <n v="5608"/>
    <s v="2024/007"/>
    <d v="2023-10-30T00:00:00"/>
    <n v="3120"/>
    <x v="2"/>
    <m/>
    <s v="INSS"/>
    <s v="D"/>
    <n v="4410"/>
    <s v="BIF"/>
    <n v="2.8998300000000001E-4"/>
    <n v="1.56"/>
    <s v="USD"/>
    <n v="1.32"/>
    <s v="9UN1085"/>
    <s v="Christian Aid"/>
    <s v="I2281"/>
    <n v="117427"/>
    <s v="FHA"/>
    <d v="2023-11-03T00:00:00"/>
    <d v="2023-11-02T00:00:00"/>
    <s v="TKA"/>
  </r>
  <r>
    <s v="BUR_SAL_2024/007"/>
    <n v="5608"/>
    <s v="2024/007"/>
    <d v="2023-10-30T00:00:00"/>
    <n v="3120"/>
    <x v="2"/>
    <m/>
    <s v="INSS"/>
    <s v="D"/>
    <n v="23520"/>
    <s v="BIF"/>
    <n v="2.8998300000000001E-4"/>
    <n v="8.33"/>
    <s v="USD"/>
    <n v="7.06"/>
    <s v="9UN1085"/>
    <s v="Christian Aid"/>
    <s v="I2281"/>
    <n v="117872"/>
    <s v="FHA"/>
    <d v="2023-11-03T00:00:00"/>
    <d v="2023-11-02T00:00:00"/>
    <s v="TKA"/>
  </r>
  <r>
    <s v="BUR_SAL_2024/007"/>
    <n v="5608"/>
    <s v="2024/007"/>
    <d v="2023-10-30T00:00:00"/>
    <n v="3120"/>
    <x v="2"/>
    <m/>
    <s v="INSS"/>
    <s v="D"/>
    <n v="14700"/>
    <s v="BIF"/>
    <n v="2.8998300000000001E-4"/>
    <n v="5.2"/>
    <s v="USD"/>
    <n v="4.41"/>
    <s v="9UN1085"/>
    <s v="Christian Aid"/>
    <s v="I2281"/>
    <n v="103328"/>
    <s v="FHA"/>
    <d v="2023-11-03T00:00:00"/>
    <d v="2023-11-02T00:00:00"/>
    <s v="TKA"/>
  </r>
  <r>
    <s v="BUR_SAL_2024/007"/>
    <n v="5608"/>
    <s v="2024/007"/>
    <d v="2023-10-30T00:00:00"/>
    <n v="3120"/>
    <x v="2"/>
    <m/>
    <s v="INSS"/>
    <s v="D"/>
    <n v="2940"/>
    <s v="BIF"/>
    <n v="2.8998300000000001E-4"/>
    <n v="1.04"/>
    <s v="USD"/>
    <n v="0.88"/>
    <s v="9UN1085"/>
    <s v="Christian Aid"/>
    <s v="I2281"/>
    <n v="117293"/>
    <s v="FHA"/>
    <d v="2023-11-03T00:00:00"/>
    <d v="2023-11-02T00:00:00"/>
    <s v="TKA"/>
  </r>
  <r>
    <s v="BUR_SAL_2024/007"/>
    <n v="5608"/>
    <s v="2024/007"/>
    <d v="2023-10-30T00:00:00"/>
    <n v="3130"/>
    <x v="2"/>
    <m/>
    <s v="CPF ERS"/>
    <s v="D"/>
    <n v="204348.7"/>
    <s v="BIF"/>
    <n v="2.8998300000000001E-4"/>
    <n v="72.34"/>
    <s v="USD"/>
    <n v="61.3"/>
    <s v="9UN1085"/>
    <s v="Christian Aid"/>
    <s v="I2281"/>
    <n v="102955"/>
    <s v="FHA"/>
    <d v="2023-11-03T00:00:00"/>
    <d v="2023-11-02T00:00:00"/>
    <s v="TKA"/>
  </r>
  <r>
    <s v="BUR_SAL_2024/007"/>
    <n v="5608"/>
    <s v="2024/007"/>
    <d v="2023-10-30T00:00:00"/>
    <n v="3130"/>
    <x v="2"/>
    <m/>
    <s v="CPF ERS"/>
    <s v="D"/>
    <n v="55502.85"/>
    <s v="BIF"/>
    <n v="2.8998300000000001E-4"/>
    <n v="19.649999999999999"/>
    <s v="USD"/>
    <n v="16.649999999999999"/>
    <s v="9UN1085"/>
    <s v="Christian Aid"/>
    <s v="I2281"/>
    <n v="103265"/>
    <s v="FHA"/>
    <d v="2023-11-03T00:00:00"/>
    <d v="2023-11-02T00:00:00"/>
    <s v="TKA"/>
  </r>
  <r>
    <s v="BUR_SAL_2024/007"/>
    <n v="5608"/>
    <s v="2024/007"/>
    <d v="2023-10-30T00:00:00"/>
    <n v="3130"/>
    <x v="2"/>
    <m/>
    <s v="CPF ERS"/>
    <s v="D"/>
    <n v="532244"/>
    <s v="BIF"/>
    <n v="2.8998300000000001E-4"/>
    <n v="188.4"/>
    <s v="USD"/>
    <n v="159.66999999999999"/>
    <s v="9UN1085"/>
    <s v="Christian Aid"/>
    <s v="I2281"/>
    <n v="117871"/>
    <s v="FHA"/>
    <d v="2023-11-03T00:00:00"/>
    <d v="2023-11-02T00:00:00"/>
    <s v="TKA"/>
  </r>
  <r>
    <s v="BUR_SAL_2024/007"/>
    <n v="5608"/>
    <s v="2024/007"/>
    <d v="2023-10-30T00:00:00"/>
    <n v="3130"/>
    <x v="2"/>
    <m/>
    <s v="CPF ERS"/>
    <s v="D"/>
    <n v="286764.79999999999"/>
    <s v="BIF"/>
    <n v="2.8998300000000001E-4"/>
    <n v="101.51"/>
    <s v="USD"/>
    <n v="86.03"/>
    <s v="9UN1085"/>
    <s v="Christian Aid"/>
    <s v="I2281"/>
    <n v="103321"/>
    <s v="FHA"/>
    <d v="2023-11-03T00:00:00"/>
    <d v="2023-11-02T00:00:00"/>
    <s v="TKA"/>
  </r>
  <r>
    <s v="BUR_SAL_2024/007"/>
    <n v="5608"/>
    <s v="2024/007"/>
    <d v="2023-10-30T00:00:00"/>
    <n v="3130"/>
    <x v="2"/>
    <m/>
    <s v="CPF ERS"/>
    <s v="D"/>
    <n v="55848.3"/>
    <s v="BIF"/>
    <n v="2.8998300000000001E-4"/>
    <n v="19.77"/>
    <s v="USD"/>
    <n v="16.75"/>
    <s v="9UN1085"/>
    <s v="Christian Aid"/>
    <s v="I2281"/>
    <n v="117427"/>
    <s v="FHA"/>
    <d v="2023-11-03T00:00:00"/>
    <d v="2023-11-02T00:00:00"/>
    <s v="TKA"/>
  </r>
  <r>
    <s v="BUR_SAL_2024/007"/>
    <n v="5608"/>
    <s v="2024/007"/>
    <d v="2023-10-30T00:00:00"/>
    <n v="3130"/>
    <x v="2"/>
    <m/>
    <s v="CPF ERS"/>
    <s v="D"/>
    <n v="297857.59999999998"/>
    <s v="BIF"/>
    <n v="2.8998300000000001E-4"/>
    <n v="105.44"/>
    <s v="USD"/>
    <n v="89.36"/>
    <s v="9UN1085"/>
    <s v="Christian Aid"/>
    <s v="I2281"/>
    <n v="117872"/>
    <s v="FHA"/>
    <d v="2023-11-03T00:00:00"/>
    <d v="2023-11-02T00:00:00"/>
    <s v="TKA"/>
  </r>
  <r>
    <s v="BUR_SAL_2024/007"/>
    <n v="5608"/>
    <s v="2024/007"/>
    <d v="2023-10-30T00:00:00"/>
    <n v="3130"/>
    <x v="2"/>
    <m/>
    <s v="CPF ERS"/>
    <s v="D"/>
    <n v="66721.5"/>
    <s v="BIF"/>
    <n v="2.8998300000000001E-4"/>
    <n v="23.62"/>
    <s v="USD"/>
    <n v="20.02"/>
    <s v="9UN1085"/>
    <s v="Christian Aid"/>
    <s v="I2281"/>
    <n v="103328"/>
    <s v="FHA"/>
    <d v="2023-11-03T00:00:00"/>
    <d v="2023-11-02T00:00:00"/>
    <s v="TKA"/>
  </r>
  <r>
    <s v="BUR_SAL_2024/007"/>
    <n v="5608"/>
    <s v="2024/007"/>
    <d v="2023-10-30T00:00:00"/>
    <n v="3130"/>
    <x v="2"/>
    <m/>
    <s v="CPF ERS"/>
    <s v="D"/>
    <n v="65749.600000000006"/>
    <s v="BIF"/>
    <n v="2.8998300000000001E-4"/>
    <n v="23.27"/>
    <s v="USD"/>
    <n v="19.72"/>
    <s v="9UN1085"/>
    <s v="Christian Aid"/>
    <s v="I2281"/>
    <n v="117293"/>
    <s v="FHA"/>
    <d v="2023-11-03T00:00:00"/>
    <d v="2023-11-02T00:00:00"/>
    <s v="TKA"/>
  </r>
  <r>
    <s v="CHQ1615427"/>
    <n v="22"/>
    <d v="2023-06-01T00:00:00"/>
    <s v="30/6/2023"/>
    <m/>
    <x v="3"/>
    <s v="A.1.1.1"/>
    <s v="Car rentals"/>
    <s v="D"/>
    <n v="1500000"/>
    <s v="BIF"/>
    <n v="2801.6"/>
    <n v="535.40833809251853"/>
    <s v="USD"/>
    <n v="0"/>
    <s v="9UN1085"/>
    <s v="RFP"/>
    <n v="0"/>
    <n v="0"/>
    <n v="0"/>
    <n v="0"/>
    <n v="0"/>
    <n v="0"/>
  </r>
  <r>
    <s v="CHQ1615421"/>
    <n v="23"/>
    <d v="2023-06-01T00:00:00"/>
    <d v="2023-06-26T00:00:00"/>
    <m/>
    <x v="3"/>
    <s v="A.1.1.1"/>
    <s v=" Communal PF travel expenses"/>
    <s v="D"/>
    <n v="180000"/>
    <s v="BIF"/>
    <n v="2801.6"/>
    <n v="64.249000571102229"/>
    <s v="USD"/>
    <n v="0"/>
    <s v="9UN1085"/>
    <s v="RFP"/>
    <n v="0"/>
    <n v="0"/>
    <n v="0"/>
    <n v="0"/>
    <n v="0"/>
    <n v="0"/>
  </r>
  <r>
    <s v="CHQ1615421"/>
    <n v="23"/>
    <d v="2023-06-01T00:00:00"/>
    <d v="2023-06-26T00:00:00"/>
    <m/>
    <x v="3"/>
    <s v="A.1.1.1"/>
    <s v=" Communal FP communication costs"/>
    <s v="D"/>
    <n v="60000"/>
    <s v="BIF"/>
    <n v="2801.6"/>
    <n v="21.416333523700743"/>
    <s v="USD"/>
    <n v="0"/>
    <s v="9UN1085"/>
    <s v="RFP"/>
    <n v="0"/>
    <n v="0"/>
    <n v="0"/>
    <n v="0"/>
    <n v="0"/>
    <n v="0"/>
  </r>
  <r>
    <s v="CHQ1615421"/>
    <n v="23"/>
    <d v="2023-06-01T00:00:00"/>
    <d v="2023-06-26T00:00:00"/>
    <m/>
    <x v="3"/>
    <s v="A.1.1.1"/>
    <s v="Representation expenses of the administration and CDFC"/>
    <s v="D"/>
    <n v="720000"/>
    <s v="BIF"/>
    <n v="2801.6"/>
    <n v="256.99600228440892"/>
    <s v="USD"/>
    <n v="0"/>
    <s v="9UN1085"/>
    <s v="RFP"/>
    <n v="0"/>
    <n v="0"/>
    <n v="0"/>
    <n v="0"/>
    <n v="0"/>
    <n v="0"/>
  </r>
  <r>
    <s v="CHQ1615421"/>
    <n v="23"/>
    <d v="2023-06-01T00:00:00"/>
    <d v="2023-06-26T00:00:00"/>
    <m/>
    <x v="3"/>
    <s v="A.1.1.1"/>
    <s v="Mission expenses of the DH YELI and RFP team"/>
    <s v="D"/>
    <n v="720000"/>
    <s v="BIF"/>
    <n v="2801.6"/>
    <n v="256.99600228440892"/>
    <s v="USD"/>
    <n v="0"/>
    <s v="9UN1085"/>
    <s v="RFP"/>
    <n v="0"/>
    <n v="0"/>
    <n v="0"/>
    <n v="0"/>
    <n v="0"/>
    <n v="0"/>
  </r>
  <r>
    <s v="CHQ1615421"/>
    <n v="23"/>
    <d v="2023-06-01T00:00:00"/>
    <d v="2023-06-26T00:00:00"/>
    <m/>
    <x v="3"/>
    <s v="A.1.1.1"/>
    <s v="Fuel rented vehicles"/>
    <s v="D"/>
    <n v="1348740"/>
    <s v="BIF"/>
    <n v="2801.6"/>
    <n v="481.41776127926903"/>
    <s v="USD"/>
    <n v="0"/>
    <s v="9UN1085"/>
    <s v="RFP"/>
    <n v="0"/>
    <n v="0"/>
    <n v="0"/>
    <n v="0"/>
    <n v="0"/>
    <n v="0"/>
  </r>
  <r>
    <s v="chq 8880780"/>
    <n v="39"/>
    <s v="June"/>
    <d v="2023-06-22T00:00:00"/>
    <m/>
    <x v="3"/>
    <s v="A.1.1.1"/>
    <s v=" Communal FP communication costs"/>
    <s v="D"/>
    <n v="110000"/>
    <s v="BIF"/>
    <n v="2802.3999950000002"/>
    <n v="39.252069724614735"/>
    <s v="USD"/>
    <n v="0"/>
    <s v="9UN1085"/>
    <s v="DUSHIREHAMWE"/>
    <n v="0"/>
    <n v="0"/>
    <n v="0"/>
    <n v="0"/>
    <n v="0"/>
    <n v="0"/>
  </r>
  <r>
    <s v="chq 8880780"/>
    <n v="40"/>
    <s v="June"/>
    <d v="2023-06-22T00:00:00"/>
    <m/>
    <x v="3"/>
    <s v="A.1.1.1"/>
    <s v=" Communal PF travel expenses"/>
    <s v="D"/>
    <n v="210000"/>
    <s v="BIF"/>
    <n v="2802.3999950000002"/>
    <n v="74.935769474264504"/>
    <s v="USD"/>
    <n v="0"/>
    <s v="9UN1085"/>
    <s v="DUSHIREHAMWE"/>
    <n v="0"/>
    <n v="0"/>
    <n v="0"/>
    <n v="0"/>
    <n v="0"/>
    <n v="0"/>
  </r>
  <r>
    <s v="chq 8880780"/>
    <n v="41"/>
    <s v="June"/>
    <d v="2023-06-22T00:00:00"/>
    <m/>
    <x v="3"/>
    <s v="A.1.1.1"/>
    <s v="Mission expenses of the DH YELI and RFP team"/>
    <s v="D"/>
    <n v="500000"/>
    <s v="BIF"/>
    <n v="2802.3999950000002"/>
    <n v="178.41849874824879"/>
    <s v="USD"/>
    <n v="0"/>
    <s v="9UN1085"/>
    <s v="DUSHIREHAMWE"/>
    <n v="0"/>
    <n v="0"/>
    <n v="0"/>
    <n v="0"/>
    <n v="0"/>
    <n v="0"/>
  </r>
  <r>
    <s v="chq 8880780"/>
    <n v="42"/>
    <s v="June"/>
    <d v="2023-06-22T00:00:00"/>
    <m/>
    <x v="3"/>
    <s v="A.1.1.1"/>
    <s v="Vehicle fuel H 2676 A"/>
    <s v="D"/>
    <n v="225600"/>
    <s v="BIF"/>
    <n v="2802.3999950000002"/>
    <n v="80.502426635209858"/>
    <s v="USD"/>
    <n v="0"/>
    <s v="9UN1085"/>
    <s v="DUSHIREHAMWE"/>
    <n v="0"/>
    <n v="0"/>
    <n v="0"/>
    <n v="0"/>
    <n v="0"/>
    <n v="0"/>
  </r>
  <r>
    <s v="chq 8880780"/>
    <n v="42"/>
    <s v="June"/>
    <d v="2023-06-22T00:00:00"/>
    <m/>
    <x v="3"/>
    <s v="A.1.1.1"/>
    <s v="Vehicle fuel H 5904 A"/>
    <s v="D"/>
    <n v="327995"/>
    <s v="BIF"/>
    <n v="2802.3999950000002"/>
    <n v="117.04075099386374"/>
    <s v="USD"/>
    <n v="0"/>
    <s v="9UN1085"/>
    <s v="DUSHIREHAMWE"/>
    <n v="0"/>
    <n v="0"/>
    <n v="0"/>
    <n v="0"/>
    <n v="0"/>
    <n v="0"/>
  </r>
  <r>
    <s v="chq 8880780"/>
    <n v="42"/>
    <s v="June"/>
    <d v="2023-06-22T00:00:00"/>
    <m/>
    <x v="3"/>
    <s v="A.1.1.1"/>
    <s v="Vehicle fuel  E 6758 A"/>
    <s v="D"/>
    <n v="319290"/>
    <s v="BIF"/>
    <n v="2802.3999950000002"/>
    <n v="113.93448493065672"/>
    <s v="USD"/>
    <n v="0"/>
    <s v="9UN1085"/>
    <s v="DUSHIREHAMWE"/>
    <n v="0"/>
    <n v="0"/>
    <n v="0"/>
    <n v="0"/>
    <n v="0"/>
    <n v="0"/>
  </r>
  <r>
    <s v="chq 8880780"/>
    <n v="42"/>
    <s v="June"/>
    <d v="2023-06-22T00:00:00"/>
    <m/>
    <x v="3"/>
    <s v="A.1.1.1"/>
    <s v="Vehicle fuel  E 6044 A"/>
    <s v="D"/>
    <n v="409139"/>
    <s v="BIF"/>
    <n v="2802.3999950000002"/>
    <n v="145.99593231871953"/>
    <s v="USD"/>
    <n v="0"/>
    <s v="9UN1085"/>
    <s v="DUSHIREHAMWE"/>
    <n v="0"/>
    <n v="0"/>
    <n v="0"/>
    <n v="0"/>
    <n v="0"/>
    <n v="0"/>
  </r>
  <r>
    <s v="chq 8880780"/>
    <n v="43"/>
    <s v="June"/>
    <d v="2023-06-22T00:00:00"/>
    <m/>
    <x v="3"/>
    <s v="A.1.1.1"/>
    <s v="Representation expenses of the administration and CDFC"/>
    <s v="D"/>
    <n v="390000"/>
    <s v="BIF"/>
    <n v="2802.3999950000002"/>
    <n v="139.16642902363407"/>
    <s v="USD"/>
    <n v="0"/>
    <s v="9UN1085"/>
    <s v="DUSHIREHAMWE"/>
    <n v="0"/>
    <n v="0"/>
    <n v="0"/>
    <n v="0"/>
    <n v="0"/>
    <n v="0"/>
  </r>
  <r>
    <s v="chq 8880780"/>
    <n v="44"/>
    <s v="June"/>
    <d v="2023-06-22T00:00:00"/>
    <m/>
    <x v="3"/>
    <s v="A.1.1.1"/>
    <s v="Fees for photocopies"/>
    <s v="D"/>
    <n v="16700"/>
    <s v="BIF"/>
    <n v="2802.3999950000002"/>
    <n v="5.9591778581915102"/>
    <s v="USD"/>
    <n v="0"/>
    <s v="9UN1085"/>
    <s v="DUSHIREHAMWE"/>
    <n v="0"/>
    <n v="0"/>
    <n v="0"/>
    <n v="0"/>
    <n v="0"/>
    <n v="0"/>
  </r>
  <r>
    <s v="OP166985"/>
    <n v="45"/>
    <s v="June"/>
    <d v="2023-06-30T00:00:00"/>
    <m/>
    <x v="3"/>
    <s v="A.1.1.1"/>
    <s v="Car rent H2676A"/>
    <s v="D"/>
    <n v="300000"/>
    <s v="BIF"/>
    <n v="2802.3999950000002"/>
    <n v="107.05109924894928"/>
    <s v="USD"/>
    <n v="0"/>
    <s v="9UN1085"/>
    <s v="DUSHIREHAMWE"/>
    <n v="0"/>
    <n v="0"/>
    <n v="0"/>
    <n v="0"/>
    <n v="0"/>
    <n v="0"/>
  </r>
  <r>
    <s v="OP166985"/>
    <n v="45"/>
    <s v="June"/>
    <d v="2023-06-30T00:00:00"/>
    <m/>
    <x v="3"/>
    <s v="A.1.1.1"/>
    <s v="Car rent H 5904 A"/>
    <s v="D"/>
    <n v="500000"/>
    <s v="BIF"/>
    <n v="2802.3999950000002"/>
    <n v="178.41849874824879"/>
    <s v="USD"/>
    <n v="0"/>
    <s v="9UN1085"/>
    <s v="DUSHIREHAMWE"/>
    <n v="0"/>
    <n v="0"/>
    <n v="0"/>
    <n v="0"/>
    <n v="0"/>
    <n v="0"/>
  </r>
  <r>
    <s v="OP166985"/>
    <n v="45"/>
    <s v="June"/>
    <d v="2023-06-30T00:00:00"/>
    <m/>
    <x v="3"/>
    <s v="A.1.1.1"/>
    <s v="Car rent E6758A"/>
    <s v="D"/>
    <n v="500000"/>
    <s v="BIF"/>
    <n v="2802.3999950000002"/>
    <n v="178.41849874824879"/>
    <s v="USD"/>
    <n v="0"/>
    <s v="9UN1085"/>
    <s v="DUSHIREHAMWE"/>
    <n v="0"/>
    <n v="0"/>
    <n v="0"/>
    <n v="0"/>
    <n v="0"/>
    <n v="0"/>
  </r>
  <r>
    <s v="OP166985"/>
    <n v="45"/>
    <s v="June"/>
    <d v="2023-06-30T00:00:00"/>
    <m/>
    <x v="3"/>
    <s v="A.1.1.1"/>
    <s v="Car rent E 6044 A"/>
    <s v="D"/>
    <n v="500000"/>
    <s v="BIF"/>
    <n v="2802.3999950000002"/>
    <n v="178.41849874824879"/>
    <s v="USD"/>
    <n v="0"/>
    <s v="9UN1085"/>
    <s v="DUSHIREHAMWE"/>
    <n v="0"/>
    <n v="0"/>
    <n v="0"/>
    <n v="0"/>
    <n v="0"/>
    <n v="0"/>
  </r>
  <r>
    <s v="ov016"/>
    <n v="3"/>
    <d v="2023-06-01T00:00:00"/>
    <s v="30/06/2023"/>
    <m/>
    <x v="3"/>
    <s v="A.1.1.1"/>
    <s v="communal PF communication cost"/>
    <m/>
    <n v="65000"/>
    <s v="BIF"/>
    <n v="2803.6597999999999"/>
    <n v="23.183982593037857"/>
    <s v="USD"/>
    <n v="0"/>
    <s v="9UN1085"/>
    <s v="YELI"/>
    <n v="0"/>
    <n v="0"/>
    <n v="0"/>
    <n v="0"/>
    <n v="0"/>
    <n v="0"/>
  </r>
  <r>
    <s v="OV016"/>
    <n v="3"/>
    <d v="2023-06-01T00:00:00"/>
    <s v="30/06/2023"/>
    <m/>
    <x v="3"/>
    <s v="A.1.1.1"/>
    <s v="Communal PF travel expenses"/>
    <m/>
    <n v="520000"/>
    <s v="BIF"/>
    <n v="2803.6597999999999"/>
    <n v="185.47186074430286"/>
    <s v="USD"/>
    <n v="0"/>
    <s v="9UN1085"/>
    <s v="YELI"/>
    <n v="0"/>
    <n v="0"/>
    <n v="0"/>
    <n v="0"/>
    <n v="0"/>
    <n v="0"/>
  </r>
  <r>
    <s v="OV016,CHQ8904408"/>
    <n v="3"/>
    <d v="2023-06-01T00:00:00"/>
    <s v="30/06/2023"/>
    <m/>
    <x v="3"/>
    <s v="A.1.1.1"/>
    <s v="Mission expenses of the Yeli team"/>
    <m/>
    <n v="1560000"/>
    <s v="BIF"/>
    <n v="2803.6597999999999"/>
    <n v="556.4155822329086"/>
    <s v="USD"/>
    <n v="0"/>
    <s v="9UN1085"/>
    <s v="YELI"/>
    <n v="0"/>
    <n v="0"/>
    <n v="0"/>
    <n v="0"/>
    <n v="0"/>
    <n v="0"/>
  </r>
  <r>
    <s v="OV016,CHQ8904408"/>
    <n v="3"/>
    <d v="2023-06-01T00:00:00"/>
    <s v="30/06/2023"/>
    <m/>
    <x v="3"/>
    <s v="A.1.1.1"/>
    <s v="Mission team communication cost"/>
    <m/>
    <n v="70000"/>
    <s v="BIF"/>
    <n v="2803.6597999999999"/>
    <n v="24.967365869425386"/>
    <s v="USD"/>
    <n v="0"/>
    <s v="9UN1085"/>
    <s v="YELI"/>
    <n v="0"/>
    <n v="0"/>
    <n v="0"/>
    <n v="0"/>
    <n v="0"/>
    <n v="0"/>
  </r>
  <r>
    <s v="OP 8880782"/>
    <n v="53"/>
    <s v="July"/>
    <d v="2023-07-06T00:00:00"/>
    <m/>
    <x v="3"/>
    <s v="A.1.1.1"/>
    <s v="Mission expenses of the DH "/>
    <s v="D"/>
    <n v="200000"/>
    <s v="BIF"/>
    <n v="2802.3999950000002"/>
    <n v="71.367399499299523"/>
    <s v="USD"/>
    <n v="0"/>
    <s v="9UN1085"/>
    <s v="DUSHIREHAMWE"/>
    <n v="0"/>
    <n v="0"/>
    <n v="0"/>
    <n v="0"/>
    <n v="0"/>
    <n v="0"/>
  </r>
  <r>
    <s v="CHQ 8998696,8998695  8998699 "/>
    <n v="23"/>
    <s v="August"/>
    <s v="22/08/2023"/>
    <m/>
    <x v="3"/>
    <s v="A.1.1.2"/>
    <s v="Car rent"/>
    <s v="D"/>
    <n v="800000"/>
    <s v="BIF"/>
    <n v="2803.6597999999999"/>
    <n v="285.3413242220044"/>
    <s v="USD"/>
    <n v="0"/>
    <m/>
    <s v="YELI"/>
    <n v="0"/>
    <n v="0"/>
    <n v="0"/>
    <n v="0"/>
    <n v="0"/>
    <n v="0"/>
  </r>
  <r>
    <s v="CHQ 8998696,8998695  8998700"/>
    <n v="23"/>
    <s v="August"/>
    <s v="22-25/08/2023"/>
    <m/>
    <x v="3"/>
    <s v="A.1.1.2"/>
    <s v="fuel"/>
    <s v="D"/>
    <n v="1053509"/>
    <s v="BIF"/>
    <n v="2803.6597999999999"/>
    <n v="375.76206642474955"/>
    <s v="USD"/>
    <n v="0"/>
    <m/>
    <s v="YELI"/>
    <n v="0"/>
    <n v="0"/>
    <n v="0"/>
    <n v="0"/>
    <n v="0"/>
    <n v="0"/>
  </r>
  <r>
    <s v="CHQ 8998696,8998695  8998701"/>
    <n v="23"/>
    <s v="August"/>
    <s v="22-25/08/2023"/>
    <m/>
    <x v="3"/>
    <s v="A.1.1.2"/>
    <s v="room rental"/>
    <s v="D"/>
    <n v="475000"/>
    <s v="BIF"/>
    <n v="2803.6597999999999"/>
    <n v="169.42141125681511"/>
    <s v="USD"/>
    <n v="0"/>
    <m/>
    <s v="YELI"/>
    <n v="0"/>
    <n v="0"/>
    <n v="0"/>
    <n v="0"/>
    <n v="0"/>
    <n v="0"/>
  </r>
  <r>
    <s v="CHQ 8998696,8998695  8998702"/>
    <n v="23"/>
    <s v="August"/>
    <s v="22-25/08/2023"/>
    <m/>
    <x v="3"/>
    <s v="A.1.1.2"/>
    <s v="mission expenses of the YELI team"/>
    <s v="D"/>
    <n v="1080000"/>
    <s v="BIF"/>
    <n v="2803.6597999999999"/>
    <n v="385.21078769970597"/>
    <s v="USD"/>
    <n v="0"/>
    <m/>
    <s v="YELI"/>
    <n v="0"/>
    <n v="0"/>
    <n v="0"/>
    <n v="0"/>
    <n v="0"/>
    <n v="0"/>
  </r>
  <r>
    <s v="CHQ 8998696,8998695  8998703"/>
    <n v="23"/>
    <s v="August"/>
    <s v="22-25/08/2023"/>
    <m/>
    <x v="3"/>
    <s v="A.1.1.2"/>
    <s v="participant travel cost"/>
    <s v="D"/>
    <n v="1665000"/>
    <s v="BIF"/>
    <n v="2803.6597999999999"/>
    <n v="593.86663103704666"/>
    <s v="USD"/>
    <n v="0"/>
    <m/>
    <s v="YELI"/>
    <n v="0"/>
    <n v="0"/>
    <n v="0"/>
    <n v="0"/>
    <n v="0"/>
    <n v="0"/>
  </r>
  <r>
    <s v="CHQ 8998696,8998695  8998704"/>
    <n v="23"/>
    <s v="August"/>
    <s v="22-25/08/2023"/>
    <m/>
    <x v="3"/>
    <s v="A.1.1.2"/>
    <s v="focal point transpot"/>
    <s v="D"/>
    <n v="120000"/>
    <s v="BIF"/>
    <n v="2803.6597999999999"/>
    <n v="42.801198633300658"/>
    <s v="USD"/>
    <n v="0"/>
    <m/>
    <s v="YELI"/>
    <n v="0"/>
    <n v="0"/>
    <n v="0"/>
    <n v="0"/>
    <n v="0"/>
    <n v="0"/>
  </r>
  <r>
    <s v="CHQ 8998696,8998695  8998705"/>
    <n v="23"/>
    <s v="August"/>
    <s v="22-25/08/2023"/>
    <m/>
    <x v="3"/>
    <s v="A.1.1.2"/>
    <s v="focal point communication cost"/>
    <s v="D"/>
    <n v="10000"/>
    <s v="BIF"/>
    <n v="2803.6597999999999"/>
    <n v="3.5667665527750549"/>
    <s v="USD"/>
    <n v="0"/>
    <m/>
    <s v="YELI"/>
    <n v="0"/>
    <n v="0"/>
    <n v="0"/>
    <n v="0"/>
    <n v="0"/>
    <n v="0"/>
  </r>
  <r>
    <s v="CHQ 8998696,8998695  8998706"/>
    <n v="23"/>
    <s v="August"/>
    <s v="22-25/08/2023"/>
    <m/>
    <x v="3"/>
    <s v="A.1.1.2"/>
    <s v="representation expenses of administration and CDFC"/>
    <s v="D"/>
    <n v="330000"/>
    <s v="BIF"/>
    <n v="2803.6597999999999"/>
    <n v="117.70329624157682"/>
    <s v="USD"/>
    <n v="0"/>
    <m/>
    <s v="YELI"/>
    <n v="0"/>
    <n v="0"/>
    <n v="0"/>
    <n v="0"/>
    <n v="0"/>
    <n v="0"/>
  </r>
  <r>
    <s v="CHQ 8998696,8998695  8998707"/>
    <n v="23"/>
    <s v="August"/>
    <s v="22-25/08/2023"/>
    <m/>
    <x v="3"/>
    <s v="A.1.1.2"/>
    <s v="Coffee break"/>
    <s v="D"/>
    <n v="750000"/>
    <s v="BIF"/>
    <n v="2803.6597999999999"/>
    <n v="267.50749145812915"/>
    <s v="USD"/>
    <n v="0"/>
    <m/>
    <s v="YELI"/>
    <n v="0"/>
    <n v="0"/>
    <n v="0"/>
    <n v="0"/>
    <n v="0"/>
    <n v="0"/>
  </r>
  <r>
    <s v="CHQ 8998696,8998695  8998708"/>
    <n v="23"/>
    <s v="August"/>
    <s v="22-25/08/2023"/>
    <m/>
    <x v="3"/>
    <s v="A.1.1.2"/>
    <s v="eau mineral"/>
    <s v="D"/>
    <n v="225000"/>
    <s v="BIF"/>
    <n v="2803.6597999999999"/>
    <n v="80.25224743743874"/>
    <s v="USD"/>
    <n v="0"/>
    <m/>
    <s v="YELI"/>
    <n v="0"/>
    <n v="0"/>
    <n v="0"/>
    <n v="0"/>
    <n v="0"/>
    <n v="0"/>
  </r>
  <r>
    <s v="CHQ 8998696,8998695  8998708"/>
    <n v="23"/>
    <s v="August"/>
    <s v="22-25/08/2023"/>
    <m/>
    <x v="3"/>
    <s v="A.1.1.2"/>
    <s v="mission team communication cost "/>
    <s v="D"/>
    <n v="60000"/>
    <s v="BIF"/>
    <n v="2803.6597999999999"/>
    <n v="21.400599316650329"/>
    <s v="USD"/>
    <n v="0"/>
    <m/>
    <s v="YELI"/>
    <n v="0"/>
    <n v="0"/>
    <n v="0"/>
    <n v="0"/>
    <n v="0"/>
    <n v="0"/>
  </r>
  <r>
    <s v="CHQ 8998696,8998695  8998708"/>
    <n v="23"/>
    <s v="August"/>
    <s v="22-25/08/2023"/>
    <m/>
    <x v="3"/>
    <s v="A.1.1.2"/>
    <s v="banner"/>
    <s v="D"/>
    <n v="120000"/>
    <s v="BIF"/>
    <n v="2803.6597999999999"/>
    <n v="42.801198633300658"/>
    <s v="USD"/>
    <n v="0"/>
    <m/>
    <s v="YELI"/>
    <n v="0"/>
    <n v="0"/>
    <n v="0"/>
    <n v="0"/>
    <n v="0"/>
    <n v="0"/>
  </r>
  <r>
    <s v="CHQ 8998696,8998695  8998709"/>
    <n v="23"/>
    <s v="August"/>
    <s v="22-25/08/2023"/>
    <m/>
    <x v="3"/>
    <s v="A.1.1.2"/>
    <s v="Eau minerale pour la formation"/>
    <s v="D"/>
    <n v="12000"/>
    <s v="BIF"/>
    <n v="2803.6597999999999"/>
    <n v="4.2801198633300661"/>
    <s v="USD"/>
    <n v="0"/>
    <m/>
    <s v="YELI"/>
    <n v="0"/>
    <n v="0"/>
    <n v="0"/>
    <n v="0"/>
    <n v="0"/>
    <n v="0"/>
  </r>
  <r>
    <s v="CH8998700,8998697,8998698"/>
    <n v="23"/>
    <s v="August"/>
    <s v="28- 31/08/2023"/>
    <m/>
    <x v="3"/>
    <s v="A.1.1.2"/>
    <s v="car rent"/>
    <s v="D"/>
    <n v="900000"/>
    <s v="BIF"/>
    <n v="2803.6597999999999"/>
    <n v="321.00898974975496"/>
    <s v="USD"/>
    <n v="0"/>
    <m/>
    <s v="YELI"/>
    <n v="0"/>
    <n v="0"/>
    <n v="0"/>
    <n v="0"/>
    <n v="0"/>
    <n v="0"/>
  </r>
  <r>
    <s v="CH8998700,8998697,8998698"/>
    <n v="23"/>
    <s v="August"/>
    <s v="28- 31/08/2023"/>
    <m/>
    <x v="3"/>
    <s v="A.1.1.2"/>
    <s v="fuel"/>
    <s v="D"/>
    <n v="1191224"/>
    <s v="BIF"/>
    <n v="2803.6597999999999"/>
    <n v="424.88179200629122"/>
    <s v="USD"/>
    <n v="0"/>
    <m/>
    <s v="YELI"/>
    <n v="0"/>
    <n v="0"/>
    <n v="0"/>
    <n v="0"/>
    <n v="0"/>
    <n v="0"/>
  </r>
  <r>
    <s v="CH8998700,8998697,8998698"/>
    <n v="23"/>
    <s v="August"/>
    <s v="28- 31/08/2023"/>
    <m/>
    <x v="3"/>
    <s v="A.1.1.2"/>
    <s v="room rental"/>
    <s v="D"/>
    <n v="555000"/>
    <s v="BIF"/>
    <n v="2803.6597999999999"/>
    <n v="197.95554367901556"/>
    <s v="USD"/>
    <n v="0"/>
    <m/>
    <s v="YELI"/>
    <n v="0"/>
    <n v="0"/>
    <n v="0"/>
    <n v="0"/>
    <n v="0"/>
    <n v="0"/>
  </r>
  <r>
    <s v="CH8998700,8998697,8998698"/>
    <n v="23"/>
    <s v="August"/>
    <s v="28- 31/08/2023"/>
    <m/>
    <x v="3"/>
    <s v="A.1.1.2"/>
    <s v="mission expenses of the YELI team"/>
    <s v="D"/>
    <n v="1260000"/>
    <s v="BIF"/>
    <n v="2803.6597999999999"/>
    <n v="449.41258564965693"/>
    <s v="USD"/>
    <n v="0"/>
    <m/>
    <s v="YELI"/>
    <n v="0"/>
    <n v="0"/>
    <n v="0"/>
    <n v="0"/>
    <n v="0"/>
    <n v="0"/>
  </r>
  <r>
    <s v="CH8998700,8998697,8998698"/>
    <n v="23"/>
    <s v="August"/>
    <s v="28- 31/08/2023"/>
    <m/>
    <x v="3"/>
    <s v="A.1.1.2"/>
    <s v="participant travel cost"/>
    <s v="D"/>
    <n v="2025000"/>
    <s v="BIF"/>
    <n v="2803.6597999999999"/>
    <n v="722.27022693694869"/>
    <s v="USD"/>
    <n v="0"/>
    <m/>
    <s v="YELI"/>
    <n v="0"/>
    <n v="0"/>
    <n v="0"/>
    <n v="0"/>
    <n v="0"/>
    <n v="0"/>
  </r>
  <r>
    <s v="CH8998700,8998697,8998698"/>
    <n v="23"/>
    <s v="August"/>
    <s v="28- 31/08/2023"/>
    <m/>
    <x v="3"/>
    <s v="A.1.1.2"/>
    <s v="focal point transport"/>
    <s v="D"/>
    <n v="140000"/>
    <s v="BIF"/>
    <n v="2803.6597999999999"/>
    <n v="49.934731738850772"/>
    <s v="USD"/>
    <n v="0"/>
    <m/>
    <s v="YELI"/>
    <n v="0"/>
    <n v="0"/>
    <n v="0"/>
    <n v="0"/>
    <n v="0"/>
    <n v="0"/>
  </r>
  <r>
    <s v="CH8998700,8998697,8998698"/>
    <n v="23"/>
    <s v="August"/>
    <s v="28- 31/08/2023"/>
    <m/>
    <x v="3"/>
    <s v="A.1.1.2"/>
    <s v="focal point communication cost"/>
    <s v="D"/>
    <n v="10000"/>
    <s v="BIF"/>
    <n v="2803.6597999999999"/>
    <n v="3.5667665527750549"/>
    <s v="USD"/>
    <n v="0"/>
    <m/>
    <s v="YELI"/>
    <n v="0"/>
    <n v="0"/>
    <n v="0"/>
    <n v="0"/>
    <n v="0"/>
    <n v="0"/>
  </r>
  <r>
    <s v="CH8998700,8998697,8998698"/>
    <n v="23"/>
    <s v="August"/>
    <s v="28- 31/08/2023"/>
    <m/>
    <x v="3"/>
    <s v="A.1.1.2"/>
    <s v="representation expenses of administration and CDFC"/>
    <s v="D"/>
    <n v="420000"/>
    <s v="BIF"/>
    <n v="2803.6597999999999"/>
    <n v="149.8041952165523"/>
    <s v="USD"/>
    <n v="0"/>
    <m/>
    <s v="YELI"/>
    <n v="0"/>
    <n v="0"/>
    <n v="0"/>
    <n v="0"/>
    <n v="0"/>
    <n v="0"/>
  </r>
  <r>
    <s v="CH8998700,8998697,8998698"/>
    <n v="23"/>
    <s v="August"/>
    <s v="28- 31/08/2023"/>
    <m/>
    <x v="3"/>
    <s v="A.1.1.2"/>
    <s v="Coffee break"/>
    <s v="D"/>
    <n v="875000"/>
    <s v="BIF"/>
    <n v="2803.6597999999999"/>
    <n v="312.09207336781731"/>
    <s v="USD"/>
    <n v="0"/>
    <m/>
    <s v="YELI"/>
    <n v="0"/>
    <n v="0"/>
    <n v="0"/>
    <n v="0"/>
    <n v="0"/>
    <n v="0"/>
  </r>
  <r>
    <s v="CH8998700,8998697,8998698"/>
    <n v="23"/>
    <s v="August"/>
    <s v="28- 31/08/2023"/>
    <m/>
    <x v="3"/>
    <s v="A.1.1.2"/>
    <s v="eau mineral"/>
    <s v="D"/>
    <n v="262500"/>
    <s v="BIF"/>
    <n v="2803.6597999999999"/>
    <n v="93.627622010345192"/>
    <s v="USD"/>
    <n v="0"/>
    <m/>
    <s v="YELI"/>
    <n v="0"/>
    <n v="0"/>
    <n v="0"/>
    <n v="0"/>
    <n v="0"/>
    <n v="0"/>
  </r>
  <r>
    <s v="CH8998700,8998697,8998698"/>
    <n v="23"/>
    <s v="August"/>
    <s v="28- 31/08/2023"/>
    <m/>
    <x v="3"/>
    <s v="A.1.1.2"/>
    <s v="mission team communication cost "/>
    <s v="D"/>
    <n v="60000"/>
    <s v="BIF"/>
    <n v="2803.6597999999999"/>
    <n v="21.400599316650329"/>
    <s v="USD"/>
    <n v="0"/>
    <m/>
    <s v="YELI"/>
    <n v="0"/>
    <n v="0"/>
    <n v="0"/>
    <n v="0"/>
    <n v="0"/>
    <n v="0"/>
  </r>
  <r>
    <s v="CHQ8998707"/>
    <n v="30"/>
    <s v="Septembre"/>
    <s v="29/09/2023"/>
    <m/>
    <x v="3"/>
    <s v="A.1.1.2"/>
    <s v="PYT traitement des donnees /Evaluation besoins"/>
    <s v="D"/>
    <n v="300000"/>
    <s v="BIF"/>
    <n v="2803.6597999999999"/>
    <n v="107.00299658325166"/>
    <s v="USD"/>
    <n v="0"/>
    <m/>
    <s v="YELI"/>
    <n v="0"/>
    <n v="0"/>
    <n v="0"/>
    <n v="0"/>
    <n v="0"/>
    <n v="0"/>
  </r>
  <r>
    <s v="CHQ8998710"/>
    <n v="30"/>
    <s v="Septembre"/>
    <s v="29/09/2023"/>
    <m/>
    <x v="3"/>
    <s v="A.1.1.2"/>
    <s v="PYT traitement des donnees /Evaluation besoins"/>
    <s v="D"/>
    <n v="300000"/>
    <s v="BIF"/>
    <n v="2803.6597999999999"/>
    <n v="107.00299658325166"/>
    <s v="USD"/>
    <n v="0"/>
    <m/>
    <s v="YELI"/>
    <n v="0"/>
    <n v="0"/>
    <n v="0"/>
    <n v="0"/>
    <n v="0"/>
    <n v="0"/>
  </r>
  <r>
    <s v="CHQ8998708"/>
    <n v="30"/>
    <s v="Septembre"/>
    <s v="29/09/2023"/>
    <m/>
    <x v="3"/>
    <s v="A.1.1.2"/>
    <s v="PYT traitement des donnees /Evaluation besoins"/>
    <s v="D"/>
    <n v="300000"/>
    <s v="BIF"/>
    <n v="2803.6597999999999"/>
    <n v="107.00299658325166"/>
    <s v="USD"/>
    <n v="0"/>
    <m/>
    <s v="YELI"/>
    <n v="0"/>
    <n v="0"/>
    <n v="0"/>
    <n v="0"/>
    <n v="0"/>
    <n v="0"/>
  </r>
  <r>
    <s v="CHQ8998711"/>
    <n v="30"/>
    <s v="Septembre"/>
    <s v="29/09/2023"/>
    <m/>
    <x v="3"/>
    <s v="A.1.1.2"/>
    <s v="PYT traitement des donnees /Evaluation besoins"/>
    <s v="D"/>
    <n v="300000"/>
    <s v="BIF"/>
    <n v="2803.6597999999999"/>
    <n v="107.00299658325166"/>
    <s v="USD"/>
    <n v="0"/>
    <m/>
    <s v="YELI"/>
    <n v="0"/>
    <n v="0"/>
    <n v="0"/>
    <n v="0"/>
    <n v="0"/>
    <n v="0"/>
  </r>
  <r>
    <s v="CHQ8998709"/>
    <n v="30"/>
    <s v="Septembre"/>
    <s v="29/09/2023"/>
    <m/>
    <x v="3"/>
    <s v="A.1.1.2"/>
    <s v="PYT traitement des donnees /Evaluation besoins"/>
    <s v="D"/>
    <n v="300000"/>
    <s v="BIF"/>
    <n v="2803.6597999999999"/>
    <n v="107.00299658325166"/>
    <s v="USD"/>
    <n v="0"/>
    <m/>
    <s v="YELI"/>
    <n v="0"/>
    <n v="0"/>
    <n v="0"/>
    <n v="0"/>
    <n v="0"/>
    <n v="0"/>
  </r>
  <r>
    <s v="CHQ8998706"/>
    <n v="30"/>
    <s v="Septembre"/>
    <s v="29/09/2023"/>
    <m/>
    <x v="3"/>
    <s v="A.1.1.2"/>
    <s v="PYT traitement des donnees /Evaluation besoins"/>
    <s v="D"/>
    <n v="300000"/>
    <s v="BIF"/>
    <n v="2803.6597999999999"/>
    <n v="107.00299658325166"/>
    <s v="USD"/>
    <n v="0"/>
    <m/>
    <s v="YELI"/>
    <n v="0"/>
    <n v="0"/>
    <n v="0"/>
    <n v="0"/>
    <n v="0"/>
    <n v="0"/>
  </r>
  <r>
    <s v="CHQ8998706"/>
    <n v="30"/>
    <s v="Septembre"/>
    <s v="29/09/2023"/>
    <m/>
    <x v="3"/>
    <s v="A.1.1.2"/>
    <s v="PYT Materials /Evaluation besoins"/>
    <s v="D"/>
    <n v="463000"/>
    <s v="BIF"/>
    <n v="2803.6597999999999"/>
    <n v="165.14129139348506"/>
    <s v="USD"/>
    <n v="0"/>
    <m/>
    <s v="YELI"/>
    <n v="0"/>
    <n v="0"/>
    <n v="0"/>
    <n v="0"/>
    <n v="0"/>
    <n v="0"/>
  </r>
  <r>
    <s v="Chq 8880791"/>
    <n v="68"/>
    <s v="August"/>
    <d v="2023-08-21T00:00:00"/>
    <m/>
    <x v="3"/>
    <s v="A.1.1.2"/>
    <s v="Communication fees"/>
    <s v="D"/>
    <n v="35000"/>
    <s v="BIF"/>
    <n v="2802.3999950000002"/>
    <n v="12.489294912377417"/>
    <s v="USD"/>
    <n v="0"/>
    <s v="9UN1085"/>
    <s v="DUSHIREHAMWE"/>
    <n v="0"/>
    <n v="0"/>
    <n v="0"/>
    <n v="0"/>
    <n v="0"/>
    <n v="0"/>
  </r>
  <r>
    <s v="Chq 8880791"/>
    <n v="69"/>
    <s v="August"/>
    <d v="2023-08-21T00:00:00"/>
    <m/>
    <x v="3"/>
    <s v="A.1.1.2"/>
    <s v="Participant travel costs"/>
    <s v="D"/>
    <n v="90000"/>
    <s v="BIF"/>
    <n v="2802.3999950000002"/>
    <n v="32.115329774684788"/>
    <s v="USD"/>
    <n v="0"/>
    <s v="9UN1085"/>
    <s v="DUSHIREHAMWE"/>
    <n v="0"/>
    <n v="0"/>
    <n v="0"/>
    <n v="0"/>
    <n v="0"/>
    <n v="0"/>
  </r>
  <r>
    <s v="Chq 8880791"/>
    <n v="70"/>
    <s v="August"/>
    <d v="2023-08-21T00:00:00"/>
    <m/>
    <x v="3"/>
    <s v="A.1.1.2"/>
    <s v="Mission expenses "/>
    <s v="D"/>
    <n v="350000"/>
    <s v="BIF"/>
    <n v="2802.3999950000002"/>
    <n v="124.89294912377416"/>
    <s v="USD"/>
    <n v="0"/>
    <s v="9UN1085"/>
    <s v="DUSHIREHAMWE"/>
    <n v="0"/>
    <n v="0"/>
    <n v="0"/>
    <n v="0"/>
    <n v="0"/>
    <n v="0"/>
  </r>
  <r>
    <s v="CHQ 8904426"/>
    <n v="22"/>
    <s v="August"/>
    <s v="15/08/2023"/>
    <m/>
    <x v="3"/>
    <s v="A.1.1.3"/>
    <s v="Car rental _Rutana"/>
    <s v="D"/>
    <n v="300000"/>
    <s v="BIF"/>
    <n v="2803.6597999999999"/>
    <n v="107.00299658325166"/>
    <s v="USD"/>
    <n v="0"/>
    <s v="9UN1085"/>
    <s v="YELI"/>
    <n v="0"/>
    <n v="0"/>
    <n v="0"/>
    <n v="0"/>
    <n v="0"/>
    <n v="0"/>
  </r>
  <r>
    <s v="CHQ 8998694"/>
    <n v="22"/>
    <s v="August"/>
    <s v="21/08/2023"/>
    <m/>
    <x v="3"/>
    <s v="A.1.1.3"/>
    <s v="Car rental Ruyigi-Rutana"/>
    <s v="D"/>
    <n v="600000"/>
    <s v="BIF"/>
    <n v="2803.6597999999999"/>
    <n v="214.00599316650332"/>
    <s v="USD"/>
    <n v="0"/>
    <s v="9UN1085"/>
    <s v="YELI"/>
    <n v="0"/>
    <n v="0"/>
    <n v="0"/>
    <n v="0"/>
    <n v="0"/>
    <n v="0"/>
  </r>
  <r>
    <s v="CHQ 8998693"/>
    <n v="22"/>
    <s v="August"/>
    <s v="21/08/2023"/>
    <m/>
    <x v="3"/>
    <s v="A.1.1.3"/>
    <s v="Car rental _Ruyigi"/>
    <s v="D"/>
    <n v="500000"/>
    <s v="BIF"/>
    <n v="2803.6597999999999"/>
    <n v="178.33832763875276"/>
    <s v="USD"/>
    <n v="0"/>
    <s v="9UN1085"/>
    <s v="YELI"/>
    <n v="0"/>
    <n v="0"/>
    <n v="0"/>
    <n v="0"/>
    <n v="0"/>
    <n v="0"/>
  </r>
  <r>
    <s v="CHQ 8904422"/>
    <n v="22"/>
    <s v="August"/>
    <d v="2023-09-08T00:00:00"/>
    <m/>
    <x v="3"/>
    <s v="A.1.1.3"/>
    <s v=" PY Carburant, FM et communication"/>
    <s v="D"/>
    <n v="882625"/>
    <s v="BIF"/>
    <n v="2803.6597999999999"/>
    <n v="314.81173286430828"/>
    <s v="USD"/>
    <n v="0"/>
    <s v="9UN1085"/>
    <s v="YELI"/>
    <n v="0"/>
    <n v="0"/>
    <n v="0"/>
    <n v="0"/>
    <n v="0"/>
    <n v="0"/>
  </r>
  <r>
    <s v="CHQ 8998689"/>
    <n v="22"/>
    <s v="August"/>
    <s v="16/8/2023"/>
    <m/>
    <x v="3"/>
    <s v="A.1.1.3"/>
    <s v="PYT carburant, FM, et communication"/>
    <s v="D"/>
    <n v="508250"/>
    <s v="BIF"/>
    <n v="2803.6597999999999"/>
    <n v="181.28091004479217"/>
    <s v="USD"/>
    <n v="0"/>
    <s v="9UN1085"/>
    <s v="YELI"/>
    <n v="0"/>
    <n v="0"/>
    <n v="0"/>
    <n v="0"/>
    <n v="0"/>
    <n v="0"/>
  </r>
  <r>
    <s v="CHQ 8998687"/>
    <n v="22"/>
    <s v="August"/>
    <s v="16/8/2023"/>
    <m/>
    <x v="3"/>
    <s v="A.1.1.3"/>
    <s v="PYT carburant, FM, et communication"/>
    <s v="D"/>
    <n v="676113"/>
    <s v="BIF"/>
    <n v="2803.6597999999999"/>
    <n v="241.15372342964008"/>
    <s v="USD"/>
    <n v="0"/>
    <s v="9UN1085"/>
    <s v="YELI"/>
    <n v="0"/>
    <n v="0"/>
    <n v="0"/>
    <n v="0"/>
    <n v="0"/>
    <n v="0"/>
  </r>
  <r>
    <s v="CHQ 8904424"/>
    <n v="22"/>
    <s v="August"/>
    <d v="2023-07-08T00:00:00"/>
    <m/>
    <x v="3"/>
    <s v="A.1.1.3"/>
    <s v="PYT carburant, FM, et communication"/>
    <s v="D"/>
    <n v="846100"/>
    <s v="BIF"/>
    <n v="2803.6597999999999"/>
    <n v="301.78411803029741"/>
    <s v="USD"/>
    <n v="0"/>
    <s v="9UN1085"/>
    <s v="YELI"/>
    <n v="0"/>
    <n v="0"/>
    <n v="0"/>
    <n v="0"/>
    <n v="0"/>
    <n v="0"/>
  </r>
  <r>
    <s v="Chq 1637427"/>
    <n v="42"/>
    <s v="Aug-023"/>
    <s v="08/08/023"/>
    <n v="6345"/>
    <x v="3"/>
    <s v="A.1.1.3"/>
    <s v="Communication costs of the comm focal points"/>
    <s v="D"/>
    <n v="30000"/>
    <s v="BIF"/>
    <n v="2801.6"/>
    <n v="10.708166761850372"/>
    <s v="USD"/>
    <n v="0"/>
    <s v="9UN1085"/>
    <s v="RFP"/>
    <n v="0"/>
    <n v="0"/>
    <n v="0"/>
    <n v="0"/>
    <n v="0"/>
    <n v="0"/>
  </r>
  <r>
    <s v="Chq 1637427"/>
    <n v="42"/>
    <s v="Aug-023"/>
    <s v="08/08/023"/>
    <n v="6345"/>
    <x v="3"/>
    <s v="A.1.1.3"/>
    <s v="Comm FP travel expenses"/>
    <s v="D"/>
    <n v="90000"/>
    <s v="BIF"/>
    <n v="2801.6"/>
    <n v="32.124500285551115"/>
    <s v="USD"/>
    <n v="0"/>
    <s v="9UN1085"/>
    <s v="RFP"/>
    <n v="0"/>
    <n v="0"/>
    <n v="0"/>
    <n v="0"/>
    <n v="0"/>
    <n v="0"/>
  </r>
  <r>
    <s v="Chq 1637427"/>
    <n v="42"/>
    <s v="Aug-023"/>
    <s v="08/08/023"/>
    <n v="6345"/>
    <x v="3"/>
    <s v="A.1.1.3"/>
    <s v="Participant travel costs"/>
    <s v="D"/>
    <n v="900000"/>
    <s v="BIF"/>
    <n v="2801.6"/>
    <n v="321.24500285551113"/>
    <s v="USD"/>
    <n v="0"/>
    <s v="9UN1085"/>
    <s v="RFP"/>
    <n v="0"/>
    <n v="0"/>
    <n v="0"/>
    <n v="0"/>
    <n v="0"/>
    <n v="0"/>
  </r>
  <r>
    <s v="Chq 1637427"/>
    <n v="42"/>
    <s v="Aug-023"/>
    <s v="08/08/023"/>
    <n v="6345"/>
    <x v="3"/>
    <s v="A.1.1.3"/>
    <s v="Representation expenses of the administration and CDFC"/>
    <s v="D"/>
    <n v="360000"/>
    <s v="BIF"/>
    <n v="2801.6"/>
    <n v="128.49800114220446"/>
    <s v="USD"/>
    <n v="0"/>
    <s v="9UN1085"/>
    <s v="RFP"/>
    <n v="0"/>
    <n v="0"/>
    <n v="0"/>
    <n v="0"/>
    <n v="0"/>
    <n v="0"/>
  </r>
  <r>
    <s v="Chq 1637429"/>
    <n v="40"/>
    <s v="Aug-023"/>
    <s v="08/08/023"/>
    <n v="6176"/>
    <x v="3"/>
    <s v="A.1.1.3"/>
    <s v="Training materials "/>
    <s v="D"/>
    <n v="412000"/>
    <s v="BIF"/>
    <n v="2801.6"/>
    <n v="147.05882352941177"/>
    <s v="USD"/>
    <n v="0"/>
    <s v="9UN1085"/>
    <s v="RFP"/>
    <n v="0"/>
    <n v="0"/>
    <n v="0"/>
    <n v="0"/>
    <n v="0"/>
    <n v="0"/>
  </r>
  <r>
    <s v="Chq 1637430"/>
    <n v="39"/>
    <s v="Aug-023"/>
    <s v="08/08/023"/>
    <n v="6172"/>
    <x v="3"/>
    <s v="A.1.1.3"/>
    <s v="Fuel"/>
    <s v="D"/>
    <n v="683100"/>
    <s v="BIF"/>
    <n v="2801.6"/>
    <n v="243.82495716733297"/>
    <s v="USD"/>
    <n v="0"/>
    <s v="9UN1085"/>
    <s v="RFP"/>
    <n v="0"/>
    <n v="0"/>
    <n v="0"/>
    <n v="0"/>
    <n v="0"/>
    <n v="0"/>
  </r>
  <r>
    <s v="Chq 1637431"/>
    <n v="41"/>
    <s v="Aug-023"/>
    <s v="08/08/023"/>
    <n v="6345"/>
    <x v="3"/>
    <s v="A.1.1.3"/>
    <s v=" RFP team mission expenses"/>
    <s v="D"/>
    <n v="300000"/>
    <s v="BIF"/>
    <n v="2801.6"/>
    <n v="107.08166761850372"/>
    <s v="USD"/>
    <n v="0"/>
    <s v="9UN1085"/>
    <s v="RFP"/>
    <n v="0"/>
    <n v="0"/>
    <n v="0"/>
    <n v="0"/>
    <n v="0"/>
    <n v="0"/>
  </r>
  <r>
    <s v="Chq 1637433"/>
    <n v="36"/>
    <s v="Aug-023"/>
    <s v="08/08/023"/>
    <n v="6345"/>
    <x v="3"/>
    <s v="A.1.1.3"/>
    <s v="Room rental( Comm.Bukemba)"/>
    <s v="D"/>
    <n v="140000"/>
    <s v="BIF"/>
    <n v="2801.6"/>
    <n v="49.97144488863507"/>
    <s v="USD"/>
    <n v="0"/>
    <s v="9UN1085"/>
    <s v="RFP"/>
    <n v="0"/>
    <n v="0"/>
    <n v="0"/>
    <n v="0"/>
    <n v="0"/>
    <n v="0"/>
  </r>
  <r>
    <s v="Chq 1637433"/>
    <n v="36"/>
    <s v="Aug-023"/>
    <s v="08/08/023"/>
    <n v="6345"/>
    <x v="3"/>
    <s v="A.1.1.3"/>
    <s v="Coffee break( Comm.Bukemba)"/>
    <s v="D"/>
    <n v="104000"/>
    <s v="BIF"/>
    <n v="2801.6"/>
    <n v="37.121644774414619"/>
    <s v="USD"/>
    <n v="0"/>
    <s v="9UN1085"/>
    <s v="RFP"/>
    <n v="0"/>
    <n v="0"/>
    <n v="0"/>
    <n v="0"/>
    <n v="0"/>
    <n v="0"/>
  </r>
  <r>
    <s v="Chq 1637433"/>
    <n v="36"/>
    <s v="Aug-023"/>
    <s v="08/08/023"/>
    <n v="6345"/>
    <x v="3"/>
    <s v="A.1.1.3"/>
    <s v="Lunch break (Comm.Bukemba)"/>
    <s v="D"/>
    <n v="390000"/>
    <s v="BIF"/>
    <n v="2801.6"/>
    <n v="139.20616790405484"/>
    <s v="USD"/>
    <n v="0"/>
    <s v="9UN1085"/>
    <s v="RFP"/>
    <n v="0"/>
    <n v="0"/>
    <n v="0"/>
    <n v="0"/>
    <n v="0"/>
    <n v="0"/>
  </r>
  <r>
    <s v="Chq 1637434"/>
    <n v="44"/>
    <s v="Aug-023"/>
    <s v="10/08/023"/>
    <n v="6345"/>
    <x v="3"/>
    <s v="A.1.1.3"/>
    <s v="Room rental (Comm.Giharo )"/>
    <s v="D"/>
    <n v="150000"/>
    <s v="BIF"/>
    <n v="2801.6"/>
    <n v="53.540833809251858"/>
    <s v="USD"/>
    <n v="0"/>
    <s v="9UN1085"/>
    <s v="RFP"/>
    <n v="0"/>
    <n v="0"/>
    <n v="0"/>
    <n v="0"/>
    <n v="0"/>
    <n v="0"/>
  </r>
  <r>
    <s v="Chq 1637434"/>
    <n v="44"/>
    <s v="Aug-023"/>
    <s v="10/08/023"/>
    <n v="6345"/>
    <x v="3"/>
    <s v="A.1.1.3"/>
    <s v="Coffee break (Comm.Giharo)"/>
    <s v="D"/>
    <n v="117000"/>
    <s v="BIF"/>
    <n v="2801.6"/>
    <n v="41.761850371216447"/>
    <s v="USD"/>
    <n v="0"/>
    <s v="9UN1085"/>
    <s v="RFP"/>
    <n v="0"/>
    <n v="0"/>
    <n v="0"/>
    <n v="0"/>
    <n v="0"/>
    <n v="0"/>
  </r>
  <r>
    <s v="Chq 1637434"/>
    <n v="44"/>
    <s v="Aug-023"/>
    <s v="10/08/023"/>
    <n v="6345"/>
    <x v="3"/>
    <s v="A.1.1.3"/>
    <s v="Lunch break (Comm.Giharo)"/>
    <s v="D"/>
    <n v="364000"/>
    <s v="BIF"/>
    <n v="2801.6"/>
    <n v="129.92575671045117"/>
    <s v="USD"/>
    <n v="0"/>
    <s v="9UN1085"/>
    <s v="RFP"/>
    <n v="0"/>
    <n v="0"/>
    <n v="0"/>
    <n v="0"/>
    <n v="0"/>
    <n v="0"/>
  </r>
  <r>
    <s v="Chq 1637435"/>
    <n v="37"/>
    <s v="Aug-023"/>
    <s v="11/08/023"/>
    <n v="6345"/>
    <x v="3"/>
    <s v="A.1.1.3"/>
    <s v="Room rental (Comm.Gitanga )"/>
    <s v="D"/>
    <n v="150000"/>
    <s v="BIF"/>
    <n v="2801.6"/>
    <n v="53.540833809251858"/>
    <s v="USD"/>
    <n v="0"/>
    <s v="9UN1085"/>
    <s v="RFP"/>
    <n v="0"/>
    <n v="0"/>
    <n v="0"/>
    <n v="0"/>
    <n v="0"/>
    <n v="0"/>
  </r>
  <r>
    <s v="Chq 1637435"/>
    <n v="37"/>
    <s v="Aug-023"/>
    <s v="11/08/023"/>
    <n v="6345"/>
    <x v="3"/>
    <s v="A.1.1.3"/>
    <s v="Coffee break (Comm.Gitanga)"/>
    <s v="D"/>
    <n v="130000"/>
    <s v="BIF"/>
    <n v="2801.6"/>
    <n v="46.402055968018274"/>
    <s v="USD"/>
    <n v="0"/>
    <s v="9UN1085"/>
    <s v="RFP"/>
    <n v="0"/>
    <n v="0"/>
    <n v="0"/>
    <n v="0"/>
    <n v="0"/>
    <n v="0"/>
  </r>
  <r>
    <s v="Chq 1637435"/>
    <n v="37"/>
    <s v="Aug-023"/>
    <s v="11/08/023"/>
    <n v="6345"/>
    <x v="3"/>
    <s v="A.1.1.3"/>
    <s v="Lunch break (Comm.Gitanga)"/>
    <s v="D"/>
    <n v="364000"/>
    <s v="BIF"/>
    <n v="2801.6"/>
    <n v="129.92575671045117"/>
    <s v="USD"/>
    <n v="0"/>
    <s v="9UN1085"/>
    <s v="RFP"/>
    <n v="0"/>
    <n v="0"/>
    <n v="0"/>
    <n v="0"/>
    <n v="0"/>
    <n v="0"/>
  </r>
  <r>
    <s v="Chq 1637436"/>
    <n v="45"/>
    <s v="Aug-023"/>
    <s v="18/08/023"/>
    <n v="6172"/>
    <x v="3"/>
    <s v="A.1.1.3"/>
    <s v="Achat carburant"/>
    <s v="D"/>
    <n v="341550"/>
    <s v="BIF"/>
    <n v="2801.6"/>
    <n v="121.91247858366648"/>
    <s v="USD"/>
    <n v="0"/>
    <s v="9UN1085"/>
    <s v="RFP"/>
    <n v="0"/>
    <n v="0"/>
    <n v="0"/>
    <n v="0"/>
    <n v="0"/>
    <n v="0"/>
  </r>
  <r>
    <s v="Chq 1637437"/>
    <n v="46"/>
    <s v="Aug-023"/>
    <s v="16/08/023"/>
    <n v="6345"/>
    <x v="3"/>
    <s v="A.1.1.3"/>
    <s v=" RFP team mission expenses"/>
    <s v="D"/>
    <n v="200000"/>
    <s v="BIF"/>
    <n v="2801.6"/>
    <n v="71.387778412335805"/>
    <s v="USD"/>
    <n v="0"/>
    <s v="9UN1085"/>
    <s v="RFP"/>
    <n v="0"/>
    <n v="0"/>
    <n v="0"/>
    <n v="0"/>
    <n v="0"/>
    <n v="0"/>
  </r>
  <r>
    <s v="Chq 1637438"/>
    <n v="47"/>
    <s v="Aug-023"/>
    <s v="17/08/023"/>
    <n v="6345"/>
    <x v="3"/>
    <s v="A.1.1.3"/>
    <s v="Room rental (Comm.Musongati )"/>
    <s v="D"/>
    <n v="140000"/>
    <s v="BIF"/>
    <n v="2801.6"/>
    <n v="49.97144488863507"/>
    <s v="USD"/>
    <n v="0"/>
    <s v="9UN1085"/>
    <s v="RFP"/>
    <n v="0"/>
    <n v="0"/>
    <n v="0"/>
    <n v="0"/>
    <n v="0"/>
    <n v="0"/>
  </r>
  <r>
    <s v="Chq 1637438"/>
    <n v="47"/>
    <s v="Aug-023"/>
    <s v="17/08/023"/>
    <n v="6345"/>
    <x v="3"/>
    <s v="A.1.1.3"/>
    <s v="Coffee break (Comm.Musongati)"/>
    <s v="D"/>
    <n v="104000"/>
    <s v="BIF"/>
    <n v="2801.6"/>
    <n v="37.121644774414619"/>
    <s v="USD"/>
    <n v="0"/>
    <s v="9UN1085"/>
    <s v="RFP"/>
    <n v="0"/>
    <n v="0"/>
    <n v="0"/>
    <n v="0"/>
    <n v="0"/>
    <n v="0"/>
  </r>
  <r>
    <s v="Chq 1637438"/>
    <n v="47"/>
    <s v="Aug-023"/>
    <s v="17/08/023"/>
    <n v="6345"/>
    <x v="3"/>
    <s v="A.1.1.3"/>
    <s v="Lunch break (Comm.Musongati)"/>
    <s v="D"/>
    <n v="364000"/>
    <s v="BIF"/>
    <n v="2801.6"/>
    <n v="129.92575671045117"/>
    <s v="USD"/>
    <n v="0"/>
    <s v="9UN1085"/>
    <s v="RFP"/>
    <n v="0"/>
    <n v="0"/>
    <n v="0"/>
    <n v="0"/>
    <n v="0"/>
    <n v="0"/>
  </r>
  <r>
    <s v="Chq 1637439"/>
    <n v="49"/>
    <s v="Aug-023"/>
    <s v="17/08/023"/>
    <n v="6345"/>
    <x v="3"/>
    <s v="A.1.1.3"/>
    <s v="Room rental (Comm.Rutana )"/>
    <s v="D"/>
    <n v="150000"/>
    <s v="BIF"/>
    <n v="2801.6"/>
    <n v="53.540833809251858"/>
    <s v="USD"/>
    <n v="0"/>
    <s v="9UN1085"/>
    <s v="RFP"/>
    <n v="0"/>
    <n v="0"/>
    <n v="0"/>
    <n v="0"/>
    <n v="0"/>
    <n v="0"/>
  </r>
  <r>
    <s v="Chq 1637439"/>
    <n v="49"/>
    <s v="Aug-023"/>
    <s v="17/08/023"/>
    <n v="6345"/>
    <x v="3"/>
    <s v="A.1.1.3"/>
    <s v="Coffee break (Comm.Rutana)"/>
    <s v="D"/>
    <n v="130000"/>
    <s v="BIF"/>
    <n v="2801.6"/>
    <n v="46.402055968018274"/>
    <s v="USD"/>
    <n v="0"/>
    <s v="9UN1085"/>
    <s v="RFP"/>
    <n v="0"/>
    <n v="0"/>
    <n v="0"/>
    <n v="0"/>
    <n v="0"/>
    <n v="0"/>
  </r>
  <r>
    <s v="Chq 1637439"/>
    <n v="49"/>
    <s v="Aug-023"/>
    <s v="17/08/023"/>
    <n v="6345"/>
    <x v="3"/>
    <s v="A.1.1.3"/>
    <s v="Lunch break (Comm.Rutana)"/>
    <s v="D"/>
    <n v="390000"/>
    <s v="BIF"/>
    <n v="2801.6"/>
    <n v="139.20616790405484"/>
    <s v="USD"/>
    <n v="0"/>
    <s v="9UN1085"/>
    <s v="RFP"/>
    <n v="0"/>
    <n v="0"/>
    <n v="0"/>
    <n v="0"/>
    <n v="0"/>
    <n v="0"/>
  </r>
  <r>
    <s v="Chq 1637440"/>
    <n v="43"/>
    <s v="Aug-023"/>
    <s v="16/08/023"/>
    <n v="6345"/>
    <x v="3"/>
    <s v="A.1.1.3"/>
    <s v="Communication costs of the comm focal points"/>
    <s v="D"/>
    <n v="20000"/>
    <s v="BIF"/>
    <n v="2801.6"/>
    <n v="7.1387778412335807"/>
    <s v="USD"/>
    <n v="0"/>
    <s v="9UN1085"/>
    <s v="RFP"/>
    <n v="0"/>
    <n v="0"/>
    <n v="0"/>
    <n v="0"/>
    <n v="0"/>
    <n v="0"/>
  </r>
  <r>
    <s v="Chq 1637440"/>
    <n v="43"/>
    <s v="Aug-023"/>
    <s v="16/08/023"/>
    <n v="6345"/>
    <x v="3"/>
    <s v="A.1.1.3"/>
    <s v="Comm FP travel expenses"/>
    <s v="D"/>
    <n v="60000"/>
    <s v="BIF"/>
    <n v="2801.6"/>
    <n v="21.416333523700743"/>
    <s v="USD"/>
    <n v="0"/>
    <s v="9UN1085"/>
    <s v="RFP"/>
    <n v="0"/>
    <n v="0"/>
    <n v="0"/>
    <n v="0"/>
    <n v="0"/>
    <n v="0"/>
  </r>
  <r>
    <s v="Chq 1637440"/>
    <n v="43"/>
    <s v="Aug-023"/>
    <s v="16/08/023"/>
    <n v="6345"/>
    <x v="3"/>
    <s v="A.1.1.3"/>
    <s v="Participant travel costs"/>
    <s v="D"/>
    <n v="600000"/>
    <s v="BIF"/>
    <n v="2801.6"/>
    <n v="214.16333523700743"/>
    <s v="USD"/>
    <n v="0"/>
    <s v="9UN1085"/>
    <s v="RFP"/>
    <n v="0"/>
    <n v="0"/>
    <n v="0"/>
    <n v="0"/>
    <n v="0"/>
    <n v="0"/>
  </r>
  <r>
    <s v="Chq 1637440"/>
    <n v="43"/>
    <s v="Aug-023"/>
    <s v="16/08/023"/>
    <n v="6345"/>
    <x v="3"/>
    <s v="A.1.1.3"/>
    <s v="Representation expenses of the administration and CDFC"/>
    <s v="D"/>
    <n v="240000"/>
    <s v="BIF"/>
    <n v="2801.6"/>
    <n v="85.665334094802972"/>
    <s v="USD"/>
    <n v="0"/>
    <s v="9UN1085"/>
    <s v="RFP"/>
    <n v="0"/>
    <n v="0"/>
    <n v="0"/>
    <n v="0"/>
    <n v="0"/>
    <n v="0"/>
  </r>
  <r>
    <s v="Chq 1637441"/>
    <n v="50"/>
    <s v="Aug-023"/>
    <s v="21/08/023"/>
    <n v="6345"/>
    <x v="3"/>
    <s v="A.1.1.3"/>
    <s v=" RFP team mission expenses"/>
    <s v="D"/>
    <n v="150000"/>
    <s v="BIF"/>
    <n v="2801.6"/>
    <n v="53.540833809251858"/>
    <s v="USD"/>
    <n v="0"/>
    <s v="9UN1085"/>
    <s v="RFP"/>
    <n v="0"/>
    <n v="0"/>
    <n v="0"/>
    <n v="0"/>
    <n v="0"/>
    <n v="0"/>
  </r>
  <r>
    <s v="Chq 1637443"/>
    <n v="55"/>
    <s v="Aug-023"/>
    <s v="30/08/023"/>
    <n v="6312"/>
    <x v="3"/>
    <s v="A.1.1.3"/>
    <s v="Car rent"/>
    <s v="D"/>
    <n v="360000"/>
    <s v="BIF"/>
    <n v="2801.6"/>
    <n v="128.49800114220446"/>
    <s v="USD"/>
    <n v="0"/>
    <s v="9UN1085"/>
    <s v="RFP"/>
    <n v="0"/>
    <n v="0"/>
    <n v="0"/>
    <n v="0"/>
    <n v="0"/>
    <n v="0"/>
  </r>
  <r>
    <s v="Chq 1637444"/>
    <n v="56"/>
    <s v="Aug-023"/>
    <s v="30/08/023"/>
    <n v="6312"/>
    <x v="3"/>
    <s v="A.1.1.3"/>
    <s v="Car rent"/>
    <s v="D"/>
    <n v="720000"/>
    <s v="BIF"/>
    <n v="2801.6"/>
    <n v="256.99600228440892"/>
    <s v="USD"/>
    <n v="0"/>
    <s v="9UN1085"/>
    <s v="RFP"/>
    <n v="0"/>
    <n v="0"/>
    <n v="0"/>
    <n v="0"/>
    <n v="0"/>
    <n v="0"/>
  </r>
  <r>
    <s v="Chq 1637446"/>
    <n v="58"/>
    <s v="Aug-023"/>
    <s v="31/08/023"/>
    <n v="6179"/>
    <x v="3"/>
    <s v="A.1.1.3"/>
    <s v="Banner"/>
    <s v="D"/>
    <n v="30000"/>
    <s v="BIF"/>
    <n v="2801.6"/>
    <n v="10.708166761850372"/>
    <s v="USD"/>
    <n v="0"/>
    <s v="9UN1085"/>
    <s v="RFP"/>
    <n v="0"/>
    <n v="0"/>
    <n v="0"/>
    <n v="0"/>
    <n v="0"/>
    <n v="0"/>
  </r>
  <r>
    <s v="OP 157951"/>
    <n v="71"/>
    <s v="August"/>
    <d v="2023-08-24T00:00:00"/>
    <m/>
    <x v="3"/>
    <s v="A.1.1.3"/>
    <s v="Room rental at RUYIGI"/>
    <s v="D"/>
    <n v="100000"/>
    <s v="BIF"/>
    <n v="2802.3999950000002"/>
    <n v="35.683699749649762"/>
    <s v="USD"/>
    <n v="0"/>
    <s v="9UN1085"/>
    <s v="DUSHIREHAMWE"/>
    <n v="0"/>
    <n v="0"/>
    <n v="0"/>
    <n v="0"/>
    <n v="0"/>
    <n v="0"/>
  </r>
  <r>
    <s v="OP 157951"/>
    <n v="71"/>
    <s v="August"/>
    <d v="2023-08-24T00:00:00"/>
    <m/>
    <x v="3"/>
    <s v="A.1.1.3"/>
    <s v="Coffee break  at RUYIGI"/>
    <s v="D"/>
    <n v="112000"/>
    <s v="BIF"/>
    <n v="2802.3999950000002"/>
    <n v="39.96574371960773"/>
    <s v="USD"/>
    <n v="0"/>
    <s v="9UN1085"/>
    <s v="DUSHIREHAMWE"/>
    <n v="0"/>
    <n v="0"/>
    <n v="0"/>
    <n v="0"/>
    <n v="0"/>
    <n v="0"/>
  </r>
  <r>
    <s v="OP 157951"/>
    <n v="71"/>
    <s v="August"/>
    <d v="2023-08-24T00:00:00"/>
    <m/>
    <x v="3"/>
    <s v="A.1.1.3"/>
    <s v="Lunch break at RUYIGI"/>
    <s v="D"/>
    <n v="196000"/>
    <s v="BIF"/>
    <n v="2802.3999950000002"/>
    <n v="69.940051509313534"/>
    <s v="USD"/>
    <n v="0"/>
    <s v="9UN1085"/>
    <s v="DUSHIREHAMWE"/>
    <n v="0"/>
    <n v="0"/>
    <n v="0"/>
    <n v="0"/>
    <n v="0"/>
    <n v="0"/>
  </r>
  <r>
    <s v="OP 157951"/>
    <n v="71"/>
    <s v="August"/>
    <d v="2023-08-24T00:00:00"/>
    <m/>
    <x v="3"/>
    <s v="A.1.1.3"/>
    <s v="Mineral water  at RUYIGI"/>
    <s v="D"/>
    <n v="56000"/>
    <s v="BIF"/>
    <n v="2802.3999950000002"/>
    <n v="19.982871859803865"/>
    <s v="USD"/>
    <n v="0"/>
    <s v="9UN1085"/>
    <s v="DUSHIREHAMWE"/>
    <n v="0"/>
    <n v="0"/>
    <n v="0"/>
    <n v="0"/>
    <n v="0"/>
    <n v="0"/>
  </r>
  <r>
    <s v="OP 1157952"/>
    <n v="72"/>
    <s v="August"/>
    <d v="2023-08-24T00:00:00"/>
    <m/>
    <x v="3"/>
    <s v="A.1.1.3"/>
    <s v="Room rental at NYABITSINDA"/>
    <s v="D"/>
    <n v="100000"/>
    <s v="BIF"/>
    <n v="2802.3999950000002"/>
    <n v="35.683699749649762"/>
    <s v="USD"/>
    <n v="0"/>
    <s v="9UN1085"/>
    <s v="DUSHIREHAMWE"/>
    <n v="0"/>
    <n v="0"/>
    <n v="0"/>
    <n v="0"/>
    <n v="0"/>
    <n v="0"/>
  </r>
  <r>
    <s v="OP 1157952"/>
    <n v="72"/>
    <s v="August"/>
    <d v="2023-08-24T00:00:00"/>
    <m/>
    <x v="3"/>
    <s v="A.1.1.3"/>
    <s v="Coffee break  at NYABITSINDA"/>
    <s v="D"/>
    <n v="112000"/>
    <s v="BIF"/>
    <n v="2802.3999950000002"/>
    <n v="39.96574371960773"/>
    <s v="USD"/>
    <n v="0"/>
    <s v="9UN1085"/>
    <s v="DUSHIREHAMWE"/>
    <n v="0"/>
    <n v="0"/>
    <n v="0"/>
    <n v="0"/>
    <n v="0"/>
    <n v="0"/>
  </r>
  <r>
    <s v="OP 1157952"/>
    <n v="72"/>
    <s v="August"/>
    <d v="2023-08-24T00:00:00"/>
    <m/>
    <x v="3"/>
    <s v="A.1.1.3"/>
    <s v="Lunch break at NYABITSINDA"/>
    <s v="D"/>
    <n v="224000"/>
    <s v="BIF"/>
    <n v="2802.3999950000002"/>
    <n v="79.931487439215459"/>
    <s v="USD"/>
    <n v="0"/>
    <s v="9UN1085"/>
    <s v="DUSHIREHAMWE"/>
    <n v="0"/>
    <n v="0"/>
    <n v="0"/>
    <n v="0"/>
    <n v="0"/>
    <n v="0"/>
  </r>
  <r>
    <s v="OP 1157952"/>
    <n v="72"/>
    <s v="August"/>
    <d v="2023-08-24T00:00:00"/>
    <m/>
    <x v="3"/>
    <s v="A.1.1.3"/>
    <s v="Mineral water  at NYABITSINDA"/>
    <s v="D"/>
    <n v="56000"/>
    <s v="BIF"/>
    <n v="2802.3999950000002"/>
    <n v="19.982871859803865"/>
    <s v="USD"/>
    <n v="0"/>
    <s v="9UN1085"/>
    <s v="DUSHIREHAMWE"/>
    <n v="0"/>
    <n v="0"/>
    <n v="0"/>
    <n v="0"/>
    <n v="0"/>
    <n v="0"/>
  </r>
  <r>
    <s v="OP 166998"/>
    <n v="73"/>
    <s v="August"/>
    <d v="2023-08-24T00:00:00"/>
    <m/>
    <x v="3"/>
    <s v="A.1.1.3"/>
    <s v="Car rent"/>
    <s v="D"/>
    <n v="600000"/>
    <s v="BIF"/>
    <n v="2802.3999950000002"/>
    <n v="214.10219849789857"/>
    <s v="USD"/>
    <n v="0"/>
    <s v="9UN1085"/>
    <s v="DUSHIREHAMWE"/>
    <n v="0"/>
    <n v="0"/>
    <n v="0"/>
    <n v="0"/>
    <n v="0"/>
    <n v="0"/>
  </r>
  <r>
    <s v="OP 166999"/>
    <n v="74"/>
    <s v="August"/>
    <d v="2023-08-24T00:00:00"/>
    <m/>
    <x v="3"/>
    <s v="A.1.1.3"/>
    <s v="Notebook"/>
    <s v="D"/>
    <n v="36000"/>
    <s v="BIF"/>
    <n v="2802.3999950000002"/>
    <n v="12.846131909873915"/>
    <s v="USD"/>
    <n v="0"/>
    <s v="9UN1085"/>
    <s v="DUSHIREHAMWE"/>
    <n v="0"/>
    <n v="0"/>
    <n v="0"/>
    <n v="0"/>
    <n v="0"/>
    <n v="0"/>
  </r>
  <r>
    <s v="OP 166999"/>
    <n v="74"/>
    <s v="August"/>
    <d v="2023-08-24T00:00:00"/>
    <m/>
    <x v="3"/>
    <s v="A.1.1.3"/>
    <s v="Pen"/>
    <s v="D"/>
    <n v="25000"/>
    <s v="BIF"/>
    <n v="2802.3999950000002"/>
    <n v="8.9209249374124404"/>
    <s v="USD"/>
    <n v="0"/>
    <s v="9UN1085"/>
    <s v="DUSHIREHAMWE"/>
    <n v="0"/>
    <n v="0"/>
    <n v="0"/>
    <n v="0"/>
    <n v="0"/>
    <n v="0"/>
  </r>
  <r>
    <s v="OP 166999"/>
    <n v="74"/>
    <s v="August"/>
    <d v="2023-08-24T00:00:00"/>
    <m/>
    <x v="3"/>
    <s v="A.1.1.3"/>
    <s v="flip cat"/>
    <s v="D"/>
    <n v="66000"/>
    <s v="BIF"/>
    <n v="2802.3999950000002"/>
    <n v="23.551241834768842"/>
    <s v="USD"/>
    <n v="0"/>
    <s v="9UN1085"/>
    <s v="DUSHIREHAMWE"/>
    <n v="0"/>
    <n v="0"/>
    <n v="0"/>
    <n v="0"/>
    <n v="0"/>
    <n v="0"/>
  </r>
  <r>
    <s v="OP 166999"/>
    <n v="74"/>
    <s v="August"/>
    <d v="2023-08-24T00:00:00"/>
    <m/>
    <x v="3"/>
    <s v="A.1.1.3"/>
    <s v="Felt"/>
    <s v="D"/>
    <n v="15000"/>
    <s v="BIF"/>
    <n v="2802.3999950000002"/>
    <n v="5.3525549624474644"/>
    <s v="USD"/>
    <n v="0"/>
    <s v="9UN1085"/>
    <s v="DUSHIREHAMWE"/>
    <n v="0"/>
    <n v="0"/>
    <n v="0"/>
    <n v="0"/>
    <n v="0"/>
    <n v="0"/>
  </r>
  <r>
    <s v="OP 166999"/>
    <n v="74"/>
    <s v="August"/>
    <d v="2023-08-24T00:00:00"/>
    <m/>
    <x v="3"/>
    <s v="A.1.1.3"/>
    <s v="Scotch"/>
    <s v="D"/>
    <n v="10500"/>
    <s v="BIF"/>
    <n v="2802.3999950000002"/>
    <n v="3.7467884737132251"/>
    <s v="USD"/>
    <n v="0"/>
    <s v="9UN1085"/>
    <s v="DUSHIREHAMWE"/>
    <n v="0"/>
    <n v="0"/>
    <n v="0"/>
    <n v="0"/>
    <n v="0"/>
    <n v="0"/>
  </r>
  <r>
    <s v="OP 166999"/>
    <n v="74"/>
    <s v="August"/>
    <d v="2023-08-24T00:00:00"/>
    <m/>
    <x v="3"/>
    <s v="A.1.1.3"/>
    <s v="ream of papers"/>
    <s v="D"/>
    <n v="66000"/>
    <s v="BIF"/>
    <n v="2802.3999950000002"/>
    <n v="23.551241834768842"/>
    <s v="USD"/>
    <n v="0"/>
    <s v="9UN1085"/>
    <s v="DUSHIREHAMWE"/>
    <n v="0"/>
    <n v="0"/>
    <n v="0"/>
    <n v="0"/>
    <n v="0"/>
    <n v="0"/>
  </r>
  <r>
    <s v="OP 167000"/>
    <n v="75"/>
    <s v="August"/>
    <d v="2023-08-24T00:00:00"/>
    <m/>
    <x v="3"/>
    <s v="A.1.1.3"/>
    <s v="Room rental at GISURU"/>
    <s v="D"/>
    <n v="100000"/>
    <s v="BIF"/>
    <n v="2802.3999950000002"/>
    <n v="35.683699749649762"/>
    <s v="USD"/>
    <n v="0"/>
    <s v="9UN1085"/>
    <s v="DUSHIREHAMWE"/>
    <n v="0"/>
    <n v="0"/>
    <n v="0"/>
    <n v="0"/>
    <n v="0"/>
    <n v="0"/>
  </r>
  <r>
    <s v="OP 167000"/>
    <n v="75"/>
    <s v="August"/>
    <d v="2023-08-24T00:00:00"/>
    <m/>
    <x v="3"/>
    <s v="A.1.1.3"/>
    <s v="Coffee break  at GISURU"/>
    <s v="D"/>
    <n v="140000"/>
    <s v="BIF"/>
    <n v="2802.3999950000002"/>
    <n v="49.957179649509669"/>
    <s v="USD"/>
    <n v="0"/>
    <s v="9UN1085"/>
    <s v="DUSHIREHAMWE"/>
    <n v="0"/>
    <n v="0"/>
    <n v="0"/>
    <n v="0"/>
    <n v="0"/>
    <n v="0"/>
  </r>
  <r>
    <s v="OP 167000"/>
    <n v="75"/>
    <s v="August"/>
    <d v="2023-08-24T00:00:00"/>
    <m/>
    <x v="3"/>
    <s v="A.1.1.3"/>
    <s v="Lunch break at GISURU"/>
    <s v="D"/>
    <n v="336000"/>
    <s v="BIF"/>
    <n v="2802.3999950000002"/>
    <n v="119.8972311588232"/>
    <s v="USD"/>
    <n v="0"/>
    <s v="9UN1085"/>
    <s v="DUSHIREHAMWE"/>
    <n v="0"/>
    <n v="0"/>
    <n v="0"/>
    <n v="0"/>
    <n v="0"/>
    <n v="0"/>
  </r>
  <r>
    <s v="OP 167000"/>
    <n v="75"/>
    <s v="August"/>
    <d v="2023-08-24T00:00:00"/>
    <m/>
    <x v="3"/>
    <s v="A.1.1.3"/>
    <s v="Mineral water  at GISURU"/>
    <s v="D"/>
    <n v="56000"/>
    <s v="BIF"/>
    <n v="2802.3999950000002"/>
    <n v="19.982871859803865"/>
    <s v="USD"/>
    <n v="0"/>
    <s v="9UN1085"/>
    <s v="DUSHIREHAMWE"/>
    <n v="0"/>
    <n v="0"/>
    <n v="0"/>
    <n v="0"/>
    <n v="0"/>
    <n v="0"/>
  </r>
  <r>
    <s v="OP157956"/>
    <n v="76"/>
    <s v="August"/>
    <d v="2023-08-24T00:00:00"/>
    <m/>
    <x v="3"/>
    <s v="A.1.1.3"/>
    <s v="Banner"/>
    <s v="D"/>
    <n v="60000"/>
    <s v="BIF"/>
    <n v="2802.3999950000002"/>
    <n v="21.410219849789858"/>
    <s v="USD"/>
    <n v="0"/>
    <s v="9UN1085"/>
    <s v="DUSHIREHAMWE"/>
    <n v="0"/>
    <n v="0"/>
    <n v="0"/>
    <n v="0"/>
    <n v="0"/>
    <n v="0"/>
  </r>
  <r>
    <s v="OP157961"/>
    <n v="77"/>
    <s v="August"/>
    <d v="2023-08-24T00:00:00"/>
    <m/>
    <x v="3"/>
    <s v="A.1.1.3"/>
    <s v="Car rent"/>
    <s v="D"/>
    <n v="360000"/>
    <s v="BIF"/>
    <n v="2802.3999950000002"/>
    <n v="128.46131909873915"/>
    <s v="USD"/>
    <n v="0"/>
    <s v="9UN1085"/>
    <s v="DUSHIREHAMWE"/>
    <n v="0"/>
    <n v="0"/>
    <n v="0"/>
    <n v="0"/>
    <n v="0"/>
    <n v="0"/>
  </r>
  <r>
    <s v="CHQ 8880790"/>
    <n v="78"/>
    <s v="August"/>
    <d v="2023-08-04T00:00:00"/>
    <m/>
    <x v="3"/>
    <s v="A.1.1.3"/>
    <s v="Representation expenses of the administration and CDFC"/>
    <s v="D"/>
    <n v="300000"/>
    <s v="BIF"/>
    <n v="2802.3999950000002"/>
    <n v="107.05109924894928"/>
    <s v="USD"/>
    <n v="0"/>
    <s v="9UN1085"/>
    <s v="DUSHIREHAMWE"/>
    <n v="0"/>
    <n v="0"/>
    <n v="0"/>
    <n v="0"/>
    <n v="0"/>
    <n v="0"/>
  </r>
  <r>
    <s v="CHQ 8880790"/>
    <n v="79"/>
    <s v="August"/>
    <d v="2023-08-04T00:00:00"/>
    <m/>
    <x v="3"/>
    <s v="A.1.1.3"/>
    <s v="Communication costs of the comm focal points"/>
    <s v="D"/>
    <n v="25000"/>
    <s v="BIF"/>
    <n v="2802.3999950000002"/>
    <n v="8.9209249374124404"/>
    <s v="USD"/>
    <n v="0"/>
    <s v="9UN1085"/>
    <s v="DUSHIREHAMWE"/>
    <n v="0"/>
    <n v="0"/>
    <n v="0"/>
    <n v="0"/>
    <n v="0"/>
    <n v="0"/>
  </r>
  <r>
    <s v="CHQ 8880790"/>
    <n v="80"/>
    <s v="August"/>
    <d v="2023-08-04T00:00:00"/>
    <m/>
    <x v="3"/>
    <s v="A.1.1.3"/>
    <s v="Focal point  travel expenses"/>
    <s v="D"/>
    <n v="75000"/>
    <s v="BIF"/>
    <n v="2802.3999950000002"/>
    <n v="26.762774812237321"/>
    <s v="USD"/>
    <n v="0"/>
    <s v="9UN1085"/>
    <s v="DUSHIREHAMWE"/>
    <n v="0"/>
    <n v="0"/>
    <n v="0"/>
    <n v="0"/>
    <n v="0"/>
    <n v="0"/>
  </r>
  <r>
    <s v="CHQ 8880790"/>
    <n v="81"/>
    <s v="August"/>
    <d v="2023-08-04T00:00:00"/>
    <m/>
    <x v="3"/>
    <s v="A.1.1.3"/>
    <s v="GISURU participant travel costs"/>
    <s v="D"/>
    <n v="180000"/>
    <s v="BIF"/>
    <n v="2802.3999950000002"/>
    <n v="64.230659549369577"/>
    <s v="USD"/>
    <n v="0"/>
    <s v="9UN1085"/>
    <s v="DUSHIREHAMWE"/>
    <n v="0"/>
    <n v="0"/>
    <n v="0"/>
    <n v="0"/>
    <n v="0"/>
    <n v="0"/>
  </r>
  <r>
    <s v="CHQ 8880790"/>
    <n v="82"/>
    <s v="August"/>
    <d v="2023-08-04T00:00:00"/>
    <m/>
    <x v="3"/>
    <s v="A.1.1.3"/>
    <s v="KINYINYA  participant travel costs"/>
    <s v="D"/>
    <n v="200000"/>
    <s v="BIF"/>
    <n v="2802.3999950000002"/>
    <n v="71.367399499299523"/>
    <s v="USD"/>
    <n v="0"/>
    <s v="9UN1085"/>
    <s v="DUSHIREHAMWE"/>
    <n v="0"/>
    <n v="0"/>
    <n v="0"/>
    <n v="0"/>
    <n v="0"/>
    <n v="0"/>
  </r>
  <r>
    <s v="CHQ 8880790"/>
    <n v="83"/>
    <s v="August"/>
    <d v="2023-08-04T00:00:00"/>
    <m/>
    <x v="3"/>
    <s v="A.1.1.3"/>
    <s v="NYABITSINDA  participant travel costs"/>
    <s v="D"/>
    <n v="180000"/>
    <s v="BIF"/>
    <n v="2802.3999950000002"/>
    <n v="64.230659549369577"/>
    <s v="USD"/>
    <n v="0"/>
    <s v="9UN1085"/>
    <s v="DUSHIREHAMWE"/>
    <n v="0"/>
    <n v="0"/>
    <n v="0"/>
    <n v="0"/>
    <n v="0"/>
    <n v="0"/>
  </r>
  <r>
    <s v="CHQ 8880790"/>
    <n v="84"/>
    <s v="August"/>
    <d v="2023-08-04T00:00:00"/>
    <m/>
    <x v="3"/>
    <s v="A.1.1.3"/>
    <s v="Mission expenses "/>
    <s v="D"/>
    <n v="300000"/>
    <s v="BIF"/>
    <n v="2802.3999950000002"/>
    <n v="107.05109924894928"/>
    <s v="USD"/>
    <n v="0"/>
    <s v="9UN1085"/>
    <s v="DUSHIREHAMWE"/>
    <n v="0"/>
    <n v="0"/>
    <n v="0"/>
    <n v="0"/>
    <n v="0"/>
    <n v="0"/>
  </r>
  <r>
    <s v="CHQ 8880790"/>
    <n v="85"/>
    <s v="August"/>
    <d v="2023-08-04T00:00:00"/>
    <m/>
    <x v="3"/>
    <s v="A.1.1.3"/>
    <s v="Fuel"/>
    <s v="D"/>
    <n v="639600"/>
    <s v="BIF"/>
    <n v="2802.3999950000002"/>
    <n v="228.23294359875987"/>
    <s v="USD"/>
    <n v="0"/>
    <s v="9UN1085"/>
    <s v="DUSHIREHAMWE"/>
    <n v="0"/>
    <n v="0"/>
    <n v="0"/>
    <n v="0"/>
    <n v="0"/>
    <n v="0"/>
  </r>
  <r>
    <s v="CH8904425"/>
    <n v="24"/>
    <s v="August"/>
    <d v="2023-08-11T00:00:00"/>
    <m/>
    <x v="3"/>
    <s v="A.1.1.4"/>
    <s v="PYT advert. consultant for supporting platforms Intercontact"/>
    <s v="D"/>
    <n v="177000"/>
    <s v="BIF"/>
    <n v="2803.6597999999999"/>
    <n v="63.131767984118476"/>
    <s v="USD"/>
    <n v="0"/>
    <s v="9UN1085"/>
    <s v="YELI"/>
    <n v="0"/>
    <n v="0"/>
    <n v="0"/>
    <n v="0"/>
    <n v="0"/>
    <n v="0"/>
  </r>
  <r>
    <s v=" CH8998690"/>
    <n v="24"/>
    <s v="August"/>
    <d v="2023-08-18T00:00:00"/>
    <m/>
    <x v="3"/>
    <s v="A.1.1.4"/>
    <s v="PYT advert Consultant Job in Burundi "/>
    <s v="D"/>
    <n v="100000"/>
    <s v="BIF"/>
    <n v="2803.6597999999999"/>
    <n v="35.66766552775055"/>
    <s v="USD"/>
    <n v="0"/>
    <s v="9UN1085"/>
    <s v="YELI"/>
    <n v="0"/>
    <n v="0"/>
    <n v="0"/>
    <n v="0"/>
    <n v="0"/>
    <n v="0"/>
  </r>
  <r>
    <s v="CH 6898691"/>
    <n v="24"/>
    <s v="August"/>
    <d v="2023-08-18T00:00:00"/>
    <m/>
    <x v="3"/>
    <s v="A.1.1.4"/>
    <s v="PYT  advert consultant  Plateforme Esoko"/>
    <s v="D"/>
    <n v="70000"/>
    <s v="BIF"/>
    <n v="2803.6597999999999"/>
    <n v="24.967365869425386"/>
    <s v="USD"/>
    <n v="0"/>
    <s v="9UN1085"/>
    <s v="YELI"/>
    <n v="0"/>
    <n v="0"/>
    <n v="0"/>
    <n v="0"/>
    <n v="0"/>
    <n v="0"/>
  </r>
  <r>
    <s v="OP 166992"/>
    <n v="54"/>
    <s v="July"/>
    <d v="2023-07-31T00:00:00"/>
    <m/>
    <x v="3"/>
    <s v="A.1.2.2"/>
    <s v="Consultant fees"/>
    <s v="D"/>
    <n v="61065"/>
    <s v="BIF"/>
    <n v="2802.3999950000002"/>
    <n v="21.790251252123628"/>
    <s v="USD"/>
    <n v="0"/>
    <s v="9UN1085"/>
    <s v="DUSHIREHAMWE"/>
    <n v="0"/>
    <n v="0"/>
    <n v="0"/>
    <n v="0"/>
    <n v="0"/>
    <n v="0"/>
  </r>
  <r>
    <s v="OP157959"/>
    <n v="98"/>
    <s v="September"/>
    <d v="2023-09-07T00:00:00"/>
    <m/>
    <x v="3"/>
    <s v="A.1.2.2"/>
    <s v="Consultant fees"/>
    <s v="D"/>
    <n v="194899"/>
    <s v="BIF"/>
    <n v="2802.3999950000002"/>
    <n v="69.547173975069882"/>
    <s v="USD"/>
    <n v="0"/>
    <s v="9UN1085"/>
    <s v="DUSHIREHAMWE"/>
    <n v="0"/>
    <n v="0"/>
    <n v="0"/>
    <n v="0"/>
    <n v="0"/>
    <n v="0"/>
  </r>
  <r>
    <s v="B CV1055"/>
    <n v="5281"/>
    <s v="2024/004"/>
    <d v="2023-07-20T00:00:00"/>
    <n v="3490"/>
    <x v="1"/>
    <s v="A.3.1.1"/>
    <s v="A.3.1.1.Aiport levy_pick of Kara's lost luggage"/>
    <s v="D"/>
    <n v="2500"/>
    <s v="BIF"/>
    <n v="2.8078499999999998E-4"/>
    <n v="0.89"/>
    <s v="USD"/>
    <n v="0.7"/>
    <s v="9UN1085"/>
    <s v="Christian Aid"/>
    <s v="I2281"/>
    <n v="0"/>
    <s v="DND"/>
    <d v="2023-08-07T00:00:00"/>
    <d v="2023-08-07T00:00:00"/>
    <s v="TKA"/>
  </r>
  <r>
    <s v="FACT.52/19/07/2023"/>
    <n v="5223"/>
    <s v="2024/004"/>
    <d v="2023-07-20T00:00:00"/>
    <n v="3570"/>
    <x v="1"/>
    <s v="A.3.1.1"/>
    <s v="A.3.1.1.PYT Meal&amp;Confroom Gender Wrkshp UNPBF_Day3"/>
    <s v="D"/>
    <n v="1088000"/>
    <s v="BIF"/>
    <n v="2.8078499999999998E-4"/>
    <n v="387.83"/>
    <s v="USD"/>
    <n v="305.49"/>
    <s v="9UN1085"/>
    <s v="Christian Aid"/>
    <s v="I2281"/>
    <n v="0"/>
    <s v="FHA"/>
    <d v="2023-08-07T00:00:00"/>
    <d v="2023-08-07T00:00:00"/>
    <s v="TKA"/>
  </r>
  <r>
    <s v="FACT50/17/07/2023"/>
    <n v="5186"/>
    <s v="2024/004"/>
    <d v="2023-07-17T00:00:00"/>
    <n v="3570"/>
    <x v="1"/>
    <s v="A.3.1.1"/>
    <s v="A.3.1.PYT Meals&amp;Conf room Gender normsWrkshp _Day1"/>
    <s v="D"/>
    <n v="784000"/>
    <s v="BIF"/>
    <n v="2.8078499999999998E-4"/>
    <n v="279.45999999999998"/>
    <s v="USD"/>
    <n v="220.14"/>
    <s v="9UN1085"/>
    <s v="Christian Aid"/>
    <s v="I2281"/>
    <n v="0"/>
    <s v="FHA"/>
    <d v="2023-08-04T00:00:00"/>
    <d v="2023-08-04T00:00:00"/>
    <s v="TKA"/>
  </r>
  <r>
    <s v="FACT51/18/07/2023"/>
    <n v="5148"/>
    <s v="2024/004"/>
    <d v="2023-07-20T00:00:00"/>
    <n v="3570"/>
    <x v="1"/>
    <s v="A.3.1.1"/>
    <s v="A.3.1.1.PYT Meals&amp;Confroom GenderWrkshp UNPBF_Day2"/>
    <s v="D"/>
    <n v="1088000"/>
    <s v="BIF"/>
    <n v="2.8078499999999998E-4"/>
    <n v="387.83"/>
    <s v="USD"/>
    <n v="305.49"/>
    <s v="9UN1085"/>
    <s v="Christian Aid"/>
    <s v="I2281"/>
    <n v="0"/>
    <s v="FHA"/>
    <d v="2023-08-03T00:00:00"/>
    <d v="2023-08-01T00:00:00"/>
    <s v="TKA"/>
  </r>
  <r>
    <s v="FLOAT_28_07_2023"/>
    <n v="5185"/>
    <s v="2024/004"/>
    <d v="2023-07-28T00:00:00"/>
    <n v="3570"/>
    <x v="1"/>
    <s v="A.3.1.1"/>
    <s v="A.3.1.1.PYTTranspAcomod_PerdiemGender norms wrkshp"/>
    <s v="D"/>
    <n v="8350000"/>
    <s v="BIF"/>
    <n v="2.8078499999999998E-4"/>
    <n v="2976.42"/>
    <s v="USD"/>
    <n v="2344.5500000000002"/>
    <s v="9UN1085"/>
    <s v="Christian Aid"/>
    <s v="I2281"/>
    <n v="0"/>
    <s v="FHA"/>
    <d v="2023-08-04T00:00:00"/>
    <d v="2023-08-04T00:00:00"/>
    <s v="TKA"/>
  </r>
  <r>
    <s v="FACT No 126/2023"/>
    <n v="5386"/>
    <s v="2024/005"/>
    <d v="2023-08-30T00:00:00"/>
    <n v="3570"/>
    <x v="1"/>
    <s v="A.3.1.1"/>
    <s v="A.3.1.1.PYT accom &amp;meals,conf Gender norms wrkshop"/>
    <s v="D"/>
    <n v="4590400"/>
    <s v="BIF"/>
    <n v="2.7534199999999998E-4"/>
    <n v="1626.42"/>
    <s v="USD"/>
    <n v="1263.93"/>
    <s v="9UN1085"/>
    <s v="Christian Aid"/>
    <s v="I2281"/>
    <n v="0"/>
    <s v="FHA"/>
    <d v="2023-09-04T00:00:00"/>
    <d v="2023-09-06T00:00:00"/>
    <s v="TKA"/>
  </r>
  <r>
    <s v="OP0003375"/>
    <n v="5337"/>
    <s v="2024/005"/>
    <d v="2023-08-03T00:00:00"/>
    <n v="3570"/>
    <x v="1"/>
    <s v="A.3.1.1"/>
    <s v="A.3.1.1.PYT Translation fees_Gender norms wrkshp"/>
    <s v="D"/>
    <n v="360000"/>
    <s v="BIF"/>
    <n v="2.7534199999999998E-4"/>
    <n v="127.55"/>
    <s v="USD"/>
    <n v="99.12"/>
    <s v="9UN1085"/>
    <s v="Christian Aid"/>
    <s v="I2281"/>
    <n v="0"/>
    <s v="FHA"/>
    <d v="2023-09-04T00:00:00"/>
    <d v="2023-09-05T00:00:00"/>
    <s v="TKA"/>
  </r>
  <r>
    <s v="OP003383"/>
    <n v="5338"/>
    <s v="2024/005"/>
    <d v="2023-08-04T00:00:00"/>
    <n v="3570"/>
    <x v="1"/>
    <s v="A.3.1.1"/>
    <s v="A.3.1.1.PYT Translation fees_Gender norms wrkshp"/>
    <s v="D"/>
    <n v="540000"/>
    <s v="BIF"/>
    <n v="2.7534199999999998E-4"/>
    <n v="191.33"/>
    <s v="USD"/>
    <n v="148.68"/>
    <s v="9UN1085"/>
    <s v="Christian Aid"/>
    <s v="I2281"/>
    <n v="0"/>
    <s v="FHA"/>
    <d v="2023-09-04T00:00:00"/>
    <d v="2023-09-05T00:00:00"/>
    <s v="TKA"/>
  </r>
  <r>
    <s v="OV843259"/>
    <n v="8"/>
    <d v="2023-09-25T00:00:00"/>
    <d v="2023-09-25T00:00:00"/>
    <m/>
    <x v="3"/>
    <s v="A.3.1.2"/>
    <s v=" Deplacement participant/Mission... RUYIGI"/>
    <s v="D"/>
    <n v="7663000"/>
    <s v="BIF"/>
    <n v="2830.26"/>
    <n v="2707.5251037007197"/>
    <s v="USD"/>
    <n v="0"/>
    <s v="9UN1085"/>
    <s v="COCAFEM"/>
    <n v="0"/>
    <n v="0"/>
    <n v="0"/>
    <n v="0"/>
    <n v="0"/>
    <n v="0"/>
  </r>
  <r>
    <s v="OV843260"/>
    <n v="9"/>
    <d v="2023-09-25T00:00:00"/>
    <d v="2023-09-25T00:00:00"/>
    <m/>
    <x v="3"/>
    <s v="A.3.1.2"/>
    <s v="Frais Deplacement participant... RUTANA"/>
    <s v="D"/>
    <n v="7358670"/>
    <s v="BIF"/>
    <n v="2830.26"/>
    <n v="2599.9978800534223"/>
    <s v="USD"/>
    <n v="0"/>
    <s v="9UN1085"/>
    <s v="COCAFEM"/>
    <n v="0"/>
    <n v="0"/>
    <n v="0"/>
    <n v="0"/>
    <n v="0"/>
    <n v="0"/>
  </r>
  <r>
    <s v="chq no 1637447"/>
    <n v="66"/>
    <s v="Sept-023"/>
    <s v="11/09/023"/>
    <n v="6345"/>
    <x v="3"/>
    <s v="A.3.3.1"/>
    <s v="Mission expenses"/>
    <s v="D"/>
    <n v="150000"/>
    <s v="BIF"/>
    <n v="2801.6"/>
    <n v="53.540833809251858"/>
    <s v="USD"/>
    <n v="0"/>
    <s v="9UN1085"/>
    <s v="RFP"/>
    <n v="0"/>
    <n v="0"/>
    <n v="0"/>
    <n v="0"/>
    <n v="0"/>
    <n v="0"/>
  </r>
  <r>
    <s v="DV no 65/09/EN/023"/>
    <n v="60"/>
    <s v="Sept-023"/>
    <s v="11/09/023"/>
    <n v="6345"/>
    <x v="3"/>
    <s v="A.3.3.1"/>
    <s v="Participants travel costs"/>
    <s v="D"/>
    <n v="9850000"/>
    <s v="BIF"/>
    <n v="2801.6"/>
    <n v="3515.8480868075385"/>
    <s v="USD"/>
    <n v="0"/>
    <s v="9UN1085"/>
    <s v="RFP"/>
    <n v="0"/>
    <n v="0"/>
    <n v="0"/>
    <n v="0"/>
    <n v="0"/>
    <n v="0"/>
  </r>
  <r>
    <s v="chq no 1637458"/>
    <n v="60"/>
    <s v="Sept-023"/>
    <s v="13/09/023"/>
    <n v="6345"/>
    <x v="3"/>
    <s v="A.3.3.1"/>
    <s v="Participants travel costs"/>
    <s v="D"/>
    <n v="4400000"/>
    <s v="BIF"/>
    <n v="2801.6"/>
    <n v="1570.5311250713878"/>
    <s v="USD"/>
    <n v="0"/>
    <s v="9UN1085"/>
    <s v="RFP"/>
    <n v="0"/>
    <n v="0"/>
    <n v="0"/>
    <n v="0"/>
    <n v="0"/>
    <n v="0"/>
  </r>
  <r>
    <s v="chq no 1637458"/>
    <n v="60"/>
    <s v="Sept-023"/>
    <s v="13/09/023"/>
    <n v="6345"/>
    <x v="3"/>
    <s v="A.3.3.1"/>
    <s v="Representation expenses of the Admin"/>
    <s v="D"/>
    <n v="360000"/>
    <s v="BIF"/>
    <n v="2801.6"/>
    <n v="128.49800114220446"/>
    <s v="USD"/>
    <n v="0"/>
    <s v="9UN1085"/>
    <s v="RFP"/>
    <n v="0"/>
    <n v="0"/>
    <n v="0"/>
    <n v="0"/>
    <n v="0"/>
    <n v="0"/>
  </r>
  <r>
    <s v="chq no 1637458"/>
    <n v="60"/>
    <s v="Sept-023"/>
    <s v="13/09/023"/>
    <n v="6345"/>
    <x v="3"/>
    <s v="A.3.3.1"/>
    <s v="Representation expenses of the CDFC"/>
    <s v="D"/>
    <n v="60000"/>
    <s v="BIF"/>
    <n v="2801.6"/>
    <n v="21.416333523700743"/>
    <s v="USD"/>
    <n v="0"/>
    <s v="9UN1085"/>
    <s v="RFP"/>
    <n v="0"/>
    <n v="0"/>
    <n v="0"/>
    <n v="0"/>
    <n v="0"/>
    <n v="0"/>
  </r>
  <r>
    <s v="chq no 1637458"/>
    <n v="60"/>
    <s v="Sept-023"/>
    <s v="13/09/023"/>
    <n v="6345"/>
    <x v="3"/>
    <s v="A.3.3.1"/>
    <s v="FP communication costs"/>
    <s v="D"/>
    <n v="30000"/>
    <s v="BIF"/>
    <n v="2801.6"/>
    <n v="10.708166761850372"/>
    <s v="USD"/>
    <n v="0"/>
    <s v="9UN1085"/>
    <s v="RFP"/>
    <n v="0"/>
    <n v="0"/>
    <n v="0"/>
    <n v="0"/>
    <n v="0"/>
    <n v="0"/>
  </r>
  <r>
    <s v="chq no 1637458"/>
    <n v="60"/>
    <s v="Sept-023"/>
    <s v="13/09/023"/>
    <n v="6345"/>
    <x v="3"/>
    <s v="A.3.3.1"/>
    <s v="Project coordinator communication costs"/>
    <s v="D"/>
    <n v="10000"/>
    <s v="BIF"/>
    <n v="2801.6"/>
    <n v="3.5693889206167904"/>
    <s v="USD"/>
    <n v="0"/>
    <s v="9UN1085"/>
    <s v="RFP"/>
    <n v="0"/>
    <n v="0"/>
    <n v="0"/>
    <n v="0"/>
    <n v="0"/>
    <n v="0"/>
  </r>
  <r>
    <s v="chq no 1637450"/>
    <n v="63"/>
    <s v="Sept-023"/>
    <s v="11/09/023"/>
    <n v="6345"/>
    <x v="3"/>
    <s v="A.3.3.1"/>
    <s v="Mission expenses for consultants"/>
    <s v="D"/>
    <n v="1440000"/>
    <s v="BIF"/>
    <n v="2801.6"/>
    <n v="513.99200456881783"/>
    <s v="USD"/>
    <n v="0"/>
    <s v="9UN1085"/>
    <s v="RFP"/>
    <n v="0"/>
    <n v="0"/>
    <n v="0"/>
    <n v="0"/>
    <n v="0"/>
    <n v="0"/>
  </r>
  <r>
    <s v="Chq no 1637450"/>
    <n v="63"/>
    <s v="Sept-023"/>
    <s v="11/09/023"/>
    <n v="6345"/>
    <x v="3"/>
    <s v="A.3.3.1"/>
    <s v="RFP team mission expenses"/>
    <s v="D"/>
    <n v="720000"/>
    <s v="BIF"/>
    <n v="2801.6"/>
    <n v="256.99600228440892"/>
    <s v="USD"/>
    <n v="0"/>
    <s v="9UN1085"/>
    <s v="RFP"/>
    <n v="0"/>
    <n v="0"/>
    <n v="0"/>
    <n v="0"/>
    <n v="0"/>
    <n v="0"/>
  </r>
  <r>
    <s v="chq no 1637449"/>
    <n v="69"/>
    <s v="Sept-023"/>
    <s v="11/09/023"/>
    <n v="6172"/>
    <x v="3"/>
    <s v="A.3.3.1"/>
    <s v="Fuel"/>
    <s v="D"/>
    <n v="1707750"/>
    <s v="BIF"/>
    <n v="2801.6"/>
    <n v="609.56239291833242"/>
    <s v="USD"/>
    <n v="0"/>
    <s v="9UN1085"/>
    <s v="RFP"/>
    <n v="0"/>
    <n v="0"/>
    <n v="0"/>
    <n v="0"/>
    <n v="0"/>
    <n v="0"/>
  </r>
  <r>
    <s v="chq no 1637448"/>
    <n v="79"/>
    <s v="Sept-023"/>
    <s v="11/09/023"/>
    <n v="6179"/>
    <x v="3"/>
    <s v="A.3.3.1"/>
    <s v="Notebooks"/>
    <s v="D"/>
    <n v="540000"/>
    <s v="BIF"/>
    <n v="2801.6"/>
    <n v="192.7470017133067"/>
    <s v="USD"/>
    <n v="0"/>
    <s v="9UN1085"/>
    <s v="RFP"/>
    <n v="0"/>
    <n v="0"/>
    <n v="0"/>
    <n v="0"/>
    <n v="0"/>
    <n v="0"/>
  </r>
  <r>
    <s v="chq no 1637448"/>
    <n v="79"/>
    <s v="Sept-023"/>
    <s v="11/09/023"/>
    <n v="6179"/>
    <x v="3"/>
    <s v="A.3.3.1"/>
    <s v="Pen"/>
    <s v="D"/>
    <n v="180000"/>
    <s v="BIF"/>
    <n v="2801.6"/>
    <n v="64.249000571102229"/>
    <s v="USD"/>
    <n v="0"/>
    <s v="9UN1085"/>
    <s v="RFP"/>
    <n v="0"/>
    <n v="0"/>
    <n v="0"/>
    <n v="0"/>
    <n v="0"/>
    <n v="0"/>
  </r>
  <r>
    <s v="chq no 1637448"/>
    <n v="79"/>
    <s v="Sept-023"/>
    <s v="11/09/023"/>
    <n v="6179"/>
    <x v="3"/>
    <s v="A.3.3.1"/>
    <s v="Felt"/>
    <s v="D"/>
    <n v="90000"/>
    <s v="BIF"/>
    <n v="2801.6"/>
    <n v="32.124500285551115"/>
    <s v="USD"/>
    <n v="0"/>
    <s v="9UN1085"/>
    <s v="RFP"/>
    <n v="0"/>
    <n v="0"/>
    <n v="0"/>
    <n v="0"/>
    <n v="0"/>
    <n v="0"/>
  </r>
  <r>
    <s v="chq no 1637448"/>
    <n v="79"/>
    <s v="Sept-023"/>
    <s v="11/09/023"/>
    <n v="6179"/>
    <x v="3"/>
    <s v="A.3.3.1"/>
    <s v="Scotch"/>
    <s v="D"/>
    <n v="30000"/>
    <s v="BIF"/>
    <n v="2801.6"/>
    <n v="10.708166761850372"/>
    <s v="USD"/>
    <n v="0"/>
    <s v="9UN1085"/>
    <s v="RFP"/>
    <n v="0"/>
    <n v="0"/>
    <n v="0"/>
    <n v="0"/>
    <n v="0"/>
    <n v="0"/>
  </r>
  <r>
    <s v="chq no 1637448"/>
    <n v="79"/>
    <s v="Sept-023"/>
    <s v="11/09/023"/>
    <n v="6179"/>
    <x v="3"/>
    <s v="A.3.3.1"/>
    <s v="Flip Chart"/>
    <s v="D"/>
    <n v="108000"/>
    <s v="BIF"/>
    <n v="2801.6"/>
    <n v="38.549400342661336"/>
    <s v="USD"/>
    <n v="0"/>
    <s v="9UN1085"/>
    <s v="RFP"/>
    <n v="0"/>
    <n v="0"/>
    <n v="0"/>
    <n v="0"/>
    <n v="0"/>
    <n v="0"/>
  </r>
  <r>
    <s v="chq no 1637448"/>
    <n v="79"/>
    <s v="Sept-023"/>
    <s v="11/09/023"/>
    <n v="6179"/>
    <x v="3"/>
    <s v="A.3.3.1"/>
    <s v="Ream"/>
    <s v="D"/>
    <n v="22000"/>
    <s v="BIF"/>
    <n v="2801.6"/>
    <n v="7.8526556253569391"/>
    <s v="USD"/>
    <n v="0"/>
    <s v="9UN1085"/>
    <s v="RFP"/>
    <n v="0"/>
    <n v="0"/>
    <n v="0"/>
    <n v="0"/>
    <n v="0"/>
    <n v="0"/>
  </r>
  <r>
    <s v="chq no 1637451"/>
    <n v="71"/>
    <s v="Sept-023"/>
    <s v="14/09/023"/>
    <n v="6311"/>
    <x v="3"/>
    <s v="A.3.3.1"/>
    <s v="Room rent"/>
    <s v="D"/>
    <n v="150000"/>
    <s v="BIF"/>
    <n v="2801.6"/>
    <n v="53.540833809251858"/>
    <s v="USD"/>
    <n v="0"/>
    <s v="9UN1085"/>
    <s v="RFP"/>
    <n v="0"/>
    <n v="0"/>
    <n v="0"/>
    <n v="0"/>
    <n v="0"/>
    <n v="0"/>
  </r>
  <r>
    <s v="chq no 1637451"/>
    <n v="71"/>
    <s v="Sept-023"/>
    <s v="14/09/023"/>
    <n v="6349"/>
    <x v="3"/>
    <s v="A.3.3.1"/>
    <s v="Minerval water"/>
    <s v="D"/>
    <n v="124000"/>
    <s v="BIF"/>
    <n v="2801.6"/>
    <n v="44.260422615648203"/>
    <s v="USD"/>
    <n v="0"/>
    <s v="9UN1085"/>
    <s v="RFP"/>
    <n v="0"/>
    <n v="0"/>
    <n v="0"/>
    <n v="0"/>
    <n v="0"/>
    <n v="0"/>
  </r>
  <r>
    <s v="chq no 1637451"/>
    <n v="71"/>
    <s v="Sept-023"/>
    <s v="14/09/023"/>
    <n v="6349"/>
    <x v="3"/>
    <s v="A.3.3.1"/>
    <s v="Coffee break"/>
    <s v="D"/>
    <n v="558000"/>
    <s v="BIF"/>
    <n v="2801.6"/>
    <n v="199.17190177041692"/>
    <s v="USD"/>
    <n v="0"/>
    <s v="9UN1085"/>
    <s v="RFP"/>
    <n v="0"/>
    <n v="0"/>
    <n v="0"/>
    <n v="0"/>
    <n v="0"/>
    <n v="0"/>
  </r>
  <r>
    <s v="chq no 1637451"/>
    <n v="71"/>
    <s v="Sept-023"/>
    <s v="14/09/023"/>
    <n v="6349"/>
    <x v="3"/>
    <s v="A.3.3.1"/>
    <s v="Lunch break"/>
    <s v="D"/>
    <n v="1736000"/>
    <s v="BIF"/>
    <n v="2801.6"/>
    <n v="619.6459166190748"/>
    <s v="USD"/>
    <n v="0"/>
    <s v="9UN1085"/>
    <s v="RFP"/>
    <n v="0"/>
    <n v="0"/>
    <n v="0"/>
    <n v="0"/>
    <n v="0"/>
    <n v="0"/>
  </r>
  <r>
    <s v="chq no 1637456"/>
    <n v="81"/>
    <s v="Sept-023"/>
    <s v="14/09/023"/>
    <n v="6311"/>
    <x v="3"/>
    <s v="A.3.3.1"/>
    <s v="Room rent"/>
    <s v="D"/>
    <n v="140000"/>
    <s v="BIF"/>
    <n v="2801.6"/>
    <n v="49.97144488863507"/>
    <s v="USD"/>
    <n v="0"/>
    <s v="9UN1085"/>
    <s v="RFP"/>
    <n v="0"/>
    <n v="0"/>
    <n v="0"/>
    <n v="0"/>
    <n v="0"/>
    <n v="0"/>
  </r>
  <r>
    <s v="chq no 1637456"/>
    <n v="81"/>
    <s v="Sept-023"/>
    <s v="14/09/023"/>
    <n v="6349"/>
    <x v="3"/>
    <s v="A.3.3.1"/>
    <s v="Minerval water"/>
    <s v="D"/>
    <n v="124000"/>
    <s v="BIF"/>
    <n v="2801.6"/>
    <n v="44.260422615648203"/>
    <s v="USD"/>
    <n v="0"/>
    <s v="9UN1085"/>
    <s v="RFP"/>
    <n v="0"/>
    <n v="0"/>
    <n v="0"/>
    <n v="0"/>
    <n v="0"/>
    <n v="0"/>
  </r>
  <r>
    <s v="chq no 1637456"/>
    <n v="81"/>
    <s v="Sept-023"/>
    <s v="14/09/023"/>
    <n v="6349"/>
    <x v="3"/>
    <s v="A.3.3.1"/>
    <s v="Coffee break"/>
    <s v="D"/>
    <n v="496000"/>
    <s v="BIF"/>
    <n v="2801.6"/>
    <n v="177.04169046259281"/>
    <s v="USD"/>
    <n v="0"/>
    <s v="9UN1085"/>
    <s v="RFP"/>
    <n v="0"/>
    <n v="0"/>
    <n v="0"/>
    <n v="0"/>
    <n v="0"/>
    <n v="0"/>
  </r>
  <r>
    <s v="chq no 1637456"/>
    <n v="81"/>
    <s v="Sept-023"/>
    <s v="14/09/023"/>
    <n v="6349"/>
    <x v="3"/>
    <s v="A.3.3.1"/>
    <s v="Lunch break"/>
    <s v="D"/>
    <n v="1736000"/>
    <s v="BIF"/>
    <n v="2801.6"/>
    <n v="619.6459166190748"/>
    <s v="USD"/>
    <n v="0"/>
    <s v="9UN1085"/>
    <s v="RFP"/>
    <n v="0"/>
    <n v="0"/>
    <n v="0"/>
    <n v="0"/>
    <n v="0"/>
    <n v="0"/>
  </r>
  <r>
    <s v="chq no 1637454"/>
    <n v="74"/>
    <s v="Sept-023"/>
    <s v="15/09/023"/>
    <n v="6349"/>
    <x v="3"/>
    <s v="A.3.3.1"/>
    <s v="Room rent"/>
    <s v="D"/>
    <n v="150000"/>
    <s v="BIF"/>
    <n v="2801.6"/>
    <n v="53.540833809251858"/>
    <s v="USD"/>
    <n v="0"/>
    <s v="9UN1085"/>
    <s v="RFP"/>
    <n v="0"/>
    <n v="0"/>
    <n v="0"/>
    <n v="0"/>
    <n v="0"/>
    <n v="0"/>
  </r>
  <r>
    <s v="chq no 1637454"/>
    <n v="74"/>
    <s v="Sept-023"/>
    <s v="15/09/023"/>
    <n v="6349"/>
    <x v="3"/>
    <s v="A.3.3.1"/>
    <s v="Minerval water"/>
    <s v="D"/>
    <n v="124000"/>
    <s v="BIF"/>
    <n v="2801.6"/>
    <n v="44.260422615648203"/>
    <s v="USD"/>
    <n v="0"/>
    <s v="9UN1085"/>
    <s v="RFP"/>
    <n v="0"/>
    <n v="0"/>
    <n v="0"/>
    <n v="0"/>
    <n v="0"/>
    <n v="0"/>
  </r>
  <r>
    <s v="chq no 1637454"/>
    <n v="74"/>
    <s v="Sept-023"/>
    <s v="15/09/023"/>
    <n v="6349"/>
    <x v="3"/>
    <s v="A.3.3.1"/>
    <s v="Coffee break"/>
    <s v="D"/>
    <n v="620000"/>
    <s v="BIF"/>
    <n v="2801.6"/>
    <n v="221.30211307824101"/>
    <s v="USD"/>
    <n v="0"/>
    <s v="9UN1085"/>
    <s v="RFP"/>
    <n v="0"/>
    <n v="0"/>
    <n v="0"/>
    <n v="0"/>
    <n v="0"/>
    <n v="0"/>
  </r>
  <r>
    <s v="chq no 1637454"/>
    <n v="74"/>
    <s v="Sept-023"/>
    <s v="15/09/023"/>
    <n v="6349"/>
    <x v="3"/>
    <s v="A.3.3.1"/>
    <s v="Lunch break"/>
    <s v="D"/>
    <n v="1736000"/>
    <s v="BIF"/>
    <n v="2801.6"/>
    <n v="619.6459166190748"/>
    <s v="USD"/>
    <n v="0"/>
    <s v="9UN1085"/>
    <s v="RFP"/>
    <n v="0"/>
    <n v="0"/>
    <n v="0"/>
    <n v="0"/>
    <n v="0"/>
    <n v="0"/>
  </r>
  <r>
    <s v="DV no 70/09/EN/023"/>
    <n v="64"/>
    <s v="Sept-023"/>
    <s v="20/09/2023"/>
    <m/>
    <x v="3"/>
    <s v="A.3.3.1"/>
    <s v="GASCOREC consultance honorarium"/>
    <s v="D"/>
    <n v="3600000"/>
    <s v="BIF"/>
    <n v="2801.6"/>
    <n v="1284.9800114220445"/>
    <s v="USD"/>
    <n v="0"/>
    <s v="9UN1085"/>
    <s v="RFP"/>
    <n v="0"/>
    <n v="0"/>
    <n v="0"/>
    <n v="0"/>
    <n v="0"/>
    <n v="0"/>
  </r>
  <r>
    <s v="Chq no 1637453"/>
    <n v="72"/>
    <s v="Sept-023"/>
    <s v="15/09/2023"/>
    <m/>
    <x v="3"/>
    <s v="A.3.3.1"/>
    <s v="Room rent"/>
    <s v="D"/>
    <n v="140000"/>
    <s v="BIF"/>
    <n v="2801.6"/>
    <n v="49.97144488863507"/>
    <s v="USD"/>
    <n v="0"/>
    <s v="9UN1085"/>
    <s v="RFP"/>
    <n v="0"/>
    <n v="0"/>
    <n v="0"/>
    <n v="0"/>
    <n v="0"/>
    <n v="0"/>
  </r>
  <r>
    <s v="Chq no 1637453"/>
    <n v="72"/>
    <s v="Sept-023"/>
    <s v="15/09/2023"/>
    <m/>
    <x v="3"/>
    <s v="A.3.3.1"/>
    <s v="Minerval water"/>
    <s v="D"/>
    <n v="124000"/>
    <s v="BIF"/>
    <n v="2801.6"/>
    <n v="44.260422615648203"/>
    <s v="USD"/>
    <n v="0"/>
    <s v="9UN1085"/>
    <s v="RFP"/>
    <n v="0"/>
    <n v="0"/>
    <n v="0"/>
    <n v="0"/>
    <n v="0"/>
    <n v="0"/>
  </r>
  <r>
    <s v="Chq no 1637453"/>
    <n v="72"/>
    <s v="Sept-023"/>
    <s v="15/09/2023"/>
    <m/>
    <x v="3"/>
    <s v="A.3.3.1"/>
    <s v="Coffee break"/>
    <s v="D"/>
    <n v="496000"/>
    <s v="BIF"/>
    <n v="2801.6"/>
    <n v="177.04169046259281"/>
    <s v="USD"/>
    <n v="0"/>
    <s v="9UN1085"/>
    <s v="RFP"/>
    <n v="0"/>
    <n v="0"/>
    <n v="0"/>
    <n v="0"/>
    <n v="0"/>
    <n v="0"/>
  </r>
  <r>
    <s v="Chq no 1637453"/>
    <n v="72"/>
    <s v="Sept-023"/>
    <s v="15/09/2023"/>
    <m/>
    <x v="3"/>
    <s v="A.3.3.1"/>
    <s v="Lunch break"/>
    <s v="D"/>
    <n v="1860000"/>
    <s v="BIF"/>
    <n v="2801.6"/>
    <n v="663.90633923472308"/>
    <s v="USD"/>
    <n v="0"/>
    <s v="9UN1085"/>
    <s v="RFP"/>
    <n v="0"/>
    <n v="0"/>
    <n v="0"/>
    <n v="0"/>
    <n v="0"/>
    <n v="0"/>
  </r>
  <r>
    <s v="DV no 71/09/EN/023"/>
    <n v="78"/>
    <s v="Sept-023"/>
    <s v="20/09/023"/>
    <n v="6312"/>
    <x v="3"/>
    <s v="A.3.3.1"/>
    <s v="Cars rent"/>
    <s v="D"/>
    <n v="1800000"/>
    <s v="BIF"/>
    <n v="2801.6"/>
    <n v="642.49000571102226"/>
    <s v="USD"/>
    <n v="0"/>
    <s v="9UN1085"/>
    <s v="RFP"/>
    <n v="0"/>
    <n v="0"/>
    <n v="0"/>
    <n v="0"/>
    <n v="0"/>
    <n v="0"/>
  </r>
  <r>
    <s v="chq no 1693944"/>
    <n v="83"/>
    <s v="Sept-023"/>
    <s v="21/09/023"/>
    <n v="6345"/>
    <x v="3"/>
    <s v="A.3.3.1"/>
    <s v="Isanganiro team mission expens"/>
    <s v="D"/>
    <n v="640000"/>
    <s v="BIF"/>
    <n v="2801.6"/>
    <n v="228.44089091947458"/>
    <s v="USD"/>
    <n v="0"/>
    <s v="9UN1085"/>
    <s v="RFP"/>
    <n v="0"/>
    <n v="0"/>
    <n v="0"/>
    <n v="0"/>
    <n v="0"/>
    <n v="0"/>
  </r>
  <r>
    <s v="chq no 1693944"/>
    <n v="83"/>
    <s v="Sept-023"/>
    <s v="21/09/023"/>
    <n v="6345"/>
    <x v="3"/>
    <s v="A.3.3.1"/>
    <s v="RFP team mission expenses"/>
    <s v="D"/>
    <n v="360000"/>
    <s v="BIF"/>
    <n v="2801.6"/>
    <n v="128.49800114220446"/>
    <s v="USD"/>
    <n v="0"/>
    <s v="9UN1085"/>
    <s v="RFP"/>
    <n v="0"/>
    <n v="0"/>
    <n v="0"/>
    <n v="0"/>
    <n v="0"/>
    <n v="0"/>
  </r>
  <r>
    <s v="chq no 1693944"/>
    <n v="83"/>
    <s v="Sept-023"/>
    <s v="21/09/023"/>
    <n v="6345"/>
    <x v="3"/>
    <s v="A.3.3.1"/>
    <s v="FP mission expenses"/>
    <s v="D"/>
    <n v="200000"/>
    <s v="BIF"/>
    <n v="2801.6"/>
    <n v="71.387778412335805"/>
    <s v="USD"/>
    <n v="0"/>
    <s v="9UN1085"/>
    <s v="RFP"/>
    <n v="0"/>
    <n v="0"/>
    <n v="0"/>
    <n v="0"/>
    <n v="0"/>
    <n v="0"/>
  </r>
  <r>
    <s v="chq no 1693943"/>
    <n v="67"/>
    <s v="Sept-023"/>
    <s v="21/09/023"/>
    <n v="6172"/>
    <x v="3"/>
    <s v="A.3.3.1"/>
    <s v="Fuel for the activity"/>
    <s v="D"/>
    <n v="1201500"/>
    <s v="BIF"/>
    <n v="2801.6"/>
    <n v="428.86207881210737"/>
    <s v="USD"/>
    <n v="0"/>
    <s v="9UN1085"/>
    <s v="RFP"/>
    <n v="0"/>
    <n v="0"/>
    <n v="0"/>
    <n v="0"/>
    <n v="0"/>
    <n v="0"/>
  </r>
  <r>
    <s v="Chq no 1693942"/>
    <n v="65"/>
    <s v="Sept-023"/>
    <s v="21/09/023"/>
    <n v="6179"/>
    <x v="3"/>
    <s v="A.3.3.1"/>
    <s v="Clothes (pagnes)"/>
    <s v="D"/>
    <n v="400000"/>
    <s v="BIF"/>
    <n v="2801.6"/>
    <n v="142.77555682467161"/>
    <s v="USD"/>
    <n v="0"/>
    <s v="9UN1085"/>
    <s v="RFP"/>
    <n v="0"/>
    <n v="0"/>
    <n v="0"/>
    <n v="0"/>
    <n v="0"/>
    <n v="0"/>
  </r>
  <r>
    <s v="Chq no 1693942"/>
    <n v="65"/>
    <s v="Sept-023"/>
    <s v="21/09/023"/>
    <n v="6179"/>
    <x v="3"/>
    <s v="A.3.3.1"/>
    <s v="Buckets"/>
    <s v="D"/>
    <n v="150000"/>
    <s v="BIF"/>
    <n v="2801.6"/>
    <n v="53.540833809251858"/>
    <s v="USD"/>
    <n v="0"/>
    <s v="9UN1085"/>
    <s v="RFP"/>
    <n v="0"/>
    <n v="0"/>
    <n v="0"/>
    <n v="0"/>
    <n v="0"/>
    <n v="0"/>
  </r>
  <r>
    <s v="Chq no 1693942"/>
    <n v="65"/>
    <s v="Sept-023"/>
    <s v="21/09/023"/>
    <n v="6179"/>
    <x v="3"/>
    <s v="A.3.3.1"/>
    <s v="Soaps"/>
    <s v="D"/>
    <n v="300000"/>
    <s v="BIF"/>
    <n v="2801.6"/>
    <n v="107.08166761850372"/>
    <s v="USD"/>
    <n v="0"/>
    <s v="9UN1085"/>
    <s v="RFP"/>
    <n v="0"/>
    <n v="0"/>
    <n v="0"/>
    <n v="0"/>
    <n v="0"/>
    <n v="0"/>
  </r>
  <r>
    <s v="Chq no 1693942"/>
    <n v="65"/>
    <s v="Sept-023"/>
    <s v="21/09/023"/>
    <n v="6179"/>
    <x v="3"/>
    <s v="A.3.3.1"/>
    <s v="Hooks"/>
    <s v="D"/>
    <n v="150000"/>
    <s v="BIF"/>
    <n v="2801.6"/>
    <n v="53.540833809251858"/>
    <s v="USD"/>
    <n v="0"/>
    <s v="9UN1085"/>
    <s v="RFP"/>
    <n v="0"/>
    <n v="0"/>
    <n v="0"/>
    <n v="0"/>
    <n v="0"/>
    <n v="0"/>
  </r>
  <r>
    <s v="Chq no 1693942"/>
    <n v="65"/>
    <s v="Sept-023"/>
    <s v="21/09/023"/>
    <n v="6179"/>
    <x v="3"/>
    <s v="A.3.3.1"/>
    <s v="Telephone"/>
    <s v="D"/>
    <n v="60000"/>
    <s v="BIF"/>
    <n v="2801.6"/>
    <n v="21.416333523700743"/>
    <s v="USD"/>
    <n v="0"/>
    <s v="9UN1085"/>
    <s v="RFP"/>
    <n v="0"/>
    <n v="0"/>
    <n v="0"/>
    <n v="0"/>
    <n v="0"/>
    <n v="0"/>
  </r>
  <r>
    <s v="Chq no 1693942"/>
    <n v="65"/>
    <s v="Sept-023"/>
    <s v="21/09/023"/>
    <n v="6179"/>
    <x v="3"/>
    <s v="A.3.3.1"/>
    <s v="Tent"/>
    <s v="D"/>
    <n v="70000"/>
    <s v="BIF"/>
    <n v="2801.6"/>
    <n v="24.985722444317535"/>
    <s v="USD"/>
    <n v="0"/>
    <s v="9UN1085"/>
    <s v="RFP"/>
    <n v="0"/>
    <n v="0"/>
    <n v="0"/>
    <n v="0"/>
    <n v="0"/>
    <n v="0"/>
  </r>
  <r>
    <s v="Chq no  1693945"/>
    <n v="82"/>
    <s v="Sept-023"/>
    <s v="21/09/023"/>
    <n v="6345"/>
    <x v="3"/>
    <s v="A.3.3.1"/>
    <s v=" Comm FP Communication costs"/>
    <s v="D"/>
    <n v="5000"/>
    <s v="BIF"/>
    <n v="2801.6"/>
    <n v="1.7846944603083952"/>
    <s v="USD"/>
    <n v="0"/>
    <s v="9UN1085"/>
    <s v="RFP"/>
    <n v="0"/>
    <n v="0"/>
    <n v="0"/>
    <n v="0"/>
    <n v="0"/>
    <n v="0"/>
  </r>
  <r>
    <s v="Chq no  1693945"/>
    <n v="82"/>
    <s v="Sept-023"/>
    <s v="21/09/023"/>
    <n v="6345"/>
    <x v="3"/>
    <s v="A.3.3.1"/>
    <s v="Project coordin.communic costs"/>
    <s v="D"/>
    <n v="10000"/>
    <s v="BIF"/>
    <n v="2801.6"/>
    <n v="3.5693889206167904"/>
    <s v="USD"/>
    <n v="0"/>
    <s v="9UN1085"/>
    <s v="RFP"/>
    <n v="0"/>
    <n v="0"/>
    <n v="0"/>
    <n v="0"/>
    <n v="0"/>
    <n v="0"/>
  </r>
  <r>
    <s v="Chq no  1693945"/>
    <n v="82"/>
    <s v="Sept-023"/>
    <s v="21/09/023"/>
    <n v="6345"/>
    <x v="3"/>
    <s v="A.3.3.1"/>
    <s v="FP Travel expenses"/>
    <s v="D"/>
    <n v="20000"/>
    <s v="BIF"/>
    <n v="2801.6"/>
    <n v="7.1387778412335807"/>
    <s v="USD"/>
    <n v="0"/>
    <s v="9UN1085"/>
    <s v="RFP"/>
    <n v="0"/>
    <n v="0"/>
    <n v="0"/>
    <n v="0"/>
    <n v="0"/>
    <n v="0"/>
  </r>
  <r>
    <s v="Chq no  1693945"/>
    <n v="82"/>
    <s v="Sept-023"/>
    <s v="21/09/023"/>
    <n v="6345"/>
    <x v="3"/>
    <s v="A.3.3.1"/>
    <s v="Gitanga network travel expenses"/>
    <s v="D"/>
    <n v="160000"/>
    <s v="BIF"/>
    <n v="2801.6"/>
    <n v="57.110222729868646"/>
    <s v="USD"/>
    <n v="0"/>
    <s v="9UN1085"/>
    <s v="RFP"/>
    <n v="0"/>
    <n v="0"/>
    <n v="0"/>
    <n v="0"/>
    <n v="0"/>
    <n v="0"/>
  </r>
  <r>
    <s v="Chq no  1693945"/>
    <n v="82"/>
    <s v="Sept-023"/>
    <s v="21/09/023"/>
    <n v="6345"/>
    <x v="3"/>
    <s v="A.3.3.1"/>
    <s v="Representation expenses of the Admin."/>
    <s v="D"/>
    <n v="60000"/>
    <s v="BIF"/>
    <n v="2801.6"/>
    <n v="21.416333523700743"/>
    <s v="USD"/>
    <n v="0"/>
    <s v="9UN1085"/>
    <s v="RFP"/>
    <n v="0"/>
    <n v="0"/>
    <n v="0"/>
    <n v="0"/>
    <n v="0"/>
    <n v="0"/>
  </r>
  <r>
    <s v="chq no 1637455"/>
    <n v="73"/>
    <s v="Sept-023"/>
    <s v="25/09/023"/>
    <n v="6345"/>
    <x v="3"/>
    <s v="A.3.3.1"/>
    <s v="Room rent"/>
    <s v="D"/>
    <n v="150000"/>
    <s v="BIF"/>
    <n v="2801.6"/>
    <n v="53.540833809251858"/>
    <s v="USD"/>
    <n v="0"/>
    <s v="9UN1085"/>
    <s v="RFP"/>
    <n v="0"/>
    <n v="0"/>
    <n v="0"/>
    <n v="0"/>
    <n v="0"/>
    <n v="0"/>
  </r>
  <r>
    <s v="chq no 1637455"/>
    <n v="73"/>
    <s v="Sept-023"/>
    <s v="25/09/023"/>
    <n v="6345"/>
    <x v="3"/>
    <s v="A.3.3.1"/>
    <s v="Minerval water"/>
    <s v="D"/>
    <n v="124000"/>
    <s v="BIF"/>
    <n v="2801.6"/>
    <n v="44.260422615648203"/>
    <s v="USD"/>
    <n v="0"/>
    <s v="9UN1085"/>
    <s v="RFP"/>
    <n v="0"/>
    <n v="0"/>
    <n v="0"/>
    <n v="0"/>
    <n v="0"/>
    <n v="0"/>
  </r>
  <r>
    <s v="chq no 1637455"/>
    <n v="73"/>
    <s v="Sept-023"/>
    <s v="25/09/023"/>
    <n v="6345"/>
    <x v="3"/>
    <s v="A.3.3.1"/>
    <s v="Coffee break"/>
    <s v="D"/>
    <n v="620000"/>
    <s v="BIF"/>
    <n v="2801.6"/>
    <n v="221.30211307824101"/>
    <s v="USD"/>
    <n v="0"/>
    <s v="9UN1085"/>
    <s v="RFP"/>
    <n v="0"/>
    <n v="0"/>
    <n v="0"/>
    <n v="0"/>
    <n v="0"/>
    <n v="0"/>
  </r>
  <r>
    <s v="chq no 1637455"/>
    <n v="73"/>
    <s v="Sept-023"/>
    <s v="25/09/023"/>
    <n v="6345"/>
    <x v="3"/>
    <s v="A.3.3.1"/>
    <s v="Lunch break"/>
    <s v="D"/>
    <n v="1736000"/>
    <s v="BIF"/>
    <n v="2801.6"/>
    <n v="619.6459166190748"/>
    <s v="USD"/>
    <n v="0"/>
    <s v="9UN1085"/>
    <s v="RFP"/>
    <n v="0"/>
    <n v="0"/>
    <n v="0"/>
    <n v="0"/>
    <n v="0"/>
    <n v="0"/>
  </r>
  <r>
    <s v="chq no 1637457"/>
    <n v="62"/>
    <s v="Sept-023"/>
    <s v="26/09/023"/>
    <n v="6311"/>
    <x v="3"/>
    <s v="A.3.3.1"/>
    <s v="Room rent"/>
    <s v="D"/>
    <n v="150000"/>
    <s v="BIF"/>
    <n v="2801.6"/>
    <n v="53.540833809251858"/>
    <s v="USD"/>
    <n v="0"/>
    <s v="9UN1085"/>
    <s v="RFP"/>
    <n v="0"/>
    <n v="0"/>
    <n v="0"/>
    <n v="0"/>
    <n v="0"/>
    <n v="0"/>
  </r>
  <r>
    <s v="chq no 1637457"/>
    <n v="62"/>
    <s v="Sept-023"/>
    <s v="26/09/023"/>
    <n v="6349"/>
    <x v="3"/>
    <s v="A.3.3.1"/>
    <s v="Minerval water"/>
    <s v="D"/>
    <n v="124000"/>
    <s v="BIF"/>
    <n v="2801.6"/>
    <n v="44.260422615648203"/>
    <s v="USD"/>
    <n v="0"/>
    <s v="9UN1085"/>
    <s v="RFP"/>
    <n v="0"/>
    <n v="0"/>
    <n v="0"/>
    <n v="0"/>
    <n v="0"/>
    <n v="0"/>
  </r>
  <r>
    <s v="chq no 1637457"/>
    <n v="62"/>
    <s v="Sept-023"/>
    <s v="26/09/023"/>
    <n v="6349"/>
    <x v="3"/>
    <s v="A.3.3.1"/>
    <s v="Coffee break"/>
    <s v="D"/>
    <n v="620000"/>
    <s v="BIF"/>
    <n v="2801.6"/>
    <n v="221.30211307824101"/>
    <s v="USD"/>
    <n v="0"/>
    <s v="9UN1085"/>
    <s v="RFP"/>
    <n v="0"/>
    <n v="0"/>
    <n v="0"/>
    <n v="0"/>
    <n v="0"/>
    <n v="0"/>
  </r>
  <r>
    <s v="chq no 1637457"/>
    <n v="62"/>
    <s v="Sept-023"/>
    <s v="26/09/023"/>
    <n v="6349"/>
    <x v="3"/>
    <s v="A.3.3.1"/>
    <s v="Lunch break"/>
    <s v="D"/>
    <n v="1860000"/>
    <s v="BIF"/>
    <n v="2801.6"/>
    <n v="663.90633923472308"/>
    <s v="USD"/>
    <n v="0"/>
    <s v="9UN1085"/>
    <s v="RFP"/>
    <n v="0"/>
    <n v="0"/>
    <n v="0"/>
    <n v="0"/>
    <n v="0"/>
    <n v="0"/>
  </r>
  <r>
    <s v="DV no 74/09/EN/2023"/>
    <n v="61"/>
    <s v="Sept-023"/>
    <s v="27/09/023"/>
    <n v="6345"/>
    <x v="3"/>
    <s v="A.3.3.1"/>
    <s v="Cars rent"/>
    <s v="D"/>
    <n v="1080000"/>
    <s v="BIF"/>
    <n v="2801.6"/>
    <n v="385.4940034266134"/>
    <s v="USD"/>
    <n v="0"/>
    <s v="9UN1085"/>
    <s v="RFP"/>
    <n v="0"/>
    <n v="0"/>
    <n v="0"/>
    <n v="0"/>
    <n v="0"/>
    <n v="0"/>
  </r>
  <r>
    <s v="OP157960"/>
    <n v="99"/>
    <s v="September"/>
    <d v="2023-09-07T00:00:00"/>
    <m/>
    <x v="3"/>
    <s v="A.3.3.1"/>
    <s v="Trainer fees"/>
    <s v="D"/>
    <n v="2520000"/>
    <s v="BIF"/>
    <n v="2802.3999950000002"/>
    <n v="899.22923369117393"/>
    <s v="USD"/>
    <n v="0"/>
    <s v="9UN1085"/>
    <s v="DUSHIREHAMWE"/>
    <n v="0"/>
    <n v="0"/>
    <n v="0"/>
    <n v="0"/>
    <n v="0"/>
    <n v="0"/>
  </r>
  <r>
    <s v="OP157970"/>
    <n v="99"/>
    <s v="September"/>
    <d v="2023-10-03T00:00:00"/>
    <m/>
    <x v="3"/>
    <s v="A.3.3.1"/>
    <s v="Trainer fees"/>
    <s v="D"/>
    <n v="3780000"/>
    <s v="BIF"/>
    <n v="2802.3999950000002"/>
    <n v="1348.843850536761"/>
    <s v="USD"/>
    <n v="0"/>
    <s v="9UN1085"/>
    <s v="DUSHIREHAMWE"/>
    <n v="0"/>
    <n v="0"/>
    <n v="0"/>
    <n v="0"/>
    <n v="0"/>
    <n v="0"/>
  </r>
  <r>
    <s v="CHQ 8880793"/>
    <n v="100"/>
    <s v="September"/>
    <d v="2023-09-06T00:00:00"/>
    <m/>
    <x v="3"/>
    <s v="A.3.3.1"/>
    <s v="Communication fees"/>
    <s v="D"/>
    <n v="70000"/>
    <s v="BIF"/>
    <n v="2802.3999950000002"/>
    <n v="24.978589824754835"/>
    <s v="USD"/>
    <n v="0"/>
    <s v="9UN1085"/>
    <s v="DUSHIREHAMWE"/>
    <n v="0"/>
    <n v="0"/>
    <n v="0"/>
    <n v="0"/>
    <n v="0"/>
    <n v="0"/>
  </r>
  <r>
    <s v="CHQ 8880793"/>
    <n v="101"/>
    <s v="September"/>
    <d v="2023-09-06T00:00:00"/>
    <m/>
    <x v="3"/>
    <s v="A.3.3.1"/>
    <s v="Communication fees"/>
    <s v="D"/>
    <n v="10000"/>
    <s v="BIF"/>
    <n v="2802.3999950000002"/>
    <n v="3.568369974964976"/>
    <s v="USD"/>
    <n v="0"/>
    <s v="9UN1085"/>
    <s v="DUSHIREHAMWE"/>
    <n v="0"/>
    <n v="0"/>
    <n v="0"/>
    <n v="0"/>
    <n v="0"/>
    <n v="0"/>
  </r>
  <r>
    <s v="CHQ 8880793"/>
    <n v="102"/>
    <s v="September"/>
    <d v="2023-09-06T00:00:00"/>
    <m/>
    <x v="3"/>
    <s v="A.3.3.1"/>
    <s v="Participant travel costs"/>
    <s v="D"/>
    <n v="450000"/>
    <s v="BIF"/>
    <n v="2802.3999950000002"/>
    <n v="160.57664887342392"/>
    <s v="USD"/>
    <n v="0"/>
    <s v="9UN1085"/>
    <s v="DUSHIREHAMWE"/>
    <n v="0"/>
    <n v="0"/>
    <n v="0"/>
    <n v="0"/>
    <n v="0"/>
    <n v="0"/>
  </r>
  <r>
    <s v="CHQ 8880793"/>
    <n v="103"/>
    <s v="September"/>
    <d v="2023-09-06T00:00:00"/>
    <m/>
    <x v="3"/>
    <s v="A.3.3.1"/>
    <s v="Participant travel costs"/>
    <s v="D"/>
    <n v="450000"/>
    <s v="BIF"/>
    <n v="2802.3999950000002"/>
    <n v="160.57664887342392"/>
    <s v="USD"/>
    <n v="0"/>
    <s v="9UN1085"/>
    <s v="DUSHIREHAMWE"/>
    <n v="0"/>
    <n v="0"/>
    <n v="0"/>
    <n v="0"/>
    <n v="0"/>
    <n v="0"/>
  </r>
  <r>
    <s v="CHQ 8880793"/>
    <n v="104"/>
    <s v="September"/>
    <d v="2023-09-06T00:00:00"/>
    <m/>
    <x v="3"/>
    <s v="A.3.3.1"/>
    <s v="Participant travel costs"/>
    <s v="D"/>
    <n v="390000"/>
    <s v="BIF"/>
    <n v="2802.3999950000002"/>
    <n v="139.16642902363407"/>
    <s v="USD"/>
    <n v="0"/>
    <s v="9UN1085"/>
    <s v="DUSHIREHAMWE"/>
    <n v="0"/>
    <n v="0"/>
    <n v="0"/>
    <n v="0"/>
    <n v="0"/>
    <n v="0"/>
  </r>
  <r>
    <s v="CHQ 8880793"/>
    <n v="105"/>
    <s v="September"/>
    <d v="2023-09-06T00:00:00"/>
    <m/>
    <x v="3"/>
    <s v="A.3.3.1"/>
    <s v="Participant travel costs"/>
    <s v="D"/>
    <n v="390000"/>
    <s v="BIF"/>
    <n v="2802.3999950000002"/>
    <n v="139.16642902363407"/>
    <s v="USD"/>
    <n v="0"/>
    <s v="9UN1085"/>
    <s v="DUSHIREHAMWE"/>
    <n v="0"/>
    <n v="0"/>
    <n v="0"/>
    <n v="0"/>
    <n v="0"/>
    <n v="0"/>
  </r>
  <r>
    <s v="CHQ 8880793"/>
    <n v="106"/>
    <s v="September"/>
    <d v="2023-09-06T00:00:00"/>
    <m/>
    <x v="3"/>
    <s v="A.3.3.1"/>
    <s v="Participant travel costs"/>
    <s v="D"/>
    <n v="330000"/>
    <s v="BIF"/>
    <n v="2802.3999950000002"/>
    <n v="117.75620917384421"/>
    <s v="USD"/>
    <n v="0"/>
    <s v="9UN1085"/>
    <s v="DUSHIREHAMWE"/>
    <n v="0"/>
    <n v="0"/>
    <n v="0"/>
    <n v="0"/>
    <n v="0"/>
    <n v="0"/>
  </r>
  <r>
    <s v="CHQ 8880793"/>
    <n v="107"/>
    <s v="September"/>
    <d v="2023-09-06T00:00:00"/>
    <m/>
    <x v="3"/>
    <s v="A.3.3.1"/>
    <s v="Participant travel costs"/>
    <s v="D"/>
    <n v="330000"/>
    <s v="BIF"/>
    <n v="2802.3999950000002"/>
    <n v="117.75620917384421"/>
    <s v="USD"/>
    <n v="0"/>
    <s v="9UN1085"/>
    <s v="DUSHIREHAMWE"/>
    <n v="0"/>
    <n v="0"/>
    <n v="0"/>
    <n v="0"/>
    <n v="0"/>
    <n v="0"/>
  </r>
  <r>
    <s v="CHQ 8880793"/>
    <n v="108"/>
    <s v="September"/>
    <d v="2023-09-06T00:00:00"/>
    <m/>
    <x v="3"/>
    <s v="A.3.3.1"/>
    <s v="Participant travel costs"/>
    <s v="D"/>
    <n v="450000"/>
    <s v="BIF"/>
    <n v="2802.3999950000002"/>
    <n v="160.57664887342392"/>
    <s v="USD"/>
    <n v="0"/>
    <s v="9UN1085"/>
    <s v="DUSHIREHAMWE"/>
    <n v="0"/>
    <n v="0"/>
    <n v="0"/>
    <n v="0"/>
    <n v="0"/>
    <n v="0"/>
  </r>
  <r>
    <s v="CHQ 8880793"/>
    <n v="109"/>
    <s v="September"/>
    <d v="2023-09-06T00:00:00"/>
    <m/>
    <x v="3"/>
    <s v="A.3.3.1"/>
    <s v="Participant travel costs"/>
    <s v="D"/>
    <n v="450000"/>
    <s v="BIF"/>
    <n v="2802.3999950000002"/>
    <n v="160.57664887342392"/>
    <s v="USD"/>
    <n v="0"/>
    <s v="9UN1085"/>
    <s v="DUSHIREHAMWE"/>
    <n v="0"/>
    <n v="0"/>
    <n v="0"/>
    <n v="0"/>
    <n v="0"/>
    <n v="0"/>
  </r>
  <r>
    <s v="CHQ 8880793"/>
    <n v="110"/>
    <s v="September"/>
    <d v="2023-09-06T00:00:00"/>
    <m/>
    <x v="3"/>
    <s v="A.3.3.1"/>
    <s v="Participant travel costs"/>
    <s v="D"/>
    <n v="450000"/>
    <s v="BIF"/>
    <n v="2802.3999950000002"/>
    <n v="160.57664887342392"/>
    <s v="USD"/>
    <n v="0"/>
    <s v="9UN1085"/>
    <s v="DUSHIREHAMWE"/>
    <n v="0"/>
    <n v="0"/>
    <n v="0"/>
    <n v="0"/>
    <n v="0"/>
    <n v="0"/>
  </r>
  <r>
    <s v="CHQ 8880793"/>
    <n v="111"/>
    <s v="September"/>
    <d v="2023-09-06T00:00:00"/>
    <m/>
    <x v="3"/>
    <s v="A.3.3.1"/>
    <s v="Participant travel costs"/>
    <s v="D"/>
    <n v="450000"/>
    <s v="BIF"/>
    <n v="2802.3999950000002"/>
    <n v="160.57664887342392"/>
    <s v="USD"/>
    <n v="0"/>
    <s v="9UN1085"/>
    <s v="DUSHIREHAMWE"/>
    <n v="0"/>
    <n v="0"/>
    <n v="0"/>
    <n v="0"/>
    <n v="0"/>
    <n v="0"/>
  </r>
  <r>
    <s v="CHQ 8880793"/>
    <n v="112"/>
    <s v="September"/>
    <d v="2023-09-06T00:00:00"/>
    <m/>
    <x v="3"/>
    <s v="A.3.3.1"/>
    <s v="Participant travel costs"/>
    <s v="D"/>
    <n v="450000"/>
    <s v="BIF"/>
    <n v="2802.3999950000002"/>
    <n v="160.57664887342392"/>
    <s v="USD"/>
    <n v="0"/>
    <s v="9UN1085"/>
    <s v="DUSHIREHAMWE"/>
    <n v="0"/>
    <n v="0"/>
    <n v="0"/>
    <n v="0"/>
    <n v="0"/>
    <n v="0"/>
  </r>
  <r>
    <s v="CHQ 8880793"/>
    <n v="113"/>
    <s v="September"/>
    <d v="2023-09-06T00:00:00"/>
    <m/>
    <x v="3"/>
    <s v="A.3.3.1"/>
    <s v="Participant travel costs"/>
    <s v="D"/>
    <n v="450000"/>
    <s v="BIF"/>
    <n v="2802.3999950000002"/>
    <n v="160.57664887342392"/>
    <s v="USD"/>
    <n v="0"/>
    <s v="9UN1085"/>
    <s v="DUSHIREHAMWE"/>
    <n v="0"/>
    <n v="0"/>
    <n v="0"/>
    <n v="0"/>
    <n v="0"/>
    <n v="0"/>
  </r>
  <r>
    <s v="CHQ 8880793"/>
    <n v="114"/>
    <s v="September"/>
    <d v="2023-09-06T00:00:00"/>
    <m/>
    <x v="3"/>
    <s v="A.3.3.1"/>
    <s v="Participant travel costs"/>
    <s v="D"/>
    <n v="450000"/>
    <s v="BIF"/>
    <n v="2802.3999950000002"/>
    <n v="160.57664887342392"/>
    <s v="USD"/>
    <n v="0"/>
    <s v="9UN1085"/>
    <s v="DUSHIREHAMWE"/>
    <n v="0"/>
    <n v="0"/>
    <n v="0"/>
    <n v="0"/>
    <n v="0"/>
    <n v="0"/>
  </r>
  <r>
    <s v="CHQ 8880793"/>
    <n v="115"/>
    <s v="September"/>
    <d v="2023-09-06T00:00:00"/>
    <m/>
    <x v="3"/>
    <s v="A.3.3.1"/>
    <s v="Participant travel costs"/>
    <s v="D"/>
    <n v="450000"/>
    <s v="BIF"/>
    <n v="2802.3999950000002"/>
    <n v="160.57664887342392"/>
    <s v="USD"/>
    <n v="0"/>
    <s v="9UN1085"/>
    <s v="DUSHIREHAMWE"/>
    <n v="0"/>
    <n v="0"/>
    <n v="0"/>
    <n v="0"/>
    <n v="0"/>
    <n v="0"/>
  </r>
  <r>
    <s v="CHQ 8880793"/>
    <n v="116"/>
    <s v="September"/>
    <d v="2023-09-06T00:00:00"/>
    <m/>
    <x v="3"/>
    <s v="A.3.3.1"/>
    <s v="Representation expenses of the administration and CDFC"/>
    <s v="D"/>
    <n v="210000"/>
    <s v="BIF"/>
    <n v="2802.3999950000002"/>
    <n v="74.935769474264504"/>
    <s v="USD"/>
    <n v="0"/>
    <s v="9UN1085"/>
    <s v="DUSHIREHAMWE"/>
    <n v="0"/>
    <n v="0"/>
    <n v="0"/>
    <n v="0"/>
    <n v="0"/>
    <n v="0"/>
  </r>
  <r>
    <s v="CHQ 8880793"/>
    <n v="117"/>
    <s v="September"/>
    <d v="2023-09-06T00:00:00"/>
    <m/>
    <x v="3"/>
    <s v="A.3.3.1"/>
    <s v="Focal point  travel expenses"/>
    <s v="D"/>
    <n v="240000"/>
    <s v="BIF"/>
    <n v="2802.3999950000002"/>
    <n v="85.640879399159431"/>
    <s v="USD"/>
    <n v="0"/>
    <s v="9UN1085"/>
    <s v="DUSHIREHAMWE"/>
    <n v="0"/>
    <n v="0"/>
    <n v="0"/>
    <n v="0"/>
    <n v="0"/>
    <n v="0"/>
  </r>
  <r>
    <s v="CHQ 8880793"/>
    <n v="118"/>
    <s v="September"/>
    <d v="2023-09-06T00:00:00"/>
    <m/>
    <x v="3"/>
    <s v="A.3.3.1"/>
    <s v="Mission expenses for the DH  and the consultant"/>
    <s v="D"/>
    <n v="750000"/>
    <s v="BIF"/>
    <n v="2802.3999950000002"/>
    <n v="267.62774812237319"/>
    <s v="USD"/>
    <n v="0"/>
    <s v="9UN1085"/>
    <s v="DUSHIREHAMWE"/>
    <n v="0"/>
    <n v="0"/>
    <n v="0"/>
    <n v="0"/>
    <n v="0"/>
    <n v="0"/>
  </r>
  <r>
    <s v="CHQ 8880793"/>
    <n v="119"/>
    <s v="September"/>
    <d v="2023-09-06T00:00:00"/>
    <m/>
    <x v="3"/>
    <s v="A.3.3.1"/>
    <s v="Fuel"/>
    <s v="D"/>
    <n v="1508748"/>
    <s v="BIF"/>
    <n v="2802.3999950000002"/>
    <n v="538.37710629884577"/>
    <s v="USD"/>
    <n v="0"/>
    <s v="9UN1085"/>
    <s v="DUSHIREHAMWE"/>
    <n v="0"/>
    <n v="0"/>
    <n v="0"/>
    <n v="0"/>
    <n v="0"/>
    <n v="0"/>
  </r>
  <r>
    <s v="CHQ 8880793"/>
    <n v="120"/>
    <s v="September"/>
    <d v="2023-09-06T00:00:00"/>
    <m/>
    <x v="3"/>
    <s v="A.3.3.1"/>
    <s v="Photocopy"/>
    <s v="D"/>
    <n v="23000"/>
    <s v="BIF"/>
    <n v="2802.3999950000002"/>
    <n v="8.2072509424194457"/>
    <s v="USD"/>
    <n v="0"/>
    <s v="9UN1085"/>
    <s v="DUSHIREHAMWE"/>
    <n v="0"/>
    <n v="0"/>
    <n v="0"/>
    <n v="0"/>
    <n v="0"/>
    <n v="0"/>
  </r>
  <r>
    <s v="OP157963"/>
    <n v="121"/>
    <s v="September"/>
    <d v="2023-09-19T00:00:00"/>
    <m/>
    <x v="3"/>
    <s v="A.3.3.1"/>
    <s v="Car rent"/>
    <s v="D"/>
    <n v="2400000"/>
    <s v="BIF"/>
    <n v="2802.3999950000002"/>
    <n v="856.40879399159428"/>
    <s v="USD"/>
    <n v="0"/>
    <s v="9UN1085"/>
    <s v="DUSHIREHAMWE"/>
    <n v="0"/>
    <n v="0"/>
    <n v="0"/>
    <n v="0"/>
    <n v="0"/>
    <n v="0"/>
  </r>
  <r>
    <s v="OP157965"/>
    <n v="122"/>
    <s v="September"/>
    <d v="2023-09-19T00:00:00"/>
    <m/>
    <x v="3"/>
    <s v="A.3.3.1"/>
    <s v="Room rental,Coffee break and Lunch break"/>
    <s v="D"/>
    <n v="8580000"/>
    <s v="BIF"/>
    <n v="2802.3999950000002"/>
    <n v="3061.6614385199496"/>
    <s v="USD"/>
    <n v="0"/>
    <s v="9UN1085"/>
    <s v="DUSHIREHAMWE"/>
    <n v="0"/>
    <n v="0"/>
    <n v="0"/>
    <n v="0"/>
    <n v="0"/>
    <n v="0"/>
  </r>
  <r>
    <s v="OP157962"/>
    <n v="123"/>
    <s v="September"/>
    <d v="2023-09-10T00:00:00"/>
    <m/>
    <x v="3"/>
    <s v="A.3.3.1"/>
    <s v="Notebook"/>
    <s v="D"/>
    <n v="252000"/>
    <s v="BIF"/>
    <n v="2802.3999950000002"/>
    <n v="89.922923369117399"/>
    <s v="USD"/>
    <n v="0"/>
    <s v="9UN1085"/>
    <s v="DUSHIREHAMWE"/>
    <n v="0"/>
    <n v="0"/>
    <n v="0"/>
    <n v="0"/>
    <n v="0"/>
    <n v="0"/>
  </r>
  <r>
    <s v="OP157962"/>
    <n v="123"/>
    <s v="September"/>
    <d v="2023-09-10T00:00:00"/>
    <m/>
    <x v="3"/>
    <s v="A.3.3.1"/>
    <s v="Pen"/>
    <s v="D"/>
    <n v="125000"/>
    <s v="BIF"/>
    <n v="2802.3999950000002"/>
    <n v="44.604624687062199"/>
    <s v="USD"/>
    <n v="0"/>
    <s v="9UN1085"/>
    <s v="DUSHIREHAMWE"/>
    <n v="0"/>
    <n v="0"/>
    <n v="0"/>
    <n v="0"/>
    <n v="0"/>
    <n v="0"/>
  </r>
  <r>
    <s v="OP157962"/>
    <n v="123"/>
    <s v="September"/>
    <d v="2023-09-10T00:00:00"/>
    <m/>
    <x v="3"/>
    <s v="A.3.3.1"/>
    <s v="Scotch"/>
    <s v="D"/>
    <n v="24500"/>
    <s v="BIF"/>
    <n v="2802.3999950000002"/>
    <n v="8.7425064386641917"/>
    <s v="USD"/>
    <n v="0"/>
    <s v="9UN1085"/>
    <s v="DUSHIREHAMWE"/>
    <n v="0"/>
    <n v="0"/>
    <n v="0"/>
    <n v="0"/>
    <n v="0"/>
    <n v="0"/>
  </r>
  <r>
    <s v="OP157962"/>
    <n v="123"/>
    <s v="September"/>
    <d v="2023-09-10T00:00:00"/>
    <m/>
    <x v="3"/>
    <s v="A.3.3.1"/>
    <s v="Felt"/>
    <s v="D"/>
    <n v="35000"/>
    <s v="BIF"/>
    <n v="2802.3999950000002"/>
    <n v="12.489294912377417"/>
    <s v="USD"/>
    <n v="0"/>
    <s v="9UN1085"/>
    <s v="DUSHIREHAMWE"/>
    <n v="0"/>
    <n v="0"/>
    <n v="0"/>
    <n v="0"/>
    <n v="0"/>
    <n v="0"/>
  </r>
  <r>
    <s v="OP157962"/>
    <n v="123"/>
    <s v="September"/>
    <d v="2023-09-10T00:00:00"/>
    <m/>
    <x v="3"/>
    <s v="A.3.3.1"/>
    <s v="flip cat"/>
    <s v="D"/>
    <n v="77000"/>
    <s v="BIF"/>
    <n v="2802.3999950000002"/>
    <n v="27.476448807230316"/>
    <s v="USD"/>
    <n v="0"/>
    <s v="9UN1085"/>
    <s v="DUSHIREHAMWE"/>
    <n v="0"/>
    <n v="0"/>
    <n v="0"/>
    <n v="0"/>
    <n v="0"/>
    <n v="0"/>
  </r>
  <r>
    <s v="OP157962"/>
    <n v="123"/>
    <s v="September"/>
    <d v="2023-09-10T00:00:00"/>
    <m/>
    <x v="3"/>
    <s v="A.3.3.1"/>
    <s v="Ream"/>
    <s v="D"/>
    <n v="22000"/>
    <s v="BIF"/>
    <n v="2802.3999950000002"/>
    <n v="7.8504139449229475"/>
    <s v="USD"/>
    <n v="0"/>
    <s v="9UN1085"/>
    <s v="DUSHIREHAMWE"/>
    <n v="0"/>
    <n v="0"/>
    <n v="0"/>
    <n v="0"/>
    <n v="0"/>
    <n v="0"/>
  </r>
  <r>
    <s v="CHQ 8880795"/>
    <n v="124"/>
    <s v="September"/>
    <d v="2023-09-18T00:00:00"/>
    <m/>
    <x v="3"/>
    <s v="A.3.3.1"/>
    <s v="Photocopy"/>
    <s v="D"/>
    <n v="8600"/>
    <s v="BIF"/>
    <n v="2802.3999950000002"/>
    <n v="3.0687981784698795"/>
    <s v="USD"/>
    <n v="0"/>
    <s v="9UN1085"/>
    <s v="DUSHIREHAMWE"/>
    <n v="0"/>
    <n v="0"/>
    <n v="0"/>
    <n v="0"/>
    <n v="0"/>
    <n v="0"/>
  </r>
  <r>
    <s v="CHQ 8880795"/>
    <n v="125"/>
    <s v="September"/>
    <d v="2023-09-18T00:00:00"/>
    <m/>
    <x v="3"/>
    <s v="A.3.3.1"/>
    <s v="Communication fees"/>
    <s v="D"/>
    <n v="45000"/>
    <s v="BIF"/>
    <n v="2802.3999950000002"/>
    <n v="16.057664887342394"/>
    <s v="USD"/>
    <n v="0"/>
    <s v="9UN1085"/>
    <s v="DUSHIREHAMWE"/>
    <n v="0"/>
    <n v="0"/>
    <n v="0"/>
    <n v="0"/>
    <n v="0"/>
    <n v="0"/>
  </r>
  <r>
    <s v="CHQ 8880795"/>
    <n v="126"/>
    <s v="September"/>
    <d v="2023-09-18T00:00:00"/>
    <m/>
    <x v="3"/>
    <s v="A.3.3.1"/>
    <s v="Mission expenses for the DH  and the consultant"/>
    <s v="D"/>
    <n v="1500000"/>
    <s v="BIF"/>
    <n v="2802.3999950000002"/>
    <n v="535.25549624474638"/>
    <s v="USD"/>
    <n v="0"/>
    <s v="9UN1085"/>
    <s v="DUSHIREHAMWE"/>
    <n v="0"/>
    <n v="0"/>
    <n v="0"/>
    <n v="0"/>
    <n v="0"/>
    <n v="0"/>
  </r>
  <r>
    <s v="CHQ 8880795"/>
    <n v="127"/>
    <s v="September"/>
    <d v="2023-09-18T00:00:00"/>
    <m/>
    <x v="3"/>
    <s v="A.3.3.1"/>
    <s v="Participant travel costs"/>
    <s v="D"/>
    <n v="450000"/>
    <s v="BIF"/>
    <n v="2802.3999950000002"/>
    <n v="160.57664887342392"/>
    <s v="USD"/>
    <n v="0"/>
    <s v="9UN1085"/>
    <s v="DUSHIREHAMWE"/>
    <n v="0"/>
    <n v="0"/>
    <n v="0"/>
    <n v="0"/>
    <n v="0"/>
    <n v="0"/>
  </r>
  <r>
    <s v="CHQ 8880795"/>
    <n v="128"/>
    <s v="September"/>
    <d v="2023-09-18T00:00:00"/>
    <m/>
    <x v="3"/>
    <s v="A.3.3.1"/>
    <s v="Participant travel costs"/>
    <s v="D"/>
    <n v="450000"/>
    <s v="BIF"/>
    <n v="2802.3999950000002"/>
    <n v="160.57664887342392"/>
    <s v="USD"/>
    <n v="0"/>
    <s v="9UN1085"/>
    <s v="DUSHIREHAMWE"/>
    <n v="0"/>
    <n v="0"/>
    <n v="0"/>
    <n v="0"/>
    <n v="0"/>
    <n v="0"/>
  </r>
  <r>
    <s v="CHQ 8880795"/>
    <n v="129"/>
    <s v="September"/>
    <d v="2023-09-18T00:00:00"/>
    <m/>
    <x v="3"/>
    <s v="A.3.3.1"/>
    <s v="Participant travel costs"/>
    <s v="D"/>
    <n v="540000"/>
    <s v="BIF"/>
    <n v="2802.3999950000002"/>
    <n v="192.69197864810872"/>
    <s v="USD"/>
    <n v="0"/>
    <s v="9UN1085"/>
    <s v="DUSHIREHAMWE"/>
    <n v="0"/>
    <n v="0"/>
    <n v="0"/>
    <n v="0"/>
    <n v="0"/>
    <n v="0"/>
  </r>
  <r>
    <s v="CHQ 8880795"/>
    <n v="130"/>
    <s v="September"/>
    <d v="2023-09-18T00:00:00"/>
    <m/>
    <x v="3"/>
    <s v="A.3.3.1"/>
    <s v="Participant travel costs"/>
    <s v="D"/>
    <n v="540000"/>
    <s v="BIF"/>
    <n v="2802.3999950000002"/>
    <n v="192.69197864810872"/>
    <s v="USD"/>
    <n v="0"/>
    <s v="9UN1085"/>
    <s v="DUSHIREHAMWE"/>
    <n v="0"/>
    <n v="0"/>
    <n v="0"/>
    <n v="0"/>
    <n v="0"/>
    <n v="0"/>
  </r>
  <r>
    <s v="CHQ 8880795"/>
    <n v="131"/>
    <s v="September"/>
    <d v="2023-09-18T00:00:00"/>
    <m/>
    <x v="3"/>
    <s v="A.3.3.1"/>
    <s v="Participant travel costs"/>
    <s v="D"/>
    <n v="450000"/>
    <s v="BIF"/>
    <n v="2802.3999950000002"/>
    <n v="160.57664887342392"/>
    <s v="USD"/>
    <n v="0"/>
    <s v="9UN1085"/>
    <s v="DUSHIREHAMWE"/>
    <n v="0"/>
    <n v="0"/>
    <n v="0"/>
    <n v="0"/>
    <n v="0"/>
    <n v="0"/>
  </r>
  <r>
    <s v="CHQ 8880795"/>
    <n v="132"/>
    <s v="September"/>
    <d v="2023-09-18T00:00:00"/>
    <m/>
    <x v="3"/>
    <s v="A.3.3.1"/>
    <s v="Participant travel costs"/>
    <s v="D"/>
    <n v="420000"/>
    <s v="BIF"/>
    <n v="2802.3999950000002"/>
    <n v="149.87153894852901"/>
    <s v="USD"/>
    <n v="0"/>
    <s v="9UN1085"/>
    <s v="DUSHIREHAMWE"/>
    <n v="0"/>
    <n v="0"/>
    <n v="0"/>
    <n v="0"/>
    <n v="0"/>
    <n v="0"/>
  </r>
  <r>
    <s v="CHQ 8880795"/>
    <n v="133"/>
    <s v="September"/>
    <d v="2023-09-18T00:00:00"/>
    <m/>
    <x v="3"/>
    <s v="A.3.3.1"/>
    <s v="Participant travel costs"/>
    <s v="D"/>
    <n v="420000"/>
    <s v="BIF"/>
    <n v="2802.3999950000002"/>
    <n v="149.87153894852901"/>
    <s v="USD"/>
    <n v="0"/>
    <s v="9UN1085"/>
    <s v="DUSHIREHAMWE"/>
    <n v="0"/>
    <n v="0"/>
    <n v="0"/>
    <n v="0"/>
    <n v="0"/>
    <n v="0"/>
  </r>
  <r>
    <s v="CHQ 8880795"/>
    <n v="134"/>
    <s v="September"/>
    <d v="2023-09-18T00:00:00"/>
    <m/>
    <x v="3"/>
    <s v="A.3.3.1"/>
    <s v="Participant travel costs"/>
    <s v="D"/>
    <n v="420000"/>
    <s v="BIF"/>
    <n v="2802.3999950000002"/>
    <n v="149.87153894852901"/>
    <s v="USD"/>
    <n v="0"/>
    <s v="9UN1085"/>
    <s v="DUSHIREHAMWE"/>
    <n v="0"/>
    <n v="0"/>
    <n v="0"/>
    <n v="0"/>
    <n v="0"/>
    <n v="0"/>
  </r>
  <r>
    <s v="CHQ 8880795"/>
    <n v="135"/>
    <s v="September"/>
    <d v="2023-09-18T00:00:00"/>
    <m/>
    <x v="3"/>
    <s v="A.3.3.1"/>
    <s v="Participant travel costs"/>
    <s v="D"/>
    <n v="510000"/>
    <s v="BIF"/>
    <n v="2802.3999950000002"/>
    <n v="181.98686872321377"/>
    <s v="USD"/>
    <n v="0"/>
    <s v="9UN1085"/>
    <s v="DUSHIREHAMWE"/>
    <n v="0"/>
    <n v="0"/>
    <n v="0"/>
    <n v="0"/>
    <n v="0"/>
    <n v="0"/>
  </r>
  <r>
    <s v="CHQ 8880795"/>
    <n v="136"/>
    <s v="September"/>
    <d v="2023-09-18T00:00:00"/>
    <m/>
    <x v="3"/>
    <s v="A.3.3.1"/>
    <s v="Participant travel costs"/>
    <s v="D"/>
    <n v="510000"/>
    <s v="BIF"/>
    <n v="2802.3999950000002"/>
    <n v="181.98686872321377"/>
    <s v="USD"/>
    <n v="0"/>
    <s v="9UN1085"/>
    <s v="DUSHIREHAMWE"/>
    <n v="0"/>
    <n v="0"/>
    <n v="0"/>
    <n v="0"/>
    <n v="0"/>
    <n v="0"/>
  </r>
  <r>
    <s v="CHQ 8880795"/>
    <n v="137"/>
    <s v="September"/>
    <d v="2023-09-18T00:00:00"/>
    <m/>
    <x v="3"/>
    <s v="A.3.3.1"/>
    <s v="Participant travel costs"/>
    <s v="D"/>
    <n v="450000"/>
    <s v="BIF"/>
    <n v="2802.3999950000002"/>
    <n v="160.57664887342392"/>
    <s v="USD"/>
    <n v="0"/>
    <s v="9UN1085"/>
    <s v="DUSHIREHAMWE"/>
    <n v="0"/>
    <n v="0"/>
    <n v="0"/>
    <n v="0"/>
    <n v="0"/>
    <n v="0"/>
  </r>
  <r>
    <s v="CHQ 8880795"/>
    <n v="138"/>
    <s v="September"/>
    <d v="2023-09-18T00:00:00"/>
    <m/>
    <x v="3"/>
    <s v="A.3.3.1"/>
    <s v="Participant travel costs"/>
    <s v="D"/>
    <n v="450000"/>
    <s v="BIF"/>
    <n v="2802.3999950000002"/>
    <n v="160.57664887342392"/>
    <s v="USD"/>
    <n v="0"/>
    <s v="9UN1085"/>
    <s v="DUSHIREHAMWE"/>
    <n v="0"/>
    <n v="0"/>
    <n v="0"/>
    <n v="0"/>
    <n v="0"/>
    <n v="0"/>
  </r>
  <r>
    <s v="CHQ 8880795"/>
    <n v="139"/>
    <s v="September"/>
    <d v="2023-09-18T00:00:00"/>
    <m/>
    <x v="3"/>
    <s v="A.3.3.1"/>
    <s v="Participant travel costs"/>
    <s v="D"/>
    <n v="450000"/>
    <s v="BIF"/>
    <n v="2802.3999950000002"/>
    <n v="160.57664887342392"/>
    <s v="USD"/>
    <n v="0"/>
    <s v="9UN1085"/>
    <s v="DUSHIREHAMWE"/>
    <n v="0"/>
    <n v="0"/>
    <n v="0"/>
    <n v="0"/>
    <n v="0"/>
    <n v="0"/>
  </r>
  <r>
    <s v="CHQ 8880795"/>
    <n v="140"/>
    <s v="September"/>
    <d v="2023-09-18T00:00:00"/>
    <m/>
    <x v="3"/>
    <s v="A.3.3.1"/>
    <s v="Participant travel costs"/>
    <s v="D"/>
    <n v="450000"/>
    <s v="BIF"/>
    <n v="2802.3999950000002"/>
    <n v="160.57664887342392"/>
    <s v="USD"/>
    <n v="0"/>
    <s v="9UN1085"/>
    <s v="DUSHIREHAMWE"/>
    <n v="0"/>
    <n v="0"/>
    <n v="0"/>
    <n v="0"/>
    <n v="0"/>
    <n v="0"/>
  </r>
  <r>
    <s v="CHQ 8880795"/>
    <n v="141"/>
    <s v="September"/>
    <d v="2023-09-18T00:00:00"/>
    <m/>
    <x v="3"/>
    <s v="A.3.3.1"/>
    <s v="Vehicle fuel A3907A"/>
    <s v="D"/>
    <n v="427472"/>
    <s v="BIF"/>
    <n v="2802.3999950000002"/>
    <n v="152.53782499382282"/>
    <s v="USD"/>
    <n v="0"/>
    <s v="9UN1085"/>
    <s v="DUSHIREHAMWE"/>
    <n v="0"/>
    <n v="0"/>
    <n v="0"/>
    <n v="0"/>
    <n v="0"/>
    <n v="0"/>
  </r>
  <r>
    <s v="CHQ 8880795"/>
    <n v="142"/>
    <s v="September"/>
    <d v="2023-09-18T00:00:00"/>
    <m/>
    <x v="3"/>
    <s v="A.3.3.1"/>
    <s v="Vehicle fuel I 58987 A"/>
    <s v="D"/>
    <n v="309052"/>
    <s v="BIF"/>
    <n v="2802.3999950000002"/>
    <n v="110.28118775028759"/>
    <s v="USD"/>
    <n v="0"/>
    <s v="9UN1085"/>
    <s v="DUSHIREHAMWE"/>
    <n v="0"/>
    <n v="0"/>
    <n v="0"/>
    <n v="0"/>
    <n v="0"/>
    <n v="0"/>
  </r>
  <r>
    <s v="CHQ 8880795"/>
    <n v="143"/>
    <s v="September"/>
    <d v="2023-09-18T00:00:00"/>
    <m/>
    <x v="3"/>
    <s v="A.3.3.1"/>
    <s v="Vehicle fuel I 6271 A"/>
    <s v="D"/>
    <n v="325500"/>
    <s v="BIF"/>
    <n v="2802.3999950000002"/>
    <n v="116.15044268510998"/>
    <s v="USD"/>
    <n v="0"/>
    <s v="9UN1085"/>
    <s v="DUSHIREHAMWE"/>
    <n v="0"/>
    <n v="0"/>
    <n v="0"/>
    <n v="0"/>
    <n v="0"/>
    <n v="0"/>
  </r>
  <r>
    <s v="CHQ 8880795"/>
    <n v="144"/>
    <s v="September"/>
    <d v="2023-09-18T00:00:00"/>
    <m/>
    <x v="3"/>
    <s v="A.3.3.1"/>
    <s v="Vehicle fuel C 4215 A"/>
    <s v="D"/>
    <n v="536485"/>
    <s v="BIF"/>
    <n v="2802.3999950000002"/>
    <n v="191.43769660190853"/>
    <s v="USD"/>
    <n v="0"/>
    <s v="9UN1085"/>
    <s v="DUSHIREHAMWE"/>
    <n v="0"/>
    <n v="0"/>
    <n v="0"/>
    <n v="0"/>
    <n v="0"/>
    <n v="0"/>
  </r>
  <r>
    <s v="OP157966"/>
    <n v="145"/>
    <s v="September"/>
    <d v="2023-09-27T00:00:00"/>
    <m/>
    <x v="3"/>
    <s v="A.3.3.1"/>
    <s v="Car rent"/>
    <s v="D"/>
    <n v="2160000"/>
    <s v="BIF"/>
    <n v="2802.3999950000002"/>
    <n v="770.76791459243486"/>
    <s v="USD"/>
    <n v="0"/>
    <s v="9UN1085"/>
    <s v="DUSHIREHAMWE"/>
    <n v="0"/>
    <n v="0"/>
    <n v="0"/>
    <n v="0"/>
    <n v="0"/>
    <n v="0"/>
  </r>
  <r>
    <s v="OP157968"/>
    <n v="146"/>
    <s v="September"/>
    <d v="2023-10-03T00:00:00"/>
    <m/>
    <x v="3"/>
    <s v="A.3.3.1"/>
    <s v="Notebook"/>
    <s v="D"/>
    <n v="252000"/>
    <s v="BIF"/>
    <n v="2802.3999950000002"/>
    <n v="89.922923369117399"/>
    <s v="USD"/>
    <n v="0"/>
    <s v="9UN1085"/>
    <s v="DUSHIREHAMWE"/>
    <n v="0"/>
    <n v="0"/>
    <n v="0"/>
    <n v="0"/>
    <n v="0"/>
    <n v="0"/>
  </r>
  <r>
    <s v="OP157968"/>
    <n v="146"/>
    <s v="September"/>
    <d v="2023-10-03T00:00:00"/>
    <m/>
    <x v="3"/>
    <s v="A.3.3.1"/>
    <s v="Pen"/>
    <s v="D"/>
    <n v="125000"/>
    <s v="BIF"/>
    <n v="2802.3999950000002"/>
    <n v="44.604624687062199"/>
    <s v="USD"/>
    <n v="0"/>
    <s v="9UN1085"/>
    <s v="DUSHIREHAMWE"/>
    <n v="0"/>
    <n v="0"/>
    <n v="0"/>
    <n v="0"/>
    <n v="0"/>
    <n v="0"/>
  </r>
  <r>
    <s v="OP157968"/>
    <n v="146"/>
    <s v="September"/>
    <d v="2023-10-03T00:00:00"/>
    <m/>
    <x v="3"/>
    <s v="A.3.3.1"/>
    <s v="Scotch"/>
    <s v="D"/>
    <n v="24500"/>
    <s v="BIF"/>
    <n v="2802.3999950000002"/>
    <n v="8.7425064386641917"/>
    <s v="USD"/>
    <n v="0"/>
    <s v="9UN1085"/>
    <s v="DUSHIREHAMWE"/>
    <n v="0"/>
    <n v="0"/>
    <n v="0"/>
    <n v="0"/>
    <n v="0"/>
    <n v="0"/>
  </r>
  <r>
    <s v="OP157968"/>
    <n v="146"/>
    <s v="September"/>
    <d v="2023-10-03T00:00:00"/>
    <m/>
    <x v="3"/>
    <s v="A.3.3.1"/>
    <s v="Felt"/>
    <s v="D"/>
    <n v="35000"/>
    <s v="BIF"/>
    <n v="2802.3999950000002"/>
    <n v="12.489294912377417"/>
    <s v="USD"/>
    <n v="0"/>
    <s v="9UN1085"/>
    <s v="DUSHIREHAMWE"/>
    <n v="0"/>
    <n v="0"/>
    <n v="0"/>
    <n v="0"/>
    <n v="0"/>
    <n v="0"/>
  </r>
  <r>
    <s v="OP157968"/>
    <n v="146"/>
    <s v="September"/>
    <d v="2023-10-03T00:00:00"/>
    <m/>
    <x v="3"/>
    <s v="A.3.3.1"/>
    <s v="flip cat"/>
    <s v="D"/>
    <n v="77000"/>
    <s v="BIF"/>
    <n v="2802.3999950000002"/>
    <n v="27.476448807230316"/>
    <s v="USD"/>
    <n v="0"/>
    <s v="9UN1085"/>
    <s v="DUSHIREHAMWE"/>
    <n v="0"/>
    <n v="0"/>
    <n v="0"/>
    <n v="0"/>
    <n v="0"/>
    <n v="0"/>
  </r>
  <r>
    <s v="OP157968"/>
    <n v="146"/>
    <s v="September"/>
    <d v="2023-10-03T00:00:00"/>
    <m/>
    <x v="3"/>
    <s v="A.3.3.1"/>
    <s v="Ream"/>
    <s v="D"/>
    <n v="22000"/>
    <s v="BIF"/>
    <n v="2802.3999950000002"/>
    <n v="7.8504139449229475"/>
    <s v="USD"/>
    <n v="0"/>
    <s v="9UN1085"/>
    <s v="DUSHIREHAMWE"/>
    <n v="0"/>
    <n v="0"/>
    <n v="0"/>
    <n v="0"/>
    <n v="0"/>
    <n v="0"/>
  </r>
  <r>
    <s v="OP157971"/>
    <n v="147"/>
    <s v="September"/>
    <d v="2023-10-03T00:00:00"/>
    <m/>
    <x v="3"/>
    <s v="A.3.3.1"/>
    <s v="Trainer fees"/>
    <s v="D"/>
    <n v="5400000"/>
    <s v="BIF"/>
    <n v="2802.3999950000002"/>
    <n v="1926.9197864810872"/>
    <s v="USD"/>
    <n v="0"/>
    <s v="9UN1085"/>
    <s v="DUSHIREHAMWE"/>
    <n v="0"/>
    <n v="0"/>
    <n v="0"/>
    <n v="0"/>
    <n v="0"/>
    <n v="0"/>
  </r>
  <r>
    <s v="OP157967"/>
    <n v="148"/>
    <s v="September"/>
    <d v="2023-09-29T00:00:00"/>
    <m/>
    <x v="3"/>
    <s v="A.3.3.1"/>
    <s v="Room rental,Coffee break and Lunch break"/>
    <s v="D"/>
    <n v="8580000"/>
    <s v="BIF"/>
    <n v="2802.3999950000002"/>
    <n v="3061.6614385199496"/>
    <s v="USD"/>
    <n v="0"/>
    <s v="9UN1085"/>
    <s v="DUSHIREHAMWE"/>
    <n v="0"/>
    <n v="0"/>
    <n v="0"/>
    <n v="0"/>
    <n v="0"/>
    <n v="0"/>
  </r>
  <r>
    <s v="CHQ1615436"/>
    <n v="32"/>
    <s v="Jul-023"/>
    <d v="2023-07-26T00:00:00"/>
    <n v="6176"/>
    <x v="3"/>
    <s v="A.3.3.2"/>
    <s v="T-SHIRT for Staff and Communities-Project Roll up_Banner"/>
    <s v="D"/>
    <n v="3570000"/>
    <s v="BIF"/>
    <n v="2801.6"/>
    <n v="1274.2718446601941"/>
    <s v="USD"/>
    <n v="0"/>
    <s v="9UN1085"/>
    <s v="RFP"/>
    <n v="0"/>
    <n v="0"/>
    <n v="0"/>
    <n v="0"/>
    <n v="0"/>
    <n v="0"/>
  </r>
  <r>
    <s v="CHQ1637422"/>
    <n v="28"/>
    <s v="Jul-023"/>
    <d v="2023-07-26T00:00:00"/>
    <n v="6345"/>
    <x v="3"/>
    <s v="A.3.3.2"/>
    <s v="Payment workshop panel exchange on cultural norms"/>
    <s v="D"/>
    <n v="8425000"/>
    <s v="BIF"/>
    <n v="2801.6"/>
    <n v="3007.210165619646"/>
    <s v="USD"/>
    <n v="0"/>
    <s v="9UN1085"/>
    <s v="RFP"/>
    <n v="0"/>
    <n v="0"/>
    <n v="0"/>
    <n v="0"/>
    <n v="0"/>
    <n v="0"/>
  </r>
  <r>
    <s v="CHQ1615439"/>
    <n v="27"/>
    <s v="Jul-023"/>
    <d v="2023-07-26T00:00:00"/>
    <n v="6345"/>
    <x v="3"/>
    <s v="A.3.3.2"/>
    <s v="Flip chart and papers"/>
    <s v="D"/>
    <n v="53000"/>
    <s v="BIF"/>
    <n v="2801.6"/>
    <n v="18.917761279268991"/>
    <s v="USD"/>
    <n v="0"/>
    <s v="9UN1085"/>
    <s v="RFP"/>
    <n v="0"/>
    <n v="0"/>
    <n v="0"/>
    <n v="0"/>
    <n v="0"/>
    <n v="0"/>
  </r>
  <r>
    <s v="CHQ1615437"/>
    <n v="29"/>
    <s v="Jul-023"/>
    <d v="2023-07-26T00:00:00"/>
    <n v="6345"/>
    <x v="3"/>
    <s v="A.3.3.2"/>
    <s v="Travel cost of participants"/>
    <s v="D"/>
    <n v="560000"/>
    <s v="BIF"/>
    <n v="2801.6"/>
    <n v="199.88577955454028"/>
    <s v="USD"/>
    <n v="0"/>
    <s v="9UN1085"/>
    <s v="RFP"/>
    <n v="0"/>
    <n v="0"/>
    <n v="0"/>
    <n v="0"/>
    <n v="0"/>
    <n v="0"/>
  </r>
  <r>
    <s v="CHQ1637423"/>
    <n v="30"/>
    <s v="Jul-023"/>
    <d v="2023-07-31T00:00:00"/>
    <n v="6345"/>
    <x v="3"/>
    <s v="A.3.3.2"/>
    <s v="PYT meals and room rental"/>
    <s v="D"/>
    <n v="451000"/>
    <s v="BIF"/>
    <n v="2801.6"/>
    <n v="160.97944031981726"/>
    <s v="USD"/>
    <n v="0"/>
    <s v="9UN1085"/>
    <s v="RFP"/>
    <n v="0"/>
    <n v="0"/>
    <n v="0"/>
    <n v="0"/>
    <n v="0"/>
    <n v="0"/>
  </r>
  <r>
    <s v="CHQ1637424"/>
    <n v="34"/>
    <s v="Jul-023"/>
    <d v="2023-07-31T00:00:00"/>
    <n v="6345"/>
    <x v="3"/>
    <s v="A.3.3.2"/>
    <s v="PYT meals and room rental"/>
    <s v="D"/>
    <n v="396000"/>
    <s v="BIF"/>
    <n v="2801.6"/>
    <n v="141.3478012564249"/>
    <s v="USD"/>
    <n v="0"/>
    <s v="9UN1085"/>
    <s v="RFP"/>
    <n v="0"/>
    <n v="0"/>
    <n v="0"/>
    <n v="0"/>
    <n v="0"/>
    <n v="0"/>
  </r>
  <r>
    <s v="CHQ1637425"/>
    <n v="31"/>
    <s v="Jul-023"/>
    <d v="2023-07-31T00:00:00"/>
    <n v="6345"/>
    <x v="3"/>
    <s v="A.3.3.2"/>
    <s v="PYT publireportage_RTNB"/>
    <s v="D"/>
    <n v="354000"/>
    <s v="BIF"/>
    <n v="2801.6"/>
    <n v="126.35636778983438"/>
    <s v="USD"/>
    <n v="0"/>
    <s v="9UN1085"/>
    <s v="RFP"/>
    <n v="0"/>
    <n v="0"/>
    <n v="0"/>
    <n v="0"/>
    <n v="0"/>
    <n v="0"/>
  </r>
  <r>
    <s v="DV no 73/09/EN/2023"/>
    <n v="68"/>
    <s v="Sept-023"/>
    <s v="27/09/023"/>
    <n v="6345"/>
    <x v="3"/>
    <s v="A.3.3.2"/>
    <s v="Production TV &quot;Barushe nguhere&quot;"/>
    <s v="D"/>
    <n v="3000000"/>
    <s v="BIF"/>
    <n v="2801.6"/>
    <n v="1070.8166761850371"/>
    <s v="USD"/>
    <n v="0"/>
    <s v="9UN1085"/>
    <s v="RFP"/>
    <n v="0"/>
    <n v="0"/>
    <n v="0"/>
    <n v="0"/>
    <n v="0"/>
    <n v="0"/>
  </r>
  <r>
    <s v="DV no 73/09/EN/2023"/>
    <n v="68"/>
    <s v="Sept-023"/>
    <s v="27/09/023"/>
    <n v="6345"/>
    <x v="3"/>
    <s v="A.3.3.2"/>
    <s v="Diffusion TV &quot;Barushe nguhere&quot; "/>
    <s v="D"/>
    <n v="2124000"/>
    <s v="BIF"/>
    <n v="2801.6"/>
    <n v="758.13820673900625"/>
    <s v="USD"/>
    <n v="0"/>
    <s v="9UN1085"/>
    <s v="RFP"/>
    <n v="0"/>
    <n v="0"/>
    <n v="0"/>
    <n v="0"/>
    <n v="0"/>
    <n v="0"/>
  </r>
  <r>
    <s v="DV no 73/09/EN/2023"/>
    <n v="68"/>
    <s v="Sept-023"/>
    <s v="27/09/023"/>
    <n v="6345"/>
    <x v="3"/>
    <s v="A.3.3.2"/>
    <s v="Production Radio &quot;Barushe nguhere&quot;"/>
    <s v="D"/>
    <n v="2000000"/>
    <s v="BIF"/>
    <n v="2801.6"/>
    <n v="713.87778412335808"/>
    <s v="USD"/>
    <n v="0"/>
    <s v="9UN1085"/>
    <s v="RFP"/>
    <n v="0"/>
    <n v="0"/>
    <n v="0"/>
    <n v="0"/>
    <n v="0"/>
    <n v="0"/>
  </r>
  <r>
    <s v="DV no 73/09/EN/2023"/>
    <n v="68"/>
    <s v="Sept-023"/>
    <s v="27/09/023"/>
    <n v="6345"/>
    <x v="3"/>
    <s v="A.3.3.2"/>
    <s v="Diffusion Radio &quot;Barushe nguhere&quot; "/>
    <s v="D"/>
    <n v="590000"/>
    <s v="BIF"/>
    <n v="2801.6"/>
    <n v="210.59394631639063"/>
    <s v="USD"/>
    <n v="0"/>
    <s v="9UN1085"/>
    <s v="RFP"/>
    <n v="0"/>
    <n v="0"/>
    <n v="0"/>
    <n v="0"/>
    <n v="0"/>
    <n v="0"/>
  </r>
  <r>
    <s v="chq no 1693946"/>
    <n v="86"/>
    <s v="Sept-023"/>
    <s v="26/09/023"/>
    <n v="6345"/>
    <x v="3"/>
    <s v="A.3.3.2"/>
    <s v="PYT Frais de facilitation"/>
    <s v="D"/>
    <n v="150000"/>
    <s v="BIF"/>
    <n v="2801.6"/>
    <n v="53.540833809251858"/>
    <s v="USD"/>
    <n v="0"/>
    <s v="9UN1085"/>
    <s v="RFP"/>
    <n v="0"/>
    <n v="0"/>
    <n v="0"/>
    <n v="0"/>
    <n v="0"/>
    <n v="0"/>
  </r>
  <r>
    <s v="Chèque 8880784"/>
    <n v="55"/>
    <s v="July"/>
    <d v="2023-07-31T00:00:00"/>
    <m/>
    <x v="3"/>
    <s v="A.3.3.2"/>
    <s v="Participant travel costs"/>
    <s v="D"/>
    <n v="220000"/>
    <s v="BIF"/>
    <n v="2802.3999950000002"/>
    <n v="78.50413944922947"/>
    <s v="USD"/>
    <n v="0"/>
    <s v="9UN1085"/>
    <s v="DUSHIREHAMWE"/>
    <n v="0"/>
    <n v="0"/>
    <n v="0"/>
    <n v="0"/>
    <n v="0"/>
    <n v="0"/>
  </r>
  <r>
    <s v="OP 166995"/>
    <n v="56"/>
    <s v="July"/>
    <d v="2023-07-31T00:00:00"/>
    <m/>
    <x v="3"/>
    <s v="A.3.3.2"/>
    <s v="programme production and broadcasting"/>
    <s v="D"/>
    <n v="8250000"/>
    <s v="BIF"/>
    <n v="2802.3999950000002"/>
    <n v="2943.9052293461054"/>
    <s v="USD"/>
    <n v="0"/>
    <s v="9UN1085"/>
    <s v="DUSHIREHAMWE"/>
    <n v="0"/>
    <n v="0"/>
    <n v="0"/>
    <n v="0"/>
    <n v="0"/>
    <n v="0"/>
  </r>
  <r>
    <s v="Chèque 8880788"/>
    <n v="57"/>
    <s v="July"/>
    <d v="2023-07-31T00:00:00"/>
    <m/>
    <x v="3"/>
    <s v="A.3.3.2"/>
    <s v="Panellist fees"/>
    <s v="D"/>
    <n v="235000"/>
    <s v="BIF"/>
    <n v="2802.3999950000002"/>
    <n v="83.856694411676941"/>
    <s v="USD"/>
    <n v="0"/>
    <s v="9UN1085"/>
    <s v="DUSHIREHAMWE"/>
    <n v="0"/>
    <n v="0"/>
    <n v="0"/>
    <n v="0"/>
    <n v="0"/>
    <n v="0"/>
  </r>
  <r>
    <s v="Chèque 8880789"/>
    <n v="58"/>
    <s v="July"/>
    <d v="2023-07-31T00:00:00"/>
    <m/>
    <x v="3"/>
    <s v="A.3.3.2"/>
    <s v="Panellist fees"/>
    <s v="D"/>
    <n v="235000"/>
    <s v="BIF"/>
    <n v="2802.3999950000002"/>
    <n v="83.856694411676941"/>
    <s v="USD"/>
    <n v="0"/>
    <s v="9UN1085"/>
    <s v="DUSHIREHAMWE"/>
    <n v="0"/>
    <n v="0"/>
    <n v="0"/>
    <n v="0"/>
    <n v="0"/>
    <n v="0"/>
  </r>
  <r>
    <s v="OP 166996"/>
    <n v="59"/>
    <s v="July"/>
    <d v="2023-07-31T00:00:00"/>
    <m/>
    <x v="3"/>
    <s v="A.3.3.2"/>
    <s v="Tax on panellist fees"/>
    <s v="D"/>
    <n v="30000"/>
    <s v="BIF"/>
    <n v="2802.3999950000002"/>
    <n v="10.705109924894929"/>
    <s v="USD"/>
    <n v="0"/>
    <s v="9UN1085"/>
    <s v="DUSHIREHAMWE"/>
    <n v="0"/>
    <n v="0"/>
    <n v="0"/>
    <n v="0"/>
    <n v="0"/>
    <n v="0"/>
  </r>
  <r>
    <s v="CHQ 8880796"/>
    <n v="149"/>
    <s v="September"/>
    <d v="2023-09-28T00:00:00"/>
    <m/>
    <x v="3"/>
    <s v="A.3.3.2"/>
    <s v="Mission expenses "/>
    <s v="D"/>
    <n v="700000"/>
    <s v="BIF"/>
    <n v="2802.3999950000002"/>
    <n v="249.78589824754832"/>
    <s v="USD"/>
    <n v="0"/>
    <s v="9UN1085"/>
    <s v="DUSHIREHAMWE"/>
    <n v="0"/>
    <n v="0"/>
    <n v="0"/>
    <n v="0"/>
    <n v="0"/>
    <n v="0"/>
  </r>
  <r>
    <s v="CHQ 8880796"/>
    <n v="150"/>
    <s v="September"/>
    <d v="2023-09-28T00:00:00"/>
    <m/>
    <x v="3"/>
    <s v="A.3.3.2"/>
    <s v="Travel expenses for journalists and municipal focal points"/>
    <s v="D"/>
    <n v="75000"/>
    <s v="BIF"/>
    <n v="2802.3999950000002"/>
    <n v="26.762774812237321"/>
    <s v="USD"/>
    <n v="0"/>
    <s v="9UN1085"/>
    <s v="DUSHIREHAMWE"/>
    <n v="0"/>
    <n v="0"/>
    <n v="0"/>
    <n v="0"/>
    <n v="0"/>
    <n v="0"/>
  </r>
  <r>
    <s v="CHQ 8880796"/>
    <n v="151"/>
    <s v="September"/>
    <d v="2023-09-28T00:00:00"/>
    <m/>
    <x v="3"/>
    <s v="A.3.3.2"/>
    <s v="Representation expenses of the administration "/>
    <s v="D"/>
    <n v="30000"/>
    <s v="BIF"/>
    <n v="2802.3999950000002"/>
    <n v="10.705109924894929"/>
    <s v="USD"/>
    <n v="0"/>
    <s v="9UN1085"/>
    <s v="DUSHIREHAMWE"/>
    <n v="0"/>
    <n v="0"/>
    <n v="0"/>
    <n v="0"/>
    <n v="0"/>
    <n v="0"/>
  </r>
  <r>
    <s v="CHQ 8880796"/>
    <n v="152"/>
    <s v="September"/>
    <d v="2023-09-28T00:00:00"/>
    <m/>
    <x v="3"/>
    <s v="A.3.3.2"/>
    <s v="Communication fees"/>
    <s v="D"/>
    <n v="15000"/>
    <s v="BIF"/>
    <n v="2802.3999950000002"/>
    <n v="5.3525549624474644"/>
    <s v="USD"/>
    <n v="0"/>
    <s v="9UN1085"/>
    <s v="DUSHIREHAMWE"/>
    <n v="0"/>
    <n v="0"/>
    <n v="0"/>
    <n v="0"/>
    <n v="0"/>
    <n v="0"/>
  </r>
  <r>
    <s v="CHQ 8880796"/>
    <n v="153"/>
    <s v="September"/>
    <d v="2023-09-28T00:00:00"/>
    <m/>
    <x v="3"/>
    <s v="A.3.3.2"/>
    <s v="Photocopy"/>
    <s v="D"/>
    <n v="4000"/>
    <s v="BIF"/>
    <n v="2802.3999950000002"/>
    <n v="1.4273479899859904"/>
    <s v="USD"/>
    <n v="0"/>
    <s v="9UN1085"/>
    <s v="DUSHIREHAMWE"/>
    <n v="0"/>
    <n v="0"/>
    <n v="0"/>
    <n v="0"/>
    <n v="0"/>
    <n v="0"/>
  </r>
  <r>
    <s v="CHQ 8880796"/>
    <n v="154"/>
    <s v="September"/>
    <d v="2023-09-28T00:00:00"/>
    <m/>
    <x v="3"/>
    <s v="A.3.3.2"/>
    <s v="Vehicle fuel "/>
    <s v="D"/>
    <n v="881025"/>
    <s v="BIF"/>
    <n v="2802.3999950000002"/>
    <n v="314.38231571935182"/>
    <s v="USD"/>
    <n v="0"/>
    <s v="9UN1085"/>
    <s v="DUSHIREHAMWE"/>
    <n v="0"/>
    <n v="0"/>
    <n v="0"/>
    <n v="0"/>
    <n v="0"/>
    <n v="0"/>
  </r>
  <r>
    <s v="CHQ 8880797"/>
    <n v="155"/>
    <s v="September"/>
    <d v="2023-10-02T00:00:00"/>
    <m/>
    <x v="3"/>
    <s v="A.3.3.2"/>
    <s v="Facilitation fees"/>
    <s v="D"/>
    <n v="150000"/>
    <s v="BIF"/>
    <n v="2802.3999950000002"/>
    <n v="53.525549624474642"/>
    <s v="USD"/>
    <n v="0"/>
    <s v="9UN1085"/>
    <s v="DUSHIREHAMWE"/>
    <n v="0"/>
    <n v="0"/>
    <n v="0"/>
    <n v="0"/>
    <n v="0"/>
    <n v="0"/>
  </r>
  <r>
    <s v="OP157969"/>
    <n v="156"/>
    <s v="September"/>
    <d v="2023-10-03T00:00:00"/>
    <m/>
    <x v="3"/>
    <s v="A.3.3.2"/>
    <s v="programme production and broadcasting"/>
    <s v="D"/>
    <n v="8514000"/>
    <s v="BIF"/>
    <n v="2802.3999950000002"/>
    <n v="3038.1101966851807"/>
    <s v="USD"/>
    <n v="0"/>
    <s v="9UN1085"/>
    <s v="DUSHIREHAMWE"/>
    <n v="0"/>
    <n v="0"/>
    <n v="0"/>
    <n v="0"/>
    <n v="0"/>
    <n v="0"/>
  </r>
  <r>
    <s v="OP157972"/>
    <n v="157"/>
    <s v="September"/>
    <d v="2023-10-03T00:00:00"/>
    <m/>
    <x v="3"/>
    <s v="A.3.3.2"/>
    <s v="programme production and broadcasting"/>
    <s v="D"/>
    <n v="916000"/>
    <s v="BIF"/>
    <n v="2802.3999950000002"/>
    <n v="326.8626897067918"/>
    <s v="USD"/>
    <n v="0"/>
    <s v="9UN1085"/>
    <s v="DUSHIREHAMWE"/>
    <n v="0"/>
    <n v="0"/>
    <n v="0"/>
    <n v="0"/>
    <n v="0"/>
    <n v="0"/>
  </r>
  <r>
    <s v="OP157973"/>
    <n v="158"/>
    <s v="September"/>
    <d v="2023-10-05T00:00:00"/>
    <m/>
    <x v="3"/>
    <s v="A.3.3.2"/>
    <s v="Car rent"/>
    <s v="D"/>
    <n v="1080000"/>
    <s v="BIF"/>
    <n v="2802.3999950000002"/>
    <n v="385.38395729621743"/>
    <s v="USD"/>
    <n v="0"/>
    <s v="9UN1085"/>
    <s v="DUSHIREHAMWE"/>
    <n v="0"/>
    <n v="0"/>
    <n v="0"/>
    <n v="0"/>
    <n v="0"/>
    <n v="0"/>
  </r>
  <r>
    <s v="B CV949"/>
    <n v="4492"/>
    <s v="2023/012"/>
    <d v="2023-03-24T00:00:00"/>
    <n v="3570"/>
    <x v="1"/>
    <s v="M.4"/>
    <s v="Repr.fees_Permanent secretary of Min.Solidarity"/>
    <s v="D"/>
    <n v="100000"/>
    <s v="BIF"/>
    <n v="0"/>
    <n v="48.8"/>
    <s v="USD"/>
    <n v="40.44"/>
    <s v="9UN1085"/>
    <s v="Christian Aid"/>
    <s v="I2281"/>
    <n v="0"/>
    <s v="DND"/>
    <d v="2023-04-07T00:00:00"/>
    <d v="2023-04-07T00:00:00"/>
    <s v="TKA"/>
  </r>
  <r>
    <s v="B FACT16_17_03_2023"/>
    <n v="4533"/>
    <s v="2023/012"/>
    <d v="2023-03-17T00:00:00"/>
    <n v="3570"/>
    <x v="1"/>
    <s v="M.4"/>
    <s v="PYT Planning workshop_UNPBF"/>
    <s v="D"/>
    <n v="534000"/>
    <s v="BIF"/>
    <n v="0"/>
    <n v="260.58"/>
    <s v="USD"/>
    <n v="215.93"/>
    <s v="9UN1085"/>
    <s v="Christian Aid"/>
    <s v="I2281"/>
    <n v="0"/>
    <s v="FHA"/>
    <d v="2023-04-07T00:00:00"/>
    <d v="2023-04-10T00:00:00"/>
    <s v="TKA"/>
  </r>
  <r>
    <s v="B OP0002936"/>
    <n v="4580"/>
    <s v="2023/012"/>
    <d v="2023-03-31T00:00:00"/>
    <n v="3570"/>
    <x v="1"/>
    <s v="M.4"/>
    <s v="PYT Start up workshop_UNPBF"/>
    <s v="D"/>
    <n v="3784000"/>
    <s v="BIF"/>
    <n v="0"/>
    <n v="1846.5"/>
    <s v="USD"/>
    <n v="1530.08"/>
    <s v="9UN1085"/>
    <s v="Christian Aid"/>
    <s v="I2281"/>
    <n v="0"/>
    <s v="FHA"/>
    <d v="2023-04-10T00:00:00"/>
    <d v="2023-04-10T00:00:00"/>
    <s v="TKA"/>
  </r>
  <r>
    <s v="B TAR10-04-2023"/>
    <n v="4776"/>
    <s v="2024/001"/>
    <d v="2023-04-17T00:00:00"/>
    <n v="3570"/>
    <x v="1"/>
    <s v="M.4"/>
    <s v="M.4.1.UNPBF Launch Preparation in Rutana&amp;Ruyigi"/>
    <s v="D"/>
    <n v="2029500"/>
    <s v="BIF"/>
    <n v="0"/>
    <n v="984.24"/>
    <s v="USD"/>
    <n v="798.45"/>
    <s v="9UN1085"/>
    <s v="Christian Aid"/>
    <s v="I2281"/>
    <n v="117776"/>
    <s v="DND"/>
    <d v="2023-05-09T00:00:00"/>
    <d v="2023-05-09T00:00:00"/>
    <s v="TKA"/>
  </r>
  <r>
    <s v="B TICKET0081606191"/>
    <n v="4772"/>
    <s v="2024/001"/>
    <d v="2023-04-07T00:00:00"/>
    <n v="3350"/>
    <x v="4"/>
    <s v="M.4"/>
    <s v="03.02.11.UN Fuel vehicle C 787A IT- 60L"/>
    <s v="D"/>
    <n v="207000"/>
    <s v="BIF"/>
    <n v="0"/>
    <n v="100.39"/>
    <s v="USD"/>
    <n v="81.44"/>
    <s v="9UN1085"/>
    <s v="Christian Aid"/>
    <s v="I2281"/>
    <n v="0"/>
    <s v="DND"/>
    <d v="2023-05-09T00:00:00"/>
    <d v="2023-05-09T00:00:00"/>
    <s v="TKA"/>
  </r>
  <r>
    <s v="CHQ0003075"/>
    <n v="4735"/>
    <s v="2024/001"/>
    <d v="2023-04-26T00:00:00"/>
    <n v="3350"/>
    <x v="4"/>
    <s v="M.4"/>
    <s v="03.02.11.UN_PYT Fuel 54.34L_Vehicle E 613 AIT"/>
    <s v="D"/>
    <n v="290250"/>
    <s v="BIF"/>
    <n v="0"/>
    <n v="140.76"/>
    <s v="USD"/>
    <n v="114.19"/>
    <s v="9UN1085"/>
    <s v="Christian Aid"/>
    <s v="I2281"/>
    <n v="0"/>
    <s v="FHA"/>
    <d v="2023-05-08T00:00:00"/>
    <d v="2023-05-08T00:00:00"/>
    <s v="TKA"/>
  </r>
  <r>
    <s v="CHQ0003075"/>
    <n v="4735"/>
    <s v="2024/001"/>
    <d v="2023-04-26T00:00:00"/>
    <n v="3350"/>
    <x v="4"/>
    <s v="M.4"/>
    <s v="03.02.11.UN_PYT Fuel 54.34L_Vehicle E 787 AIT"/>
    <s v="D"/>
    <n v="199900"/>
    <s v="BIF"/>
    <n v="0"/>
    <n v="96.95"/>
    <s v="USD"/>
    <n v="78.650000000000006"/>
    <s v="9UN1085"/>
    <s v="Christian Aid"/>
    <s v="I2281"/>
    <n v="0"/>
    <s v="FHA"/>
    <d v="2023-05-08T00:00:00"/>
    <d v="2023-05-08T00:00:00"/>
    <s v="TKA"/>
  </r>
  <r>
    <s v="OP0003237"/>
    <n v="4769"/>
    <s v="2024/001"/>
    <d v="2023-04-25T00:00:00"/>
    <n v="3640"/>
    <x v="5"/>
    <s v="M.4"/>
    <s v="02.03.10.UN_PYT advert for UNPBF Project  Baseline"/>
    <s v="D"/>
    <n v="115000"/>
    <s v="BIF"/>
    <n v="0"/>
    <n v="55.77"/>
    <s v="USD"/>
    <n v="45.24"/>
    <s v="9UN1085"/>
    <s v="Christian Aid"/>
    <s v="I2281"/>
    <n v="0"/>
    <s v="FHA"/>
    <d v="2023-05-04T00:00:00"/>
    <d v="2023-05-09T00:00:00"/>
    <s v="TKA"/>
  </r>
  <r>
    <s v="B CV988"/>
    <n v="4836"/>
    <s v="2024/002"/>
    <d v="2023-05-10T00:00:00"/>
    <n v="3570"/>
    <x v="1"/>
    <s v="M.4"/>
    <s v="03.02.06 UNLunch for procuremnt comittee_UNPBFBids"/>
    <s v="D"/>
    <n v="35000"/>
    <s v="BIF"/>
    <n v="0"/>
    <n v="17.04"/>
    <s v="USD"/>
    <n v="13.6"/>
    <s v="9UN1085"/>
    <s v="Christian Aid"/>
    <s v="I2281"/>
    <n v="0"/>
    <s v="DND"/>
    <d v="2023-06-04T00:00:00"/>
    <d v="2023-06-05T00:00:00"/>
    <s v="TKA"/>
  </r>
  <r>
    <s v="B CV995"/>
    <n v="4844"/>
    <s v="2024/002"/>
    <d v="2023-05-16T00:00:00"/>
    <n v="3570"/>
    <x v="1"/>
    <s v="M.4"/>
    <s v="M.4.1 Temporary driver fees_UNPBF Launch"/>
    <s v="D"/>
    <n v="90000"/>
    <s v="BIF"/>
    <n v="0"/>
    <n v="43.81"/>
    <s v="USD"/>
    <n v="34.979999999999997"/>
    <s v="9UN1085"/>
    <s v="Christian Aid"/>
    <s v="I2281"/>
    <n v="0"/>
    <s v="DND"/>
    <d v="2023-06-05T00:00:00"/>
    <d v="2023-06-05T00:00:00"/>
    <s v="TKA"/>
  </r>
  <r>
    <s v="B TAR26-04-2023"/>
    <n v="4886"/>
    <s v="2024/002"/>
    <d v="2023-05-08T00:00:00"/>
    <n v="3570"/>
    <x v="1"/>
    <s v="M.4"/>
    <s v="M.4.1.UNPBF Launch in Ruyigi and Rutana"/>
    <s v="D"/>
    <n v="5097000"/>
    <s v="BIF"/>
    <n v="0"/>
    <n v="2481.12"/>
    <s v="USD"/>
    <n v="1981.25"/>
    <s v="9UN1085"/>
    <s v="Christian Aid"/>
    <s v="I2281"/>
    <n v="117871"/>
    <s v="DND"/>
    <d v="2023-06-05T00:00:00"/>
    <d v="2023-06-05T00:00:00"/>
    <s v="TKA"/>
  </r>
  <r>
    <s v="B TICKET0080602060"/>
    <n v="4904"/>
    <s v="2024/002"/>
    <d v="2023-05-13T00:00:00"/>
    <n v="3350"/>
    <x v="4"/>
    <s v="M.4"/>
    <s v="03.02.11.UN.Fuel vehicle A418 A IT- 42.50L"/>
    <s v="D"/>
    <n v="138125"/>
    <s v="BIF"/>
    <n v="0"/>
    <n v="67.239999999999995"/>
    <s v="USD"/>
    <n v="53.69"/>
    <s v="9UN1085"/>
    <s v="Christian Aid"/>
    <s v="I2281"/>
    <n v="0"/>
    <s v="DND"/>
    <d v="2023-06-05T00:00:00"/>
    <d v="2023-06-05T00:00:00"/>
    <s v="TKA"/>
  </r>
  <r>
    <s v="CHQ0003091"/>
    <n v="4802"/>
    <s v="2024/002"/>
    <d v="2023-05-05T00:00:00"/>
    <n v="3570"/>
    <x v="1"/>
    <s v="M.4"/>
    <s v="M.4.1 Launch UNPBF Ruy-Rutna Honorary 3 daya"/>
    <s v="D"/>
    <n v="90000"/>
    <s v="BIF"/>
    <n v="0"/>
    <n v="43.81"/>
    <s v="USD"/>
    <n v="34.979999999999997"/>
    <s v="9UN1085"/>
    <s v="Christian Aid"/>
    <s v="I2281"/>
    <n v="0"/>
    <s v="CBU"/>
    <d v="2023-06-02T00:00:00"/>
    <d v="2023-06-05T00:00:00"/>
    <s v="TKA"/>
  </r>
  <r>
    <s v="OP0003151"/>
    <n v="4815"/>
    <s v="2024/002"/>
    <d v="2023-05-23T00:00:00"/>
    <n v="3570"/>
    <x v="1"/>
    <s v="M.4"/>
    <s v="UNPBF launch in Ruyigi"/>
    <s v="D"/>
    <n v="1556500"/>
    <s v="BIF"/>
    <n v="0"/>
    <n v="757.67"/>
    <s v="USD"/>
    <n v="605.03"/>
    <s v="9UN1085"/>
    <s v="Christian Aid"/>
    <s v="I2281"/>
    <n v="0"/>
    <s v="CBU"/>
    <d v="2023-06-02T00:00:00"/>
    <d v="2023-06-05T00:00:00"/>
    <s v="TKA"/>
  </r>
  <r>
    <s v="OP0003161"/>
    <n v="4825"/>
    <s v="2024/002"/>
    <d v="2023-05-25T00:00:00"/>
    <n v="3570"/>
    <x v="1"/>
    <s v="M.4"/>
    <s v="UNPBF- Launch in Rutana"/>
    <s v="D"/>
    <n v="1095000"/>
    <s v="BIF"/>
    <n v="0"/>
    <n v="533.02"/>
    <s v="USD"/>
    <n v="425.64"/>
    <s v="9UN1085"/>
    <s v="Christian Aid"/>
    <s v="I2281"/>
    <n v="0"/>
    <s v="CBU"/>
    <d v="2023-06-03T00:00:00"/>
    <d v="2023-06-05T00:00:00"/>
    <s v="TKA"/>
  </r>
  <r>
    <s v="Chq 0000717"/>
    <n v="27"/>
    <s v="April"/>
    <d v="2023-04-10T00:00:00"/>
    <m/>
    <x v="3"/>
    <s v="M.4"/>
    <s v="Mission expenses for two persons and 2 nights"/>
    <s v="D"/>
    <n v="200000"/>
    <s v="BIF"/>
    <n v="2050.46"/>
    <n v="97.539088789832519"/>
    <s v="USD"/>
    <n v="0"/>
    <s v="9UN1085"/>
    <s v="DUSHIREHAMWE"/>
    <n v="0"/>
    <n v="0"/>
    <n v="0"/>
    <n v="0"/>
    <n v="0"/>
    <n v="0"/>
  </r>
  <r>
    <s v="Chq 0000717"/>
    <n v="28"/>
    <s v="April"/>
    <d v="2023-04-10T00:00:00"/>
    <m/>
    <x v="3"/>
    <s v="M.4"/>
    <s v="Fuel "/>
    <s v="D"/>
    <n v="247026"/>
    <s v="BIF"/>
    <n v="2050.46"/>
    <n v="120.47345473698584"/>
    <s v="USD"/>
    <n v="0"/>
    <s v="9UN1085"/>
    <s v="DUSHIREHAMWE"/>
    <n v="0"/>
    <n v="0"/>
    <n v="0"/>
    <n v="0"/>
    <n v="0"/>
    <n v="0"/>
  </r>
  <r>
    <s v="OP 0000783"/>
    <n v="29"/>
    <s v="April"/>
    <d v="2023-05-03T00:00:00"/>
    <m/>
    <x v="3"/>
    <s v="M.4"/>
    <s v="Car rent"/>
    <s v="D"/>
    <n v="300000"/>
    <s v="BIF"/>
    <n v="2054.29"/>
    <n v="146.03585667067455"/>
    <s v="USD"/>
    <n v="0"/>
    <s v="9UN1085"/>
    <s v="DUSHIREHAMWE"/>
    <n v="0"/>
    <n v="0"/>
    <n v="0"/>
    <n v="0"/>
    <n v="0"/>
    <n v="0"/>
  </r>
  <r>
    <s v="Chq 0000801"/>
    <n v="30"/>
    <s v="April"/>
    <d v="2023-04-25T00:00:00"/>
    <m/>
    <x v="3"/>
    <s v="M.4"/>
    <s v="Mission expenses for three persons and 2 nights"/>
    <s v="D"/>
    <n v="300000"/>
    <s v="BIF"/>
    <n v="2050.46"/>
    <n v="146.30863318474877"/>
    <s v="USD"/>
    <n v="0"/>
    <s v="9UN1085"/>
    <s v="DUSHIREHAMWE"/>
    <n v="0"/>
    <n v="0"/>
    <n v="0"/>
    <n v="0"/>
    <n v="0"/>
    <n v="0"/>
  </r>
  <r>
    <s v="Chq 0000801"/>
    <n v="31"/>
    <s v="April"/>
    <d v="2023-04-25T00:00:00"/>
    <m/>
    <x v="3"/>
    <s v="M.4"/>
    <s v="Fuel "/>
    <s v="D"/>
    <n v="224595"/>
    <s v="BIF"/>
    <n v="2050.46"/>
    <n v="109.53395823376218"/>
    <s v="USD"/>
    <n v="0"/>
    <s v="9UN1086"/>
    <s v="DUSHIREHAMWE"/>
    <n v="0"/>
    <n v="0"/>
    <n v="0"/>
    <n v="0"/>
    <n v="0"/>
    <n v="0"/>
  </r>
  <r>
    <s v="Chq 0000801"/>
    <n v="32"/>
    <s v="April"/>
    <d v="2023-04-25T00:00:00"/>
    <m/>
    <x v="3"/>
    <s v="M.4"/>
    <s v="Communication fees for the provincial representative of DUSHIREHAMWE at Ruyigi"/>
    <s v="D"/>
    <n v="10000"/>
    <s v="BIF"/>
    <n v="2050.46"/>
    <n v="4.8769544394916258"/>
    <s v="USD"/>
    <n v="0"/>
    <s v="9UN1087"/>
    <s v="DUSHIREHAMWE"/>
    <n v="0"/>
    <n v="0"/>
    <n v="0"/>
    <n v="0"/>
    <n v="0"/>
    <n v="0"/>
  </r>
  <r>
    <s v="OP 0000785"/>
    <n v="33"/>
    <s v="April"/>
    <d v="2023-05-08T00:00:00"/>
    <m/>
    <x v="3"/>
    <s v="M.4"/>
    <s v="Car rent"/>
    <s v="D"/>
    <n v="300000"/>
    <s v="BIF"/>
    <n v="2054.29"/>
    <n v="146.03585667067455"/>
    <s v="USD"/>
    <n v="0"/>
    <s v="9UN1088"/>
    <s v="DUSHIREHAMWE"/>
    <n v="0"/>
    <n v="0"/>
    <n v="0"/>
    <n v="0"/>
    <n v="0"/>
    <n v="0"/>
  </r>
  <r>
    <s v="Chq 0000804"/>
    <n v="34"/>
    <s v="May"/>
    <d v="2023-05-04T00:00:00"/>
    <m/>
    <x v="3"/>
    <s v="M.4"/>
    <s v="Purchase of the billboard of Ruyigi Office"/>
    <s v="D"/>
    <n v="300000"/>
    <s v="BIF"/>
    <n v="2054.29"/>
    <n v="146.03585667067455"/>
    <s v="USD"/>
    <n v="0"/>
    <s v="9UN1089"/>
    <s v="DUSHIREHAMWE"/>
    <n v="0"/>
    <n v="0"/>
    <n v="0"/>
    <n v="0"/>
    <n v="0"/>
    <n v="0"/>
  </r>
  <r>
    <s v="CHQ0000230"/>
    <n v="1"/>
    <s v="Avril 2023"/>
    <d v="2023-04-26T00:00:00"/>
    <m/>
    <x v="3"/>
    <s v="M.4"/>
    <s v="Fuel launch at national level"/>
    <s v="D"/>
    <n v="356400"/>
    <s v="BIF"/>
    <n v="2050.46"/>
    <n v="173.81465622348156"/>
    <s v="USD"/>
    <n v="0"/>
    <s v="9UN1085"/>
    <s v="YELI"/>
    <n v="0"/>
    <n v="0"/>
    <n v="0"/>
    <n v="0"/>
    <n v="0"/>
    <n v="0"/>
  </r>
  <r>
    <s v="CHQ0000230"/>
    <n v="1"/>
    <s v="Avril 2023"/>
    <d v="2023-04-26T00:00:00"/>
    <m/>
    <x v="3"/>
    <s v="M.4"/>
    <s v="Team mission expenses"/>
    <s v="D"/>
    <n v="360000"/>
    <s v="BIF"/>
    <n v="2050.46"/>
    <n v="175.57035982169853"/>
    <s v="USD"/>
    <n v="0"/>
    <s v="9UN1085"/>
    <s v="YELI"/>
    <n v="0"/>
    <n v="0"/>
    <n v="0"/>
    <n v="0"/>
    <n v="0"/>
    <n v="0"/>
  </r>
  <r>
    <s v="CHQ0000230"/>
    <n v="1"/>
    <s v="Avril 2023"/>
    <d v="2023-04-26T00:00:00"/>
    <m/>
    <x v="3"/>
    <s v="M.4"/>
    <s v="Communication fees for team mission"/>
    <s v="D"/>
    <n v="30000"/>
    <s v="BIF"/>
    <n v="2050.46"/>
    <n v="14.630863318474878"/>
    <s v="USD"/>
    <n v="0"/>
    <s v="9UN1085"/>
    <s v="YELI"/>
    <n v="0"/>
    <n v="0"/>
    <n v="0"/>
    <n v="0"/>
    <n v="0"/>
    <n v="0"/>
  </r>
  <r>
    <s v="CHQ0000230"/>
    <n v="1"/>
    <s v="Avril 2023"/>
    <d v="2023-04-26T00:00:00"/>
    <m/>
    <x v="3"/>
    <s v="M.4"/>
    <s v="Provincial Focal Point travel expenses"/>
    <s v="D"/>
    <n v="40000"/>
    <s v="BIF"/>
    <n v="2050.46"/>
    <n v="19.507817757966503"/>
    <s v="USD"/>
    <n v="0"/>
    <s v="9UN1085"/>
    <s v="YELI"/>
    <n v="0"/>
    <n v="0"/>
    <n v="0"/>
    <n v="0"/>
    <n v="0"/>
    <n v="0"/>
  </r>
  <r>
    <s v="CHQ0000231"/>
    <n v="2"/>
    <s v="Mai 2023"/>
    <d v="2023-05-05T00:00:00"/>
    <m/>
    <x v="3"/>
    <s v="M.4"/>
    <s v="Car rental Launch at the national level "/>
    <s v="D"/>
    <n v="300000"/>
    <s v="BIF"/>
    <n v="2054.29"/>
    <n v="146.03585667067455"/>
    <s v="USD"/>
    <n v="0"/>
    <s v="9UN1085"/>
    <s v="YELI"/>
    <n v="0"/>
    <n v="0"/>
    <n v="0"/>
    <n v="0"/>
    <n v="0"/>
    <n v="0"/>
  </r>
  <r>
    <s v="CHQ8904414"/>
    <n v="9"/>
    <d v="2023-06-01T00:00:00"/>
    <d v="2023-06-30T00:00:00"/>
    <m/>
    <x v="3"/>
    <s v="M.4"/>
    <s v="Roll up"/>
    <s v="D"/>
    <n v="700000"/>
    <s v="BIF"/>
    <n v="2803.6597999999999"/>
    <n v="249.67365869425385"/>
    <s v="USD"/>
    <n v="0"/>
    <s v="9UN1085"/>
    <s v="YELI"/>
    <n v="0"/>
    <n v="0"/>
    <n v="0"/>
    <n v="0"/>
    <n v="0"/>
    <n v="0"/>
  </r>
  <r>
    <s v="CHQ8904415"/>
    <n v="10"/>
    <d v="2023-06-01T00:00:00"/>
    <d v="2023-06-30T00:00:00"/>
    <m/>
    <x v="3"/>
    <s v="M.4"/>
    <s v="T-shirts for staff and communities"/>
    <s v="D"/>
    <n v="3375000"/>
    <s v="BIF"/>
    <n v="2803.6597999999999"/>
    <n v="1203.7837115615812"/>
    <s v="USD"/>
    <n v="0"/>
    <s v="9UN1085"/>
    <s v="YELI"/>
    <n v="0"/>
    <n v="0"/>
    <n v="0"/>
    <n v="0"/>
    <n v="0"/>
    <n v="0"/>
  </r>
  <r>
    <s v="CHQ8904416"/>
    <n v="11"/>
    <d v="2023-06-01T00:00:00"/>
    <d v="2023-06-30T00:00:00"/>
    <m/>
    <x v="3"/>
    <s v="M.4"/>
    <s v="Roll- banner"/>
    <s v="D"/>
    <n v="70000"/>
    <s v="BIF"/>
    <n v="2803.6597999999999"/>
    <n v="24.967365869425386"/>
    <s v="USD"/>
    <n v="0"/>
    <s v="9UN1085"/>
    <s v="YELI"/>
    <n v="0"/>
    <n v="0"/>
    <n v="0"/>
    <n v="0"/>
    <n v="0"/>
    <n v="0"/>
  </r>
  <r>
    <s v="Consult Agreement_01_06_2023"/>
    <n v="5035"/>
    <s v="2024/003"/>
    <d v="2023-06-01T00:00:00"/>
    <n v="3730"/>
    <x v="5"/>
    <s v="M.4"/>
    <s v="02.03.1.UN_Base line UNPBF_Consultancy fees_June23"/>
    <s v="D"/>
    <n v="29000000"/>
    <s v="BIF"/>
    <n v="0"/>
    <n v="10385.049999999999"/>
    <s v="USD"/>
    <n v="8378.39"/>
    <s v="9UN1085"/>
    <s v="Christian Aid"/>
    <s v="I2281"/>
    <n v="0"/>
    <s v="FHA"/>
    <d v="2023-07-05T00:00:00"/>
    <d v="2023-07-05T00:00:00"/>
    <s v="TKA"/>
  </r>
  <r>
    <s v="OV 843254"/>
    <n v="4"/>
    <s v="Aout-23"/>
    <d v="2023-08-29T00:00:00"/>
    <m/>
    <x v="3"/>
    <s v="M.4"/>
    <s v="Carburant "/>
    <s v="D"/>
    <n v="292250"/>
    <s v="BIF"/>
    <n v="2830.26"/>
    <n v="103.2590645382403"/>
    <s v="USD"/>
    <n v="0"/>
    <s v="9UN1085"/>
    <s v="COCAFEM"/>
    <n v="0"/>
    <n v="0"/>
    <n v="0"/>
    <n v="0"/>
    <n v="0"/>
    <n v="0"/>
  </r>
  <r>
    <s v="OV 843254"/>
    <n v="4"/>
    <s v="Aout-23"/>
    <d v="2023-08-29T00:00:00"/>
    <m/>
    <x v="3"/>
    <s v="M.4"/>
    <s v="Prise en charge staff et hebergement"/>
    <s v="D"/>
    <n v="850000"/>
    <s v="BIF"/>
    <n v="2830.26"/>
    <n v="300.32576512405217"/>
    <s v="USD"/>
    <n v="0"/>
    <s v="9UN1085"/>
    <s v="COCAFEM"/>
    <n v="0"/>
    <n v="0"/>
    <n v="0"/>
    <n v="0"/>
    <n v="0"/>
    <n v="0"/>
  </r>
  <r>
    <s v="OV 843254"/>
    <n v="4"/>
    <s v="Aout-23"/>
    <d v="2023-08-29T00:00:00"/>
    <m/>
    <x v="3"/>
    <s v="M.4"/>
    <s v="Communication"/>
    <s v="D"/>
    <n v="50000"/>
    <s v="BIF"/>
    <n v="2830.26"/>
    <n v="17.666221477885422"/>
    <s v="USD"/>
    <n v="0"/>
    <s v="9UN1085"/>
    <s v="COCAFEM"/>
    <n v="0"/>
    <n v="0"/>
    <n v="0"/>
    <n v="0"/>
    <n v="0"/>
    <n v="0"/>
  </r>
  <r>
    <s v="OV843255"/>
    <n v="5"/>
    <d v="2023-09-01T00:00:00"/>
    <d v="2023-09-05T00:00:00"/>
    <m/>
    <x v="3"/>
    <s v="M.4"/>
    <s v="PYT Vehicle rent"/>
    <s v="D"/>
    <n v="390000"/>
    <s v="BIF"/>
    <n v="2830.26"/>
    <n v="137.7965275275063"/>
    <s v="USD"/>
    <n v="0"/>
    <s v="9UN1085"/>
    <s v="COCAFEM"/>
    <n v="0"/>
    <n v="0"/>
    <n v="0"/>
    <n v="0"/>
    <n v="0"/>
    <n v="0"/>
  </r>
  <r>
    <s v="CHQ0003210"/>
    <n v="5139"/>
    <s v="2024/004"/>
    <d v="2023-07-13T00:00:00"/>
    <n v="3540"/>
    <x v="6"/>
    <s v="M.4"/>
    <s v="02.03.10.UN_PYT advert for UNPBF Project  Baseline"/>
    <s v="D"/>
    <n v="97450"/>
    <s v="BIF"/>
    <n v="2.8078499999999998E-4"/>
    <n v="34.74"/>
    <s v="USD"/>
    <n v="27.36"/>
    <s v="9UN1085"/>
    <s v="Christian Aid"/>
    <s v="I2281"/>
    <n v="0"/>
    <s v="FHA"/>
    <d v="2023-08-03T00:00:00"/>
    <d v="2023-08-01T00:00:00"/>
    <s v="TKA"/>
  </r>
  <r>
    <s v="B CHQ0003338"/>
    <n v="5410"/>
    <s v="2024/005"/>
    <d v="2023-07-31T00:00:00"/>
    <n v="3350"/>
    <x v="4"/>
    <s v="M.4"/>
    <s v="02.03.01.UN-Fuel vehicle E707AIT-70.06L"/>
    <s v="D"/>
    <n v="265800"/>
    <s v="BIF"/>
    <n v="2.7534199999999998E-4"/>
    <n v="94.18"/>
    <s v="USD"/>
    <n v="73.19"/>
    <s v="9UN1085"/>
    <s v="Christian Aid"/>
    <s v="I2281"/>
    <n v="0"/>
    <s v="DND"/>
    <d v="2023-09-06T00:00:00"/>
    <d v="2023-09-06T00:00:00"/>
    <s v="TKA"/>
  </r>
  <r>
    <s v="B CV1092"/>
    <n v="5450"/>
    <s v="2024/005"/>
    <d v="2023-08-21T00:00:00"/>
    <n v="3780"/>
    <x v="5"/>
    <s v="M.4"/>
    <s v="02.03.01.UN.Materials_Community Account. Assess"/>
    <s v="D"/>
    <n v="188000"/>
    <s v="BIF"/>
    <n v="2.7534199999999998E-4"/>
    <n v="66.61"/>
    <s v="USD"/>
    <n v="51.76"/>
    <s v="9UN1085"/>
    <s v="Christian Aid"/>
    <s v="I2281"/>
    <n v="0"/>
    <s v="DND"/>
    <d v="2023-09-06T00:00:00"/>
    <d v="2023-09-06T00:00:00"/>
    <s v="TKA"/>
  </r>
  <r>
    <s v="CHQ0003328"/>
    <n v="5323"/>
    <s v="2024/005"/>
    <d v="2023-08-14T00:00:00"/>
    <n v="3350"/>
    <x v="4"/>
    <s v="M.4"/>
    <s v="02.03.11.UN_Fuel Vehicle A 613 AIT_88.51L"/>
    <s v="D"/>
    <n v="335895"/>
    <s v="BIF"/>
    <n v="2.7534199999999998E-4"/>
    <n v="119.01"/>
    <s v="USD"/>
    <n v="92.49"/>
    <s v="9UN1085"/>
    <s v="Christian Aid"/>
    <s v="I2281"/>
    <n v="0"/>
    <s v="FHA"/>
    <d v="2023-09-04T00:00:00"/>
    <d v="2023-09-05T00:00:00"/>
    <s v="TKA"/>
  </r>
  <r>
    <s v="TAR_30_08_2023"/>
    <n v="5379"/>
    <s v="2024/005"/>
    <d v="2023-08-30T00:00:00"/>
    <n v="3390"/>
    <x v="4"/>
    <s v="M.4"/>
    <s v="02.03.11.PYT_Perdiem fee Support Base line UNPBF"/>
    <s v="D"/>
    <n v="1761000"/>
    <s v="BIF"/>
    <n v="2.7534199999999998E-4"/>
    <n v="623.94000000000005"/>
    <s v="USD"/>
    <n v="484.88"/>
    <s v="9UN1085"/>
    <s v="Christian Aid"/>
    <s v="I2281"/>
    <n v="0"/>
    <s v="FHA"/>
    <d v="2023-09-04T00:00:00"/>
    <d v="2023-09-05T00:00:00"/>
    <s v="TKA"/>
  </r>
  <r>
    <s v="TAR_31_08_2023"/>
    <n v="5343"/>
    <s v="2024/005"/>
    <d v="2023-08-31T00:00:00"/>
    <n v="3780"/>
    <x v="5"/>
    <s v="M.4"/>
    <s v="02.03.01.UN_Community Account Assessment_UNPBF"/>
    <s v="D"/>
    <n v="7010000"/>
    <s v="BIF"/>
    <n v="2.7534199999999998E-4"/>
    <n v="2483.71"/>
    <s v="USD"/>
    <n v="1930.15"/>
    <s v="9UN1085"/>
    <s v="Christian Aid"/>
    <s v="I2281"/>
    <n v="117872"/>
    <s v="FHA"/>
    <d v="2023-09-04T00:00:00"/>
    <d v="2023-09-05T00:00:00"/>
    <s v="TKA"/>
  </r>
  <r>
    <s v="CHQ0003439"/>
    <n v="5508"/>
    <s v="2024/006"/>
    <d v="2023-09-13T00:00:00"/>
    <n v="3780"/>
    <x v="5"/>
    <s v="M.4"/>
    <s v="02.02.01.UN PYT vehicle rent _com acc assessment"/>
    <s v="D"/>
    <n v="2500000"/>
    <s v="BIF"/>
    <n v="2.7904399999999999E-4"/>
    <n v="883.87"/>
    <s v="USD"/>
    <n v="697.61"/>
    <s v="9UN1085"/>
    <s v="Christian Aid"/>
    <s v="I2281"/>
    <n v="0"/>
    <s v="FHA"/>
    <d v="2023-10-04T00:00:00"/>
    <d v="2023-10-04T00:00:00"/>
    <s v="TKA"/>
  </r>
  <r>
    <s v="FACT55_57"/>
    <n v="5547"/>
    <s v="2024/006"/>
    <d v="2023-09-04T00:00:00"/>
    <n v="3570"/>
    <x v="1"/>
    <s v="M.4"/>
    <s v="02.02.04.UN.PYT Meals_Budget review meeting"/>
    <s v="D"/>
    <n v="1920000"/>
    <s v="BIF"/>
    <n v="2.7904399999999999E-4"/>
    <n v="678.81"/>
    <s v="USD"/>
    <n v="535.76"/>
    <s v="9UN1085"/>
    <s v="Christian Aid"/>
    <s v="I2281"/>
    <n v="0"/>
    <s v="FHA"/>
    <d v="2023-10-06T00:00:00"/>
    <d v="2023-10-06T00:00:00"/>
    <s v="TKA"/>
  </r>
  <r>
    <s v="TAR_14_09_2023"/>
    <n v="5546"/>
    <s v="2024/006"/>
    <d v="2023-09-14T00:00:00"/>
    <n v="3570"/>
    <x v="1"/>
    <s v="M.4"/>
    <s v="02.02.04.UN.PYT perdiem_Budget review meeting"/>
    <s v="D"/>
    <n v="444000"/>
    <s v="BIF"/>
    <n v="2.7904399999999999E-4"/>
    <n v="156.97999999999999"/>
    <s v="USD"/>
    <n v="123.9"/>
    <s v="9UN1085"/>
    <s v="Christian Aid"/>
    <s v="I2281"/>
    <n v="0"/>
    <s v="FHA"/>
    <d v="2023-10-04T00:00:00"/>
    <d v="2023-10-06T00:00:00"/>
    <s v="TKA"/>
  </r>
  <r>
    <s v="CHQ8880798"/>
    <n v="168"/>
    <d v="2023-10-01T00:00:00"/>
    <d v="2023-10-09T00:00:00"/>
    <m/>
    <x v="3"/>
    <s v="A.1.2.1"/>
    <s v="Fuel"/>
    <s v="D"/>
    <n v="540408"/>
    <s v="BIF"/>
    <n v="2802.3999950000002"/>
    <n v="192.83756814308728"/>
    <s v="USD"/>
    <n v="0"/>
    <s v="9UN1085"/>
    <s v="DUSHIREHAMWE"/>
    <n v="0"/>
    <n v="0"/>
    <n v="0"/>
    <n v="0"/>
    <n v="0"/>
    <n v="0"/>
  </r>
  <r>
    <s v="CHQ8880798"/>
    <n v="169"/>
    <d v="2023-10-01T00:00:00"/>
    <d v="2023-10-09T00:00:00"/>
    <m/>
    <x v="3"/>
    <s v="A.1.2.1"/>
    <s v="Mission expenses for  the consultant"/>
    <s v="D"/>
    <n v="300000"/>
    <s v="BIF"/>
    <n v="2802.3999950000002"/>
    <n v="107.05109924894928"/>
    <s v="USD"/>
    <n v="0"/>
    <s v="9UN1085"/>
    <s v="DUSHIREHAMWE"/>
    <n v="0"/>
    <n v="0"/>
    <n v="0"/>
    <n v="0"/>
    <n v="0"/>
    <n v="0"/>
  </r>
  <r>
    <s v="CHQ8880798"/>
    <n v="170"/>
    <d v="2023-10-01T00:00:00"/>
    <d v="2023-10-09T00:00:00"/>
    <m/>
    <x v="3"/>
    <s v="A.1.2.1"/>
    <s v="Representation expenses of the administration and DPDFS"/>
    <s v="D"/>
    <n v="100000"/>
    <s v="BIF"/>
    <n v="2802.3999950000002"/>
    <n v="35.683699749649762"/>
    <s v="USD"/>
    <n v="0"/>
    <s v="9UN1085"/>
    <s v="DUSHIREHAMWE"/>
    <n v="0"/>
    <n v="0"/>
    <n v="0"/>
    <n v="0"/>
    <n v="0"/>
    <n v="0"/>
  </r>
  <r>
    <s v="CHQ8880798"/>
    <n v="171"/>
    <d v="2023-10-01T00:00:00"/>
    <d v="2023-10-09T00:00:00"/>
    <m/>
    <x v="3"/>
    <s v="A.1.2.1"/>
    <s v="Focal point communication costs"/>
    <s v="D"/>
    <n v="50000"/>
    <s v="BIF"/>
    <n v="2802.3999950000002"/>
    <n v="17.841849874824881"/>
    <s v="USD"/>
    <n v="0"/>
    <s v="9UN1085"/>
    <s v="DUSHIREHAMWE"/>
    <n v="0"/>
    <n v="0"/>
    <n v="0"/>
    <n v="0"/>
    <n v="0"/>
    <n v="0"/>
  </r>
  <r>
    <s v="CHQ8880798"/>
    <n v="172"/>
    <d v="2023-10-01T00:00:00"/>
    <d v="2023-10-09T00:00:00"/>
    <m/>
    <x v="3"/>
    <s v="A.1.2.1"/>
    <s v="Letters"/>
    <s v="D"/>
    <n v="3000"/>
    <s v="BIF"/>
    <n v="2802.3999950000002"/>
    <n v="1.0705109924894929"/>
    <s v="USD"/>
    <n v="0"/>
    <s v="9UN1085"/>
    <s v="DUSHIREHAMWE"/>
    <n v="0"/>
    <n v="0"/>
    <n v="0"/>
    <n v="0"/>
    <n v="0"/>
    <n v="0"/>
  </r>
  <r>
    <s v="CHQ8880798"/>
    <n v="173"/>
    <d v="2023-10-01T00:00:00"/>
    <d v="2023-10-09T00:00:00"/>
    <m/>
    <x v="3"/>
    <s v="A.1.2.1"/>
    <s v="Accomodation of participants"/>
    <s v="D"/>
    <n v="1500000"/>
    <s v="BIF"/>
    <n v="2802.3999950000002"/>
    <n v="535.25549624474638"/>
    <s v="USD"/>
    <n v="0"/>
    <s v="9UN1085"/>
    <s v="DUSHIREHAMWE"/>
    <n v="0"/>
    <n v="0"/>
    <n v="0"/>
    <n v="0"/>
    <n v="0"/>
    <n v="0"/>
  </r>
  <r>
    <s v="CHQ8880798"/>
    <n v="174"/>
    <d v="2023-10-01T00:00:00"/>
    <d v="2023-10-09T00:00:00"/>
    <m/>
    <x v="3"/>
    <s v="A.1.2.1"/>
    <s v="Participant travel costs"/>
    <s v="D"/>
    <n v="1230000"/>
    <s v="BIF"/>
    <n v="2802.3999950000002"/>
    <n v="438.90950692069208"/>
    <s v="USD"/>
    <n v="0"/>
    <s v="9UN1085"/>
    <s v="DUSHIREHAMWE"/>
    <n v="0"/>
    <n v="0"/>
    <n v="0"/>
    <n v="0"/>
    <n v="0"/>
    <n v="0"/>
  </r>
  <r>
    <s v="OP170857"/>
    <n v="175"/>
    <d v="2023-10-01T00:00:00"/>
    <d v="2023-10-25T00:00:00"/>
    <m/>
    <x v="3"/>
    <s v="A.1.2.1"/>
    <s v="training materials"/>
    <s v="D"/>
    <n v="222600"/>
    <s v="BIF"/>
    <n v="2802.3999950000002"/>
    <n v="79.431915642720369"/>
    <s v="USD"/>
    <n v="0"/>
    <s v="9UN1085"/>
    <s v="DUSHIREHAMWE"/>
    <n v="0"/>
    <n v="0"/>
    <n v="0"/>
    <n v="0"/>
    <n v="0"/>
    <n v="0"/>
  </r>
  <r>
    <s v="OP170860"/>
    <n v="176"/>
    <d v="2023-10-01T00:00:00"/>
    <d v="2023-10-25T00:00:00"/>
    <m/>
    <x v="3"/>
    <s v="A.1.2.1"/>
    <s v="Room rental"/>
    <s v="D"/>
    <n v="200000"/>
    <s v="BIF"/>
    <n v="2802.3999950000002"/>
    <n v="71.367399499299523"/>
    <s v="USD"/>
    <n v="0"/>
    <s v="9UN1085"/>
    <s v="DUSHIREHAMWE"/>
    <n v="0"/>
    <n v="0"/>
    <n v="0"/>
    <n v="0"/>
    <n v="0"/>
    <n v="0"/>
  </r>
  <r>
    <s v="OP170860"/>
    <n v="176"/>
    <d v="2023-10-01T00:00:00"/>
    <d v="2023-10-25T00:00:00"/>
    <m/>
    <x v="3"/>
    <s v="A.1.2.1"/>
    <s v="Coffee break"/>
    <s v="D"/>
    <n v="410000"/>
    <s v="BIF"/>
    <n v="2802.3999950000002"/>
    <n v="146.30316897356403"/>
    <s v="USD"/>
    <n v="0"/>
    <s v="9UN1085"/>
    <s v="DUSHIREHAMWE"/>
    <n v="0"/>
    <n v="0"/>
    <n v="0"/>
    <n v="0"/>
    <n v="0"/>
    <n v="0"/>
  </r>
  <r>
    <s v="OP170860"/>
    <n v="176"/>
    <d v="2023-10-01T00:00:00"/>
    <d v="2023-10-25T00:00:00"/>
    <m/>
    <x v="3"/>
    <s v="A.1.2.1"/>
    <s v="Lunch break"/>
    <s v="D"/>
    <n v="1394000"/>
    <s v="BIF"/>
    <n v="2802.3999950000002"/>
    <n v="497.43077451011766"/>
    <s v="USD"/>
    <n v="0"/>
    <s v="9UN1085"/>
    <s v="DUSHIREHAMWE"/>
    <n v="0"/>
    <n v="0"/>
    <n v="0"/>
    <n v="0"/>
    <n v="0"/>
    <n v="0"/>
  </r>
  <r>
    <s v="OP170860"/>
    <n v="176"/>
    <d v="2023-10-01T00:00:00"/>
    <d v="2023-10-25T00:00:00"/>
    <m/>
    <x v="3"/>
    <s v="A.1.2.1"/>
    <s v="Mineral water"/>
    <s v="D"/>
    <n v="164000"/>
    <s v="BIF"/>
    <n v="2802.3999950000002"/>
    <n v="58.521267589425605"/>
    <s v="USD"/>
    <n v="0"/>
    <s v="9UN1085"/>
    <s v="DUSHIREHAMWE"/>
    <n v="0"/>
    <n v="0"/>
    <n v="0"/>
    <n v="0"/>
    <n v="0"/>
    <n v="0"/>
  </r>
  <r>
    <s v="OP170856"/>
    <n v="177"/>
    <d v="2023-10-01T00:00:00"/>
    <d v="2023-10-25T00:00:00"/>
    <m/>
    <x v="3"/>
    <s v="A.1.2.1"/>
    <s v="Car rent"/>
    <s v="D"/>
    <n v="720000"/>
    <s v="BIF"/>
    <n v="2802.3999950000002"/>
    <n v="256.92263819747831"/>
    <s v="USD"/>
    <n v="0"/>
    <s v="9UN1085"/>
    <s v="DUSHIREHAMWE"/>
    <n v="0"/>
    <n v="0"/>
    <n v="0"/>
    <n v="0"/>
    <n v="0"/>
    <n v="0"/>
  </r>
  <r>
    <s v="OP170869"/>
    <n v="178"/>
    <d v="2023-10-01T00:00:00"/>
    <d v="2023-10-31T00:00:00"/>
    <m/>
    <x v="3"/>
    <s v="A.1.2.1"/>
    <s v="Car rent"/>
    <s v="D"/>
    <n v="240000"/>
    <s v="BIF"/>
    <n v="2802.3999950000002"/>
    <n v="85.640879399159431"/>
    <s v="USD"/>
    <n v="0"/>
    <s v="9UN1085"/>
    <s v="DUSHIREHAMWE"/>
    <n v="0"/>
    <n v="0"/>
    <n v="0"/>
    <n v="0"/>
    <n v="0"/>
    <n v="0"/>
  </r>
  <r>
    <s v="OP170854"/>
    <n v="179"/>
    <d v="2023-10-01T00:00:00"/>
    <d v="2023-10-18T00:00:00"/>
    <m/>
    <x v="3"/>
    <s v="A.1.2.1"/>
    <s v="Consultant fees"/>
    <s v="D"/>
    <n v="2456000"/>
    <s v="BIF"/>
    <n v="2802.3999950000002"/>
    <n v="876.3916658513981"/>
    <s v="USD"/>
    <n v="0"/>
    <s v="9UN1085"/>
    <s v="DUSHIREHAMWE"/>
    <n v="0"/>
    <n v="0"/>
    <n v="0"/>
    <n v="0"/>
    <n v="0"/>
    <n v="0"/>
  </r>
  <r>
    <s v="OP170863"/>
    <n v="180"/>
    <d v="2023-10-01T00:00:00"/>
    <d v="2023-10-25T00:00:00"/>
    <m/>
    <x v="3"/>
    <s v="A.1.2.1"/>
    <s v="Consultant fees"/>
    <s v="D"/>
    <n v="3684000"/>
    <s v="BIF"/>
    <n v="2802.3999950000002"/>
    <n v="1314.5874987770972"/>
    <s v="USD"/>
    <n v="0"/>
    <s v="9UN1085"/>
    <s v="DUSHIREHAMWE"/>
    <n v="0"/>
    <n v="0"/>
    <n v="0"/>
    <n v="0"/>
    <n v="0"/>
    <n v="0"/>
  </r>
  <r>
    <s v="CHQ 8880801"/>
    <n v="181"/>
    <d v="2023-10-01T00:00:00"/>
    <d v="2023-10-17T00:00:00"/>
    <m/>
    <x v="3"/>
    <s v="A.2.1.1"/>
    <s v="Accomodation  of participants"/>
    <s v="D"/>
    <n v="7150000"/>
    <s v="BIF"/>
    <n v="2802.3999950000002"/>
    <n v="2551.3845320999581"/>
    <s v="USD"/>
    <n v="0"/>
    <s v="9UN1085"/>
    <s v="DUSHIREHAMWE"/>
    <n v="0"/>
    <n v="0"/>
    <n v="0"/>
    <n v="0"/>
    <n v="0"/>
    <n v="0"/>
  </r>
  <r>
    <s v="CHQ 8880800"/>
    <n v="182"/>
    <d v="2023-10-01T00:00:00"/>
    <d v="2023-10-17T00:00:00"/>
    <m/>
    <x v="3"/>
    <s v="A.2.1.1"/>
    <s v="Fuel"/>
    <s v="D"/>
    <n v="527179"/>
    <s v="BIF"/>
    <n v="2802.3999950000002"/>
    <n v="188.11697150320612"/>
    <s v="USD"/>
    <n v="0"/>
    <s v="9UN1085"/>
    <s v="DUSHIREHAMWE"/>
    <n v="0"/>
    <n v="0"/>
    <n v="0"/>
    <n v="0"/>
    <n v="0"/>
    <n v="0"/>
  </r>
  <r>
    <s v="CHQ 8880800"/>
    <n v="183"/>
    <d v="2023-10-01T00:00:00"/>
    <d v="2023-10-17T00:00:00"/>
    <m/>
    <x v="3"/>
    <s v="A.2.1.1"/>
    <s v="Mission expenses for  the consultant"/>
    <s v="D"/>
    <n v="450000"/>
    <s v="BIF"/>
    <n v="2802.3999950000002"/>
    <n v="160.57664887342392"/>
    <s v="USD"/>
    <n v="0"/>
    <s v="9UN1085"/>
    <s v="DUSHIREHAMWE"/>
    <n v="0"/>
    <n v="0"/>
    <n v="0"/>
    <n v="0"/>
    <n v="0"/>
    <n v="0"/>
  </r>
  <r>
    <s v="CHQ 8880800"/>
    <n v="184"/>
    <d v="2023-10-01T00:00:00"/>
    <d v="2023-10-17T00:00:00"/>
    <m/>
    <x v="3"/>
    <s v="A.2.1.1"/>
    <s v="Representation expenses of the administration and DPDFS"/>
    <s v="D"/>
    <n v="100000"/>
    <s v="BIF"/>
    <n v="2802.3999950000002"/>
    <n v="35.683699749649762"/>
    <s v="USD"/>
    <n v="0"/>
    <s v="9UN1085"/>
    <s v="DUSHIREHAMWE"/>
    <n v="0"/>
    <n v="0"/>
    <n v="0"/>
    <n v="0"/>
    <n v="0"/>
    <n v="0"/>
  </r>
  <r>
    <s v="CHQ 8880800"/>
    <n v="185"/>
    <d v="2023-10-01T00:00:00"/>
    <d v="2023-10-17T00:00:00"/>
    <m/>
    <x v="3"/>
    <s v="A.2.1.1"/>
    <s v="Focal point communication costs"/>
    <s v="D"/>
    <n v="50000"/>
    <s v="BIF"/>
    <n v="2802.3999950000002"/>
    <n v="17.841849874824881"/>
    <s v="USD"/>
    <n v="0"/>
    <s v="9UN1085"/>
    <s v="DUSHIREHAMWE"/>
    <n v="0"/>
    <n v="0"/>
    <n v="0"/>
    <n v="0"/>
    <n v="0"/>
    <n v="0"/>
  </r>
  <r>
    <s v="CHQ 8880800"/>
    <n v="186"/>
    <d v="2023-10-01T00:00:00"/>
    <d v="2023-10-17T00:00:00"/>
    <m/>
    <x v="3"/>
    <s v="A.2.1.1"/>
    <s v="Letters"/>
    <s v="D"/>
    <n v="3000"/>
    <s v="BIF"/>
    <n v="2802.3999950000002"/>
    <n v="1.0705109924894929"/>
    <s v="USD"/>
    <n v="0"/>
    <s v="9UN1085"/>
    <s v="DUSHIREHAMWE"/>
    <n v="0"/>
    <n v="0"/>
    <n v="0"/>
    <n v="0"/>
    <n v="0"/>
    <n v="0"/>
  </r>
  <r>
    <s v="CHQ 8880800"/>
    <n v="187"/>
    <d v="2023-10-01T00:00:00"/>
    <d v="2023-10-17T00:00:00"/>
    <m/>
    <x v="3"/>
    <s v="A.2.1.1"/>
    <s v="Focal point travel costs"/>
    <s v="D"/>
    <n v="30000"/>
    <s v="BIF"/>
    <n v="2802.3999950000002"/>
    <n v="10.705109924894929"/>
    <s v="USD"/>
    <n v="0"/>
    <s v="9UN1085"/>
    <s v="DUSHIREHAMWE"/>
    <n v="0"/>
    <n v="0"/>
    <n v="0"/>
    <n v="0"/>
    <n v="0"/>
    <n v="0"/>
  </r>
  <r>
    <s v="CHQ 8880800"/>
    <n v="188"/>
    <d v="2023-10-01T00:00:00"/>
    <d v="2023-10-17T00:00:00"/>
    <m/>
    <x v="3"/>
    <s v="A.2.1.1"/>
    <s v="Participant travel costs"/>
    <s v="D"/>
    <n v="5760000"/>
    <s v="BIF"/>
    <n v="2802.3999950000002"/>
    <n v="2055.3811055798265"/>
    <s v="USD"/>
    <n v="0"/>
    <s v="9UN1085"/>
    <s v="DUSHIREHAMWE"/>
    <n v="0"/>
    <n v="0"/>
    <n v="0"/>
    <n v="0"/>
    <n v="0"/>
    <n v="0"/>
  </r>
  <r>
    <s v="OP 170858"/>
    <n v="189"/>
    <d v="2023-10-01T00:00:00"/>
    <d v="2023-10-25T00:00:00"/>
    <m/>
    <x v="3"/>
    <s v="A.2.1.1"/>
    <s v="training materials"/>
    <s v="D"/>
    <n v="403900"/>
    <s v="BIF"/>
    <n v="2802.3999950000002"/>
    <n v="144.1264632888354"/>
    <s v="USD"/>
    <n v="0"/>
    <s v="9UN1085"/>
    <s v="DUSHIREHAMWE"/>
    <n v="0"/>
    <n v="0"/>
    <n v="0"/>
    <n v="0"/>
    <n v="0"/>
    <n v="0"/>
  </r>
  <r>
    <s v="OP 170859"/>
    <n v="190"/>
    <d v="2023-10-01T00:00:00"/>
    <d v="2023-10-25T00:00:00"/>
    <m/>
    <x v="3"/>
    <s v="A.2.1.1"/>
    <s v="Car rent"/>
    <s v="D"/>
    <n v="960000"/>
    <s v="BIF"/>
    <n v="2802.3999950000002"/>
    <n v="342.56351759663772"/>
    <s v="USD"/>
    <n v="0"/>
    <s v="9UN1085"/>
    <s v="DUSHIREHAMWE"/>
    <n v="0"/>
    <n v="0"/>
    <n v="0"/>
    <n v="0"/>
    <n v="0"/>
    <n v="0"/>
  </r>
  <r>
    <s v="OP 170861"/>
    <n v="191"/>
    <d v="2023-10-01T00:00:00"/>
    <d v="2023-10-25T00:00:00"/>
    <m/>
    <x v="3"/>
    <s v="A.2.1.1"/>
    <s v="Room rental"/>
    <s v="D"/>
    <n v="400000"/>
    <s v="BIF"/>
    <n v="2802.3999950000002"/>
    <n v="142.73479899859905"/>
    <s v="USD"/>
    <n v="0"/>
    <s v="9UN1085"/>
    <s v="DUSHIREHAMWE"/>
    <n v="0"/>
    <n v="0"/>
    <n v="0"/>
    <n v="0"/>
    <n v="0"/>
    <n v="0"/>
  </r>
  <r>
    <s v="OP 170861"/>
    <n v="191"/>
    <d v="2023-10-01T00:00:00"/>
    <d v="2023-10-25T00:00:00"/>
    <m/>
    <x v="3"/>
    <s v="A.2.1.1"/>
    <s v="Coffee break"/>
    <s v="D"/>
    <n v="3944000"/>
    <s v="BIF"/>
    <n v="2802.3999950000002"/>
    <n v="1407.3651181261866"/>
    <s v="USD"/>
    <n v="0"/>
    <s v="9UN1085"/>
    <s v="DUSHIREHAMWE"/>
    <n v="0"/>
    <n v="0"/>
    <n v="0"/>
    <n v="0"/>
    <n v="0"/>
    <n v="0"/>
  </r>
  <r>
    <s v="OP 170861"/>
    <n v="191"/>
    <d v="2023-10-01T00:00:00"/>
    <d v="2023-10-25T00:00:00"/>
    <m/>
    <x v="3"/>
    <s v="A.2.1.1"/>
    <s v="Lunch break"/>
    <s v="D"/>
    <n v="1160000"/>
    <s v="BIF"/>
    <n v="2802.3999950000002"/>
    <n v="413.93091709593722"/>
    <s v="USD"/>
    <n v="0"/>
    <s v="9UN1085"/>
    <s v="DUSHIREHAMWE"/>
    <n v="0"/>
    <n v="0"/>
    <n v="0"/>
    <n v="0"/>
    <n v="0"/>
    <n v="0"/>
  </r>
  <r>
    <s v="OP 170861"/>
    <n v="191"/>
    <d v="2023-10-01T00:00:00"/>
    <d v="2023-10-25T00:00:00"/>
    <m/>
    <x v="3"/>
    <s v="A.2.1.1"/>
    <s v="Mineral water"/>
    <s v="D"/>
    <n v="464000"/>
    <s v="BIF"/>
    <n v="2802.3999950000002"/>
    <n v="165.5723668383749"/>
    <s v="USD"/>
    <n v="0"/>
    <s v="9UN1085"/>
    <s v="DUSHIREHAMWE"/>
    <n v="0"/>
    <n v="0"/>
    <n v="0"/>
    <n v="0"/>
    <n v="0"/>
    <n v="0"/>
  </r>
  <r>
    <s v="OP 170862"/>
    <n v="192"/>
    <d v="2023-10-01T00:00:00"/>
    <d v="2023-10-25T00:00:00"/>
    <m/>
    <x v="3"/>
    <s v="A.2.1.1"/>
    <s v="Room rental"/>
    <s v="D"/>
    <n v="200000"/>
    <s v="BIF"/>
    <n v="2802.3999950000002"/>
    <n v="71.367399499299523"/>
    <s v="USD"/>
    <n v="0"/>
    <s v="9UN1085"/>
    <s v="DUSHIREHAMWE"/>
    <n v="0"/>
    <n v="0"/>
    <n v="0"/>
    <n v="0"/>
    <n v="0"/>
    <n v="0"/>
  </r>
  <r>
    <s v="OP 170862"/>
    <n v="192"/>
    <d v="2023-10-01T00:00:00"/>
    <d v="2023-10-25T00:00:00"/>
    <m/>
    <x v="3"/>
    <s v="A.2.1.1"/>
    <s v="Coffee break"/>
    <s v="D"/>
    <n v="580000"/>
    <s v="BIF"/>
    <n v="2802.3999950000002"/>
    <n v="206.96545854796861"/>
    <s v="USD"/>
    <n v="0"/>
    <s v="9UN1085"/>
    <s v="DUSHIREHAMWE"/>
    <n v="0"/>
    <n v="0"/>
    <n v="0"/>
    <n v="0"/>
    <n v="0"/>
    <n v="0"/>
  </r>
  <r>
    <s v="OP 170862"/>
    <n v="192"/>
    <d v="2023-10-01T00:00:00"/>
    <d v="2023-10-25T00:00:00"/>
    <m/>
    <x v="3"/>
    <s v="A.2.1.1"/>
    <s v="Lunch break"/>
    <s v="D"/>
    <n v="1972000"/>
    <s v="BIF"/>
    <n v="2802.3999950000002"/>
    <n v="703.68255906309332"/>
    <s v="USD"/>
    <n v="0"/>
    <s v="9UN1085"/>
    <s v="DUSHIREHAMWE"/>
    <n v="0"/>
    <n v="0"/>
    <n v="0"/>
    <n v="0"/>
    <n v="0"/>
    <n v="0"/>
  </r>
  <r>
    <s v="OP 170862"/>
    <n v="192"/>
    <d v="2023-10-01T00:00:00"/>
    <d v="2023-10-25T00:00:00"/>
    <m/>
    <x v="3"/>
    <s v="A.2.1.1"/>
    <s v="Mineral water"/>
    <s v="D"/>
    <n v="232000"/>
    <s v="BIF"/>
    <n v="2802.3999950000002"/>
    <n v="82.786183419187452"/>
    <s v="USD"/>
    <n v="0"/>
    <s v="9UN1085"/>
    <s v="DUSHIREHAMWE"/>
    <n v="0"/>
    <n v="0"/>
    <n v="0"/>
    <n v="0"/>
    <n v="0"/>
    <n v="0"/>
  </r>
  <r>
    <s v="OP 170871"/>
    <n v="193"/>
    <d v="2023-10-01T00:00:00"/>
    <d v="2023-10-31T00:00:00"/>
    <m/>
    <x v="3"/>
    <s v="A.2.1.1"/>
    <s v="Consultant fees"/>
    <s v="D"/>
    <n v="2250000"/>
    <s v="BIF"/>
    <n v="2802.3999950000002"/>
    <n v="802.88324436711957"/>
    <s v="USD"/>
    <n v="0"/>
    <s v="9UN1085"/>
    <s v="DUSHIREHAMWE"/>
    <n v="0"/>
    <n v="0"/>
    <n v="0"/>
    <n v="0"/>
    <n v="0"/>
    <n v="0"/>
  </r>
  <r>
    <s v="CHQ 8880803"/>
    <n v="194"/>
    <d v="2023-10-01T00:00:00"/>
    <d v="2023-10-23T00:00:00"/>
    <m/>
    <x v="3"/>
    <s v="M.4"/>
    <s v="Communication fees "/>
    <s v="D"/>
    <n v="10000"/>
    <s v="BIF"/>
    <n v="2802.3999950000002"/>
    <n v="3.568369974964976"/>
    <s v="USD"/>
    <n v="0"/>
    <s v="9UN1085"/>
    <s v="DUSHIREHAMWE"/>
    <n v="0"/>
    <n v="0"/>
    <n v="0"/>
    <n v="0"/>
    <n v="0"/>
    <n v="0"/>
  </r>
  <r>
    <s v="CHQ 8880803"/>
    <n v="195"/>
    <d v="2023-10-01T00:00:00"/>
    <d v="2023-10-23T00:00:00"/>
    <m/>
    <x v="3"/>
    <s v="M.4"/>
    <s v="Mission expenses "/>
    <s v="D"/>
    <n v="800000"/>
    <s v="BIF"/>
    <n v="2802.3999950000002"/>
    <n v="285.46959799719809"/>
    <s v="USD"/>
    <n v="0"/>
    <s v="9UN1085"/>
    <s v="DUSHIREHAMWE"/>
    <n v="0"/>
    <n v="0"/>
    <n v="0"/>
    <n v="0"/>
    <n v="0"/>
    <n v="0"/>
  </r>
  <r>
    <s v="CHQ 8880803"/>
    <n v="196"/>
    <d v="2023-10-01T00:00:00"/>
    <d v="2023-10-23T00:00:00"/>
    <m/>
    <x v="3"/>
    <s v="M.4"/>
    <s v="Fuel "/>
    <s v="D"/>
    <n v="359818"/>
    <s v="BIF"/>
    <n v="2802.3999950000002"/>
    <n v="128.39637476519476"/>
    <s v="USD"/>
    <n v="0"/>
    <s v="9UN1085"/>
    <s v="DUSHIREHAMWE"/>
    <n v="0"/>
    <n v="0"/>
    <n v="0"/>
    <n v="0"/>
    <n v="0"/>
    <n v="0"/>
  </r>
  <r>
    <s v="OP 170868"/>
    <n v="197"/>
    <d v="2023-10-01T00:00:00"/>
    <d v="2023-10-31T00:00:00"/>
    <m/>
    <x v="3"/>
    <s v="M.4"/>
    <s v="Car rent"/>
    <s v="D"/>
    <n v="600000"/>
    <s v="BIF"/>
    <n v="2802.3999950000002"/>
    <n v="214.10219849789857"/>
    <s v="USD"/>
    <n v="0"/>
    <s v="9UN1085"/>
    <s v="DUSHIREHAMWE"/>
    <n v="0"/>
    <n v="0"/>
    <n v="0"/>
    <n v="0"/>
    <n v="0"/>
    <n v="0"/>
  </r>
  <r>
    <s v="CH8998715"/>
    <n v="39"/>
    <d v="2023-10-01T00:00:00"/>
    <d v="2023-08-16T00:00:00"/>
    <m/>
    <x v="3"/>
    <s v="A.1.1.4"/>
    <s v="Frais de facilitation Validation des modules"/>
    <s v="D"/>
    <n v="900000"/>
    <s v="BIF"/>
    <n v="2803.6597999999999"/>
    <n v="321.00898974975496"/>
    <s v="USD"/>
    <n v="0"/>
    <s v="9UN1085"/>
    <s v="YELI"/>
    <n v="0"/>
    <n v="0"/>
    <n v="0"/>
    <n v="0"/>
    <n v="0"/>
    <n v="0"/>
  </r>
  <r>
    <s v="CH8998715"/>
    <n v="39"/>
    <d v="2023-10-01T00:00:00"/>
    <d v="2023-08-16T00:00:00"/>
    <m/>
    <x v="3"/>
    <s v="A.1.1.4"/>
    <s v="Frais de transport des participants Validation des modules"/>
    <s v="D"/>
    <n v="72000"/>
    <s v="BIF"/>
    <n v="2803.6597999999999"/>
    <n v="25.680719179980397"/>
    <s v="USD"/>
    <n v="0"/>
    <s v="9UN1085"/>
    <s v="YELI"/>
    <n v="0"/>
    <n v="0"/>
    <n v="0"/>
    <n v="0"/>
    <n v="0"/>
    <n v="0"/>
  </r>
  <r>
    <s v="CH8998715"/>
    <n v="39"/>
    <d v="2023-10-01T00:00:00"/>
    <d v="2023-08-16T00:00:00"/>
    <m/>
    <x v="3"/>
    <s v="A.1.1.4"/>
    <s v="Frais de représentation Validation des modules"/>
    <s v="D"/>
    <n v="100000"/>
    <s v="BIF"/>
    <n v="2803.6597999999999"/>
    <n v="35.66766552775055"/>
    <s v="USD"/>
    <n v="0"/>
    <s v="9UN1085"/>
    <s v="YELI"/>
    <n v="0"/>
    <n v="0"/>
    <n v="0"/>
    <n v="0"/>
    <n v="0"/>
    <n v="0"/>
  </r>
  <r>
    <s v="CH8998715"/>
    <n v="39"/>
    <d v="2023-10-01T00:00:00"/>
    <d v="2023-08-16T00:00:00"/>
    <m/>
    <x v="3"/>
    <s v="A.1.1.4"/>
    <s v="Frais de communication pour Validation des modules"/>
    <s v="D"/>
    <n v="15000"/>
    <s v="BIF"/>
    <n v="2803.6597999999999"/>
    <n v="5.3501498291625822"/>
    <s v="USD"/>
    <n v="0"/>
    <s v="9UN1085"/>
    <s v="YELI"/>
    <n v="0"/>
    <n v="0"/>
    <n v="0"/>
    <n v="0"/>
    <n v="0"/>
    <n v="0"/>
  </r>
  <r>
    <s v="CH8998714"/>
    <n v="39"/>
    <d v="2023-10-01T00:00:00"/>
    <d v="2023-08-16T00:00:00"/>
    <m/>
    <x v="3"/>
    <s v="A.1.1.4"/>
    <s v="Paiement achats matériels Validation des modules"/>
    <s v="D"/>
    <n v="33600"/>
    <s v="BIF"/>
    <n v="2803.6597999999999"/>
    <n v="11.984335617324184"/>
    <s v="USD"/>
    <n v="0"/>
    <s v="9UN1085"/>
    <s v="YELI"/>
    <n v="0"/>
    <n v="0"/>
    <n v="0"/>
    <n v="0"/>
    <n v="0"/>
    <n v="0"/>
  </r>
  <r>
    <s v="CH8998716"/>
    <n v="39"/>
    <d v="2023-10-01T00:00:00"/>
    <d v="2023-08-20T00:00:00"/>
    <m/>
    <x v="3"/>
    <s v="A.1.1.4"/>
    <s v=" Location salle "/>
    <s v="D"/>
    <n v="300000"/>
    <s v="BIF"/>
    <n v="2803.6597999999999"/>
    <n v="107.00299658325166"/>
    <s v="USD"/>
    <n v="0"/>
    <s v="9UN1085"/>
    <s v="YELI"/>
    <n v="0"/>
    <n v="0"/>
    <n v="0"/>
    <n v="0"/>
    <n v="0"/>
    <n v="0"/>
  </r>
  <r>
    <s v="CH8998716"/>
    <n v="39"/>
    <d v="2023-10-01T00:00:00"/>
    <d v="2023-08-20T00:00:00"/>
    <m/>
    <x v="3"/>
    <s v="A.1.1.4"/>
    <s v="Pause café"/>
    <s v="D"/>
    <n v="576000"/>
    <s v="BIF"/>
    <n v="2803.6597999999999"/>
    <n v="205.44575343984317"/>
    <s v="USD"/>
    <n v="0"/>
    <s v="9UN1085"/>
    <s v="YELI"/>
    <n v="0"/>
    <n v="0"/>
    <n v="0"/>
    <n v="0"/>
    <n v="0"/>
    <n v="0"/>
  </r>
  <r>
    <s v="CH8998716"/>
    <n v="39"/>
    <d v="2023-10-01T00:00:00"/>
    <d v="2023-08-20T00:00:00"/>
    <m/>
    <x v="3"/>
    <s v="A.1.1.4"/>
    <s v="Pause déjeuner"/>
    <s v="D"/>
    <n v="1200000"/>
    <s v="BIF"/>
    <n v="2803.6597999999999"/>
    <n v="428.01198633300663"/>
    <s v="USD"/>
    <n v="0"/>
    <s v="9UN1085"/>
    <s v="YELI"/>
    <n v="0"/>
    <n v="0"/>
    <n v="0"/>
    <n v="0"/>
    <n v="0"/>
    <n v="0"/>
  </r>
  <r>
    <s v="CH8998716"/>
    <n v="39"/>
    <d v="2023-10-01T00:00:00"/>
    <d v="2023-08-20T00:00:00"/>
    <m/>
    <x v="3"/>
    <s v="A.1.1.4"/>
    <s v="Eau mirale"/>
    <m/>
    <n v="144000"/>
    <s v="BIF"/>
    <n v="2803.6597999999999"/>
    <n v="51.361438359960793"/>
    <s v="USD"/>
    <n v="0"/>
    <s v="9UN1085"/>
    <s v="YELI"/>
    <n v="0"/>
    <n v="0"/>
    <n v="0"/>
    <n v="0"/>
    <n v="0"/>
    <n v="0"/>
  </r>
  <r>
    <s v="OV 036"/>
    <n v="35"/>
    <d v="2023-10-01T00:00:00"/>
    <d v="2023-08-16T00:00:00"/>
    <m/>
    <x v="3"/>
    <s v="A.1.1.4"/>
    <s v="Frais de translation des documents"/>
    <s v="D"/>
    <n v="3000000"/>
    <s v="BIF"/>
    <n v="2803.6597999999999"/>
    <n v="1070.0299658325166"/>
    <s v="USD"/>
    <n v="0"/>
    <s v="9UN1085"/>
    <s v="YELI"/>
    <n v="0"/>
    <n v="0"/>
    <n v="0"/>
    <n v="0"/>
    <n v="0"/>
    <n v="0"/>
  </r>
  <r>
    <s v="OV 036"/>
    <n v="35"/>
    <d v="2023-10-01T00:00:00"/>
    <d v="2023-08-16T00:00:00"/>
    <m/>
    <x v="3"/>
    <s v="A.1.1.4"/>
    <s v="Frais de consultance"/>
    <s v="D"/>
    <n v="1500000"/>
    <s v="BIF"/>
    <n v="2803.6597999999999"/>
    <n v="535.0149829162583"/>
    <s v="USD"/>
    <n v="0"/>
    <s v="9UN1085"/>
    <s v="YELI"/>
    <n v="0"/>
    <n v="0"/>
    <n v="0"/>
    <n v="0"/>
    <n v="0"/>
    <n v="0"/>
  </r>
  <r>
    <s v="CH8998720"/>
    <n v="39"/>
    <d v="2023-10-01T00:00:00"/>
    <d v="2023-08-23T00:00:00"/>
    <m/>
    <x v="3"/>
    <s v="A.1.1.4"/>
    <s v="Achats matériels  pour formation des formateurs"/>
    <s v="D"/>
    <n v="191500"/>
    <s v="BIF"/>
    <n v="2803.6597999999999"/>
    <n v="68.303579485642302"/>
    <s v="USD"/>
    <n v="0"/>
    <s v="9UN1085"/>
    <s v="YELI"/>
    <n v="0"/>
    <n v="0"/>
    <n v="0"/>
    <n v="0"/>
    <n v="0"/>
    <n v="0"/>
  </r>
  <r>
    <s v="CH8998723"/>
    <n v="39"/>
    <d v="2023-10-01T00:00:00"/>
    <d v="2023-08-23T00:00:00"/>
    <m/>
    <x v="3"/>
    <s v="A.1.1.4"/>
    <s v="Frais de deplacements des participants"/>
    <s v="D"/>
    <n v="1240000"/>
    <s v="BIF"/>
    <n v="2803.6597999999999"/>
    <n v="442.27905254410683"/>
    <s v="USD"/>
    <n v="0"/>
    <s v="9UN1085"/>
    <s v="YELI"/>
    <n v="0"/>
    <n v="0"/>
    <n v="0"/>
    <n v="0"/>
    <n v="0"/>
    <n v="0"/>
  </r>
  <r>
    <s v="CH8998723"/>
    <n v="39"/>
    <d v="2023-10-01T00:00:00"/>
    <d v="2023-08-23T00:00:00"/>
    <m/>
    <x v="3"/>
    <s v="A.1.1.4"/>
    <s v="Frais de mission"/>
    <s v="D"/>
    <n v="2275000"/>
    <s v="BIF"/>
    <n v="2803.6597999999999"/>
    <n v="811.439390756325"/>
    <s v="USD"/>
    <n v="0"/>
    <s v="9UN1085"/>
    <s v="YELI"/>
    <n v="0"/>
    <n v="0"/>
    <n v="0"/>
    <n v="0"/>
    <n v="0"/>
    <n v="0"/>
  </r>
  <r>
    <s v="CH8998723"/>
    <n v="39"/>
    <d v="2023-10-01T00:00:00"/>
    <d v="2023-08-23T00:00:00"/>
    <m/>
    <x v="3"/>
    <s v="A.1.1.4"/>
    <s v="Frais de communication"/>
    <s v="D"/>
    <n v="15000"/>
    <s v="BIF"/>
    <n v="2803.6597999999999"/>
    <n v="5.3501498291625822"/>
    <s v="USD"/>
    <n v="0"/>
    <s v="9UN1085"/>
    <s v="YELI"/>
    <n v="0"/>
    <n v="0"/>
    <n v="0"/>
    <n v="0"/>
    <n v="0"/>
    <n v="0"/>
  </r>
  <r>
    <s v="CH8998723"/>
    <n v="39"/>
    <d v="2023-10-01T00:00:00"/>
    <d v="2023-08-23T00:00:00"/>
    <m/>
    <x v="3"/>
    <s v="A.1.1.4"/>
    <s v="Achat carburant"/>
    <s v="D"/>
    <n v="222500"/>
    <s v="BIF"/>
    <n v="2803.6597999999999"/>
    <n v="79.360555799244977"/>
    <s v="USD"/>
    <n v="0"/>
    <s v="9UN1085"/>
    <s v="YELI"/>
    <n v="0"/>
    <n v="0"/>
    <n v="0"/>
    <n v="0"/>
    <n v="0"/>
    <n v="0"/>
  </r>
  <r>
    <s v="CH8998721"/>
    <n v="39"/>
    <d v="2023-10-01T00:00:00"/>
    <d v="2023-10-31T00:00:00"/>
    <m/>
    <x v="3"/>
    <s v="A.1.1.4"/>
    <s v="Paiement location salle"/>
    <s v="D"/>
    <n v="500000"/>
    <s v="BIF"/>
    <n v="2803.6597999999999"/>
    <n v="178.33832763875276"/>
    <s v="USD"/>
    <n v="0"/>
    <s v="9UN1085"/>
    <s v="YELI"/>
    <n v="0"/>
    <n v="0"/>
    <n v="0"/>
    <n v="0"/>
    <n v="0"/>
    <n v="0"/>
  </r>
  <r>
    <s v="CH8998721"/>
    <n v="39"/>
    <d v="2023-10-01T00:00:00"/>
    <d v="2023-10-31T00:00:00"/>
    <m/>
    <x v="3"/>
    <s v="A.1.1.4"/>
    <s v="Pause café"/>
    <s v="D"/>
    <n v="960000"/>
    <s v="BIF"/>
    <n v="2803.6597999999999"/>
    <n v="342.40958906640526"/>
    <s v="USD"/>
    <n v="0"/>
    <s v="9UN1085"/>
    <s v="YELI"/>
    <n v="0"/>
    <n v="0"/>
    <n v="0"/>
    <n v="0"/>
    <n v="0"/>
    <n v="0"/>
  </r>
  <r>
    <s v="CH8998721"/>
    <n v="39"/>
    <d v="2023-10-01T00:00:00"/>
    <d v="2023-10-31T00:00:00"/>
    <m/>
    <x v="3"/>
    <s v="A.1.1.4"/>
    <s v="Pause déjeuner"/>
    <s v="D"/>
    <n v="2000000"/>
    <s v="BIF"/>
    <n v="2803.6597999999999"/>
    <n v="713.35331055501103"/>
    <s v="USD"/>
    <n v="0"/>
    <s v="9UN1085"/>
    <s v="YELI"/>
    <n v="0"/>
    <n v="0"/>
    <n v="0"/>
    <n v="0"/>
    <n v="0"/>
    <n v="0"/>
  </r>
  <r>
    <s v="CH8998721"/>
    <n v="39"/>
    <d v="2023-10-01T00:00:00"/>
    <d v="2023-10-31T00:00:00"/>
    <m/>
    <x v="3"/>
    <s v="A.1.1.4"/>
    <s v="Eau minérale"/>
    <s v="D"/>
    <n v="240000"/>
    <s v="BIF"/>
    <n v="2803.6597999999999"/>
    <n v="85.602397266601315"/>
    <s v="USD"/>
    <n v="0"/>
    <s v="9UN1085"/>
    <s v="YELI"/>
    <n v="0"/>
    <n v="0"/>
    <n v="0"/>
    <n v="0"/>
    <n v="0"/>
    <n v="0"/>
  </r>
  <r>
    <s v="CH8998713"/>
    <n v="33"/>
    <d v="2023-10-01T00:00:00"/>
    <d v="2023-10-10T00:00:00"/>
    <m/>
    <x v="3"/>
    <s v="A.1.2.1"/>
    <s v="Frais de mission :Atélier de developpement des plans strategiques à RUTANA "/>
    <s v="D"/>
    <n v="190000"/>
    <s v="BIF"/>
    <n v="2803.6597999999999"/>
    <n v="67.768564502726051"/>
    <s v="USD"/>
    <n v="0"/>
    <s v="9UN1085"/>
    <s v="YELI"/>
    <n v="0"/>
    <n v="0"/>
    <n v="0"/>
    <n v="0"/>
    <n v="0"/>
    <n v="0"/>
  </r>
  <r>
    <s v="CH8998717"/>
    <n v="34"/>
    <d v="2023-10-01T00:00:00"/>
    <d v="2023-10-18T00:00:00"/>
    <m/>
    <x v="3"/>
    <s v="A.1.2.1"/>
    <s v="Frais de mission :Atélier de developpement des plans strategiques à RUYIGI"/>
    <s v="D"/>
    <n v="120000"/>
    <s v="BIF"/>
    <n v="2803.6597999999999"/>
    <n v="42.801198633300658"/>
    <s v="USD"/>
    <n v="0"/>
    <s v="9UN1085"/>
    <s v="YELI"/>
    <n v="0"/>
    <n v="0"/>
    <n v="0"/>
    <n v="0"/>
    <n v="0"/>
    <n v="0"/>
  </r>
  <r>
    <s v="OV 036"/>
    <n v="35"/>
    <d v="2023-10-01T00:00:00"/>
    <d v="2023-10-16T00:00:00"/>
    <m/>
    <x v="3"/>
    <s v="A.2.2.1"/>
    <s v="Facilitation fees"/>
    <s v="D"/>
    <n v="4740000"/>
    <s v="BIF"/>
    <n v="2803.6597999999999"/>
    <n v="1690.6473460153761"/>
    <s v="USD"/>
    <n v="0"/>
    <s v="9UN1085"/>
    <s v="YELI"/>
    <n v="0"/>
    <n v="0"/>
    <n v="0"/>
    <n v="0"/>
    <n v="0"/>
    <n v="0"/>
  </r>
  <r>
    <s v="chq 1693948"/>
    <n v="94"/>
    <d v="2023-10-01T00:00:00"/>
    <s v="18/10/2023"/>
    <n v="6345"/>
    <x v="3"/>
    <s v="A.1.2.1"/>
    <s v="Training  supplies"/>
    <s v="D"/>
    <n v="113000"/>
    <s v="BIF"/>
    <n v="2801.6"/>
    <n v="40.33409480296973"/>
    <s v="USD"/>
    <n v="0"/>
    <s v="9UN1085"/>
    <s v="RFP"/>
    <n v="0"/>
    <n v="0"/>
    <n v="0"/>
    <n v="0"/>
    <n v="0"/>
    <n v="0"/>
  </r>
  <r>
    <s v="chq 1693949"/>
    <n v="95"/>
    <d v="2023-10-01T00:00:00"/>
    <s v="18/10/2023"/>
    <n v="6345"/>
    <x v="3"/>
    <s v="A.1.2.1"/>
    <s v="Participants expenses"/>
    <s v="D"/>
    <n v="1250000"/>
    <s v="BIF"/>
    <n v="2801.6"/>
    <n v="446.17361507709882"/>
    <s v="USD"/>
    <n v="0"/>
    <s v="9UN1085"/>
    <s v="RFP"/>
    <n v="0"/>
    <n v="0"/>
    <n v="0"/>
    <n v="0"/>
    <n v="0"/>
    <n v="0"/>
  </r>
  <r>
    <s v="chq 1693951"/>
    <n v="96"/>
    <d v="2023-10-01T00:00:00"/>
    <s v="18/10/2023"/>
    <n v="6345"/>
    <x v="3"/>
    <s v="A.1.2.1"/>
    <s v="Project Manager communication costs"/>
    <s v="D"/>
    <n v="15000"/>
    <s v="BIF"/>
    <n v="2801.6"/>
    <n v="5.3540833809251858"/>
    <s v="USD"/>
    <n v="0"/>
    <s v="9UN1085"/>
    <s v="RFP"/>
    <n v="0"/>
    <n v="0"/>
    <n v="0"/>
    <n v="0"/>
    <n v="0"/>
    <n v="0"/>
  </r>
  <r>
    <s v="chq 1693951"/>
    <n v="96"/>
    <d v="2023-10-01T00:00:00"/>
    <s v="18/10/2023"/>
    <n v="6345"/>
    <x v="3"/>
    <s v="A.1.2.1"/>
    <s v="Focal Points communic costs **"/>
    <s v="D"/>
    <n v="25000"/>
    <s v="BIF"/>
    <n v="2801.6"/>
    <n v="8.9234723015419757"/>
    <s v="USD"/>
    <n v="0"/>
    <s v="9UN1085"/>
    <s v="RFP"/>
    <n v="0"/>
    <n v="0"/>
    <n v="0"/>
    <n v="0"/>
    <n v="0"/>
    <n v="0"/>
  </r>
  <r>
    <s v="chq 1693951"/>
    <n v="96"/>
    <d v="2023-10-01T00:00:00"/>
    <s v="18/10/2023"/>
    <n v="6345"/>
    <x v="3"/>
    <s v="A.1.2.1"/>
    <s v="Admin &amp; DPDFS represent expenses"/>
    <s v="D"/>
    <n v="100000"/>
    <s v="BIF"/>
    <n v="2801.6"/>
    <n v="35.693889206167903"/>
    <s v="USD"/>
    <n v="0"/>
    <s v="9UN1085"/>
    <s v="RFP"/>
    <n v="0"/>
    <n v="0"/>
    <n v="0"/>
    <n v="0"/>
    <n v="0"/>
    <n v="0"/>
  </r>
  <r>
    <s v="chq 1693952"/>
    <n v="97"/>
    <d v="2023-10-01T00:00:00"/>
    <s v="18/10/2023"/>
    <n v="6345"/>
    <x v="3"/>
    <s v="A.1.2.1"/>
    <s v="RFP Team mission expenses"/>
    <s v="D"/>
    <n v="120000"/>
    <s v="BIF"/>
    <n v="2801.6"/>
    <n v="42.832667047401486"/>
    <s v="USD"/>
    <n v="0"/>
    <s v="9UN1085"/>
    <s v="RFP"/>
    <n v="0"/>
    <n v="0"/>
    <n v="0"/>
    <n v="0"/>
    <n v="0"/>
    <n v="0"/>
  </r>
  <r>
    <s v="chq 1693952"/>
    <n v="97"/>
    <d v="2023-10-01T00:00:00"/>
    <s v="18/10/2023"/>
    <n v="6345"/>
    <x v="3"/>
    <s v="A.1.2.1"/>
    <s v="Consultants expenses"/>
    <s v="D"/>
    <n v="360000"/>
    <s v="BIF"/>
    <n v="2801.6"/>
    <n v="128.49800114220446"/>
    <s v="USD"/>
    <n v="0"/>
    <s v="9UN1085"/>
    <s v="RFP"/>
    <n v="0"/>
    <n v="0"/>
    <n v="0"/>
    <n v="0"/>
    <n v="0"/>
    <n v="0"/>
  </r>
  <r>
    <s v="chq 1693953"/>
    <n v="98"/>
    <d v="2023-10-01T00:00:00"/>
    <s v="18/10/2023"/>
    <n v="6345"/>
    <x v="3"/>
    <s v="A.1.2.1"/>
    <s v="Participants travel expenses"/>
    <s v="D"/>
    <n v="1160000"/>
    <s v="BIF"/>
    <n v="2801.6"/>
    <n v="414.04911479154771"/>
    <s v="USD"/>
    <n v="0"/>
    <s v="9UN1085"/>
    <s v="RFP"/>
    <n v="0"/>
    <n v="0"/>
    <n v="0"/>
    <n v="0"/>
    <n v="0"/>
    <n v="0"/>
  </r>
  <r>
    <s v="chq 1693954"/>
    <n v="99"/>
    <d v="2023-10-01T00:00:00"/>
    <s v="18/10/2023"/>
    <n v="6345"/>
    <x v="3"/>
    <s v="A.1.2.1"/>
    <s v="Fuel rented cars **"/>
    <s v="D"/>
    <n v="531038"/>
    <s v="BIF"/>
    <n v="2801.6"/>
    <n v="189.54811536264992"/>
    <s v="USD"/>
    <n v="0"/>
    <s v="9UN1085"/>
    <s v="RFP"/>
    <n v="0"/>
    <n v="0"/>
    <n v="0"/>
    <n v="0"/>
    <n v="0"/>
    <n v="0"/>
  </r>
  <r>
    <s v="chq 1693957"/>
    <n v="100"/>
    <d v="2023-10-01T00:00:00"/>
    <s v="18/10/2023"/>
    <n v="6345"/>
    <x v="3"/>
    <s v="A.1.2.1"/>
    <s v="Conference room rent (Motel aux 3 M)"/>
    <s v="D"/>
    <n v="160000"/>
    <s v="BIF"/>
    <n v="2801.6"/>
    <n v="57.110222729868646"/>
    <s v="USD"/>
    <n v="0"/>
    <s v="9UN1085"/>
    <s v="RFP"/>
    <n v="0"/>
    <n v="0"/>
    <n v="0"/>
    <n v="0"/>
    <n v="0"/>
    <n v="0"/>
  </r>
  <r>
    <s v="chq 1693957"/>
    <n v="100"/>
    <d v="2023-10-01T00:00:00"/>
    <s v="18/10/2023"/>
    <n v="6345"/>
    <x v="3"/>
    <s v="A.1.2.1"/>
    <s v="Coffee break(Motel aux 3 M)"/>
    <s v="D"/>
    <n v="320000"/>
    <s v="BIF"/>
    <n v="2801.6"/>
    <n v="114.22044545973729"/>
    <s v="USD"/>
    <n v="0"/>
    <s v="9UN1085"/>
    <s v="RFP"/>
    <n v="0"/>
    <n v="0"/>
    <n v="0"/>
    <n v="0"/>
    <n v="0"/>
    <n v="0"/>
  </r>
  <r>
    <s v="chq 1693957"/>
    <n v="100"/>
    <d v="2023-10-01T00:00:00"/>
    <s v="18/10/2023"/>
    <n v="6345"/>
    <x v="3"/>
    <s v="A.1.2.1"/>
    <s v="Lunch break (Motel aux 3 M)"/>
    <s v="D"/>
    <n v="960000"/>
    <s v="BIF"/>
    <n v="2801.6"/>
    <n v="342.66133637921189"/>
    <s v="USD"/>
    <n v="0"/>
    <s v="9UN1085"/>
    <s v="RFP"/>
    <n v="0"/>
    <n v="0"/>
    <n v="0"/>
    <n v="0"/>
    <n v="0"/>
    <n v="0"/>
  </r>
  <r>
    <s v="chq 1693957"/>
    <n v="100"/>
    <d v="2023-10-01T00:00:00"/>
    <s v="18/10/2023"/>
    <n v="6345"/>
    <x v="3"/>
    <s v="A.1.2.1"/>
    <s v="Mineral Water(Motel aux 3 M)"/>
    <s v="D"/>
    <n v="160000"/>
    <s v="BIF"/>
    <n v="2801.6"/>
    <n v="57.110222729868646"/>
    <s v="USD"/>
    <n v="0"/>
    <s v="9UN1085"/>
    <s v="RFP"/>
    <n v="0"/>
    <n v="0"/>
    <n v="0"/>
    <n v="0"/>
    <n v="0"/>
    <n v="0"/>
  </r>
  <r>
    <s v="chq 1693930"/>
    <n v="101"/>
    <d v="2023-10-01T00:00:00"/>
    <s v="18/10/2023"/>
    <n v="6345"/>
    <x v="3"/>
    <s v="A.1.2.1"/>
    <s v="Radio advert for Consultants&amp; Facilit"/>
    <s v="D"/>
    <n v="44992"/>
    <s v="BIF"/>
    <n v="2801.6"/>
    <n v="16.059394631639066"/>
    <s v="USD"/>
    <n v="0"/>
    <s v="9UN1085"/>
    <s v="RFP"/>
    <n v="0"/>
    <n v="0"/>
    <n v="0"/>
    <n v="0"/>
    <n v="0"/>
    <n v="0"/>
  </r>
  <r>
    <s v="Chq 1693921"/>
    <n v="102"/>
    <d v="2023-10-01T00:00:00"/>
    <s v="26/10/2023"/>
    <n v="6345"/>
    <x v="3"/>
    <s v="A.2.1.1"/>
    <s v="Participants travel costs"/>
    <s v="D"/>
    <n v="5568000"/>
    <s v="BIF"/>
    <n v="2801.6"/>
    <n v="1987.435750999429"/>
    <s v="USD"/>
    <n v="0"/>
    <s v="9UN1085"/>
    <s v="RFP"/>
    <n v="0"/>
    <n v="0"/>
    <n v="0"/>
    <n v="0"/>
    <n v="0"/>
    <n v="0"/>
  </r>
  <r>
    <s v="chq 1693922"/>
    <n v="103"/>
    <d v="2023-10-01T00:00:00"/>
    <s v="26/10/2023"/>
    <n v="6345"/>
    <x v="3"/>
    <s v="A.2.1.1"/>
    <s v="Accomodation  of participants expenses"/>
    <s v="D"/>
    <n v="6000000"/>
    <s v="BIF"/>
    <n v="2801.6"/>
    <n v="2141.6333523700741"/>
    <s v="USD"/>
    <n v="0"/>
    <s v="9UN1085"/>
    <s v="RFP"/>
    <n v="0"/>
    <n v="0"/>
    <n v="0"/>
    <n v="0"/>
    <n v="0"/>
    <n v="0"/>
  </r>
  <r>
    <s v="chq 1693923"/>
    <n v="104"/>
    <d v="2023-10-01T00:00:00"/>
    <s v="26/10/2023"/>
    <n v="6345"/>
    <x v="3"/>
    <s v="A.2.1.1"/>
    <s v="RFP Team mission expenses"/>
    <s v="D"/>
    <n v="240000"/>
    <s v="BIF"/>
    <n v="2801.6"/>
    <n v="85.665334094802972"/>
    <s v="USD"/>
    <n v="0"/>
    <s v="9UN1085"/>
    <s v="RFP"/>
    <n v="0"/>
    <n v="0"/>
    <n v="0"/>
    <n v="0"/>
    <n v="0"/>
    <n v="0"/>
  </r>
  <r>
    <s v="chq 1693923"/>
    <n v="104"/>
    <d v="2023-10-01T00:00:00"/>
    <s v="26/10/2023"/>
    <n v="6345"/>
    <x v="3"/>
    <s v="A.2.1.1"/>
    <s v="Consultants mission expenses"/>
    <s v="D"/>
    <n v="360000"/>
    <s v="BIF"/>
    <n v="2801.6"/>
    <n v="128.49800114220446"/>
    <s v="USD"/>
    <n v="0"/>
    <s v="9UN1085"/>
    <s v="RFP"/>
    <n v="0"/>
    <n v="0"/>
    <n v="0"/>
    <n v="0"/>
    <n v="0"/>
    <n v="0"/>
  </r>
  <r>
    <s v="chq 1693924"/>
    <n v="105"/>
    <d v="2023-10-01T00:00:00"/>
    <s v="26/10/2023"/>
    <n v="6345"/>
    <x v="3"/>
    <s v="A.2.1.1"/>
    <s v="scotch"/>
    <s v="D"/>
    <n v="10500"/>
    <s v="BIF"/>
    <n v="2801.6"/>
    <n v="3.7478583666476299"/>
    <s v="USD"/>
    <n v="0"/>
    <s v="9UN1085"/>
    <s v="RFP"/>
    <n v="0"/>
    <n v="0"/>
    <n v="0"/>
    <n v="0"/>
    <n v="0"/>
    <n v="0"/>
  </r>
  <r>
    <s v="chq 1693924"/>
    <n v="105"/>
    <d v="2023-10-01T00:00:00"/>
    <s v="26/10/2023"/>
    <n v="6345"/>
    <x v="3"/>
    <s v="A.2.1.1"/>
    <s v="Feutre"/>
    <s v="D"/>
    <n v="27000"/>
    <s v="BIF"/>
    <n v="2801.6"/>
    <n v="9.637350085665334"/>
    <s v="USD"/>
    <n v="0"/>
    <s v="9UN1085"/>
    <s v="RFP"/>
    <n v="0"/>
    <n v="0"/>
    <n v="0"/>
    <n v="0"/>
    <n v="0"/>
    <n v="0"/>
  </r>
  <r>
    <s v="chq 1693924"/>
    <n v="105"/>
    <d v="2023-10-01T00:00:00"/>
    <s v="26/10/2023"/>
    <n v="6345"/>
    <x v="3"/>
    <s v="A.2.1.1"/>
    <s v="Flip Chart"/>
    <s v="D"/>
    <n v="51000"/>
    <s v="BIF"/>
    <n v="2801.6"/>
    <n v="18.203883495145632"/>
    <s v="USD"/>
    <n v="0"/>
    <s v="9UN1085"/>
    <s v="RFP"/>
    <n v="0"/>
    <n v="0"/>
    <n v="0"/>
    <n v="0"/>
    <n v="0"/>
    <n v="0"/>
  </r>
  <r>
    <s v="chq 1693924"/>
    <n v="105"/>
    <d v="2023-10-01T00:00:00"/>
    <s v="26/10/2023"/>
    <n v="6345"/>
    <x v="3"/>
    <s v="A.2.1.1"/>
    <s v="Ream"/>
    <s v="D"/>
    <n v="44000"/>
    <s v="BIF"/>
    <n v="2801.6"/>
    <n v="15.705311250713878"/>
    <s v="USD"/>
    <n v="0"/>
    <s v="9UN1085"/>
    <s v="RFP"/>
    <n v="0"/>
    <n v="0"/>
    <n v="0"/>
    <n v="0"/>
    <n v="0"/>
    <n v="0"/>
  </r>
  <r>
    <s v="chq 1693924"/>
    <n v="105"/>
    <d v="2023-10-01T00:00:00"/>
    <s v="26/10/2023"/>
    <n v="6345"/>
    <x v="3"/>
    <s v="A.2.1.1"/>
    <s v="Pens"/>
    <s v="D"/>
    <n v="86400"/>
    <s v="BIF"/>
    <n v="2801.6"/>
    <n v="30.839520274129072"/>
    <s v="USD"/>
    <n v="0"/>
    <s v="9UN1085"/>
    <s v="RFP"/>
    <n v="0"/>
    <n v="0"/>
    <n v="0"/>
    <n v="0"/>
    <n v="0"/>
    <n v="0"/>
  </r>
  <r>
    <s v="chq 1693924"/>
    <n v="105"/>
    <d v="2023-10-01T00:00:00"/>
    <s v="26/10/2023"/>
    <n v="6345"/>
    <x v="3"/>
    <s v="A.2.1.1"/>
    <s v="Bloc notes"/>
    <s v="D"/>
    <n v="216000"/>
    <s v="BIF"/>
    <n v="2801.6"/>
    <n v="77.098800685322672"/>
    <s v="USD"/>
    <n v="0"/>
    <s v="9UN1085"/>
    <s v="RFP"/>
    <n v="0"/>
    <n v="0"/>
    <n v="0"/>
    <n v="0"/>
    <n v="0"/>
    <n v="0"/>
  </r>
  <r>
    <s v="chq 1693925"/>
    <n v="106"/>
    <d v="2023-10-01T00:00:00"/>
    <s v="26/10/2023"/>
    <n v="6345"/>
    <x v="3"/>
    <s v="A.2.1.1"/>
    <s v="Fuel rented cars **"/>
    <s v="D"/>
    <n v="236600"/>
    <s v="BIF"/>
    <n v="2801.6"/>
    <n v="84.451741861793266"/>
    <s v="USD"/>
    <n v="0"/>
    <s v="9UN1085"/>
    <s v="RFP"/>
    <n v="0"/>
    <n v="0"/>
    <n v="0"/>
    <n v="0"/>
    <n v="0"/>
    <n v="0"/>
  </r>
  <r>
    <s v="chq 1693926"/>
    <n v="107"/>
    <d v="2023-10-01T00:00:00"/>
    <s v="26/10/2023"/>
    <n v="6345"/>
    <x v="3"/>
    <s v="A.2.1.1"/>
    <s v="Focal Points communic costs"/>
    <s v="D"/>
    <n v="30000"/>
    <s v="BIF"/>
    <n v="2801.6"/>
    <n v="10.708166761850372"/>
    <s v="USD"/>
    <n v="0"/>
    <s v="9UN1085"/>
    <s v="RFP"/>
    <n v="0"/>
    <n v="0"/>
    <n v="0"/>
    <n v="0"/>
    <n v="0"/>
    <n v="0"/>
  </r>
  <r>
    <s v="chq 1693926"/>
    <n v="107"/>
    <d v="2023-10-01T00:00:00"/>
    <s v="26/10/2023"/>
    <n v="6345"/>
    <x v="3"/>
    <s v="A.2.1.1"/>
    <s v="Project Manager communic costs"/>
    <s v="D"/>
    <n v="15000"/>
    <s v="BIF"/>
    <n v="2801.6"/>
    <n v="5.3540833809251858"/>
    <s v="USD"/>
    <n v="0"/>
    <s v="9UN1085"/>
    <s v="RFP"/>
    <n v="0"/>
    <n v="0"/>
    <n v="0"/>
    <n v="0"/>
    <n v="0"/>
    <n v="0"/>
  </r>
  <r>
    <s v="chq 1693926"/>
    <n v="107"/>
    <d v="2023-10-01T00:00:00"/>
    <s v="26/10/2023"/>
    <n v="6345"/>
    <x v="3"/>
    <s v="A.2.1.1"/>
    <s v="Representation of Adm &amp; DPDFS exp."/>
    <s v="D"/>
    <n v="100000"/>
    <s v="BIF"/>
    <n v="2801.6"/>
    <n v="35.693889206167903"/>
    <s v="USD"/>
    <n v="0"/>
    <s v="9UN1085"/>
    <s v="RFP"/>
    <n v="0"/>
    <n v="0"/>
    <n v="0"/>
    <n v="0"/>
    <n v="0"/>
    <n v="0"/>
  </r>
  <r>
    <s v="Chq 1693947"/>
    <n v="87"/>
    <d v="2023-10-01T00:00:00"/>
    <d v="2023-05-10T00:00:00"/>
    <n v="6345"/>
    <x v="3"/>
    <s v="A.3.3.2"/>
    <s v="Purchase of  50 umbrellas to award"/>
    <s v="D"/>
    <n v="1500000"/>
    <s v="BIF"/>
    <n v="2801.6"/>
    <n v="535.40833809251853"/>
    <s v="USD"/>
    <n v="0"/>
    <s v="9UN1085"/>
    <s v="RFP"/>
    <n v="0"/>
    <n v="0"/>
    <n v="0"/>
    <n v="0"/>
    <n v="0"/>
    <n v="0"/>
  </r>
  <r>
    <s v="chq 1693958"/>
    <n v="108"/>
    <d v="2023-10-01T00:00:00"/>
    <s v="23/10/2023"/>
    <n v="6171"/>
    <x v="3"/>
    <s v="M.4"/>
    <s v="Fuel rented cars **"/>
    <s v="D"/>
    <n v="295750"/>
    <s v="BIF"/>
    <n v="2801.6"/>
    <n v="105.56467732724158"/>
    <s v="USD"/>
    <n v="0"/>
    <s v="9UN1085"/>
    <s v="RFP"/>
    <n v="0"/>
    <n v="0"/>
    <n v="0"/>
    <n v="0"/>
    <n v="0"/>
    <n v="0"/>
  </r>
  <r>
    <s v="Chq 1693959"/>
    <n v="109"/>
    <d v="2023-10-01T00:00:00"/>
    <s v="23/10/2023"/>
    <n v="6345"/>
    <x v="3"/>
    <s v="M.4"/>
    <s v="RFP Team mission expenses"/>
    <s v="D"/>
    <n v="600000"/>
    <s v="BIF"/>
    <n v="2801.6"/>
    <n v="214.16333523700743"/>
    <s v="USD"/>
    <n v="0"/>
    <s v="9UN1085"/>
    <s v="RFP"/>
    <n v="0"/>
    <n v="0"/>
    <n v="0"/>
    <n v="0"/>
    <n v="0"/>
    <n v="0"/>
  </r>
  <r>
    <s v="chq 1693929"/>
    <n v="110"/>
    <d v="2023-10-01T00:00:00"/>
    <s v="31/10/2023"/>
    <n v="6345"/>
    <x v="3"/>
    <s v="M.4"/>
    <s v="RFP Team mission expenses"/>
    <s v="D"/>
    <n v="150000"/>
    <s v="BIF"/>
    <n v="2801.6"/>
    <n v="53.540833809251858"/>
    <s v="USD"/>
    <n v="0"/>
    <s v="9UN1085"/>
    <s v="RFP"/>
    <n v="0"/>
    <n v="0"/>
    <n v="0"/>
    <n v="0"/>
    <n v="0"/>
    <n v="0"/>
  </r>
  <r>
    <s v="chq 1693958"/>
    <n v="108"/>
    <d v="2023-10-01T00:00:00"/>
    <s v="23/10/2023"/>
    <n v="6171"/>
    <x v="3"/>
    <s v="M.4"/>
    <s v="Fuel rented cars **"/>
    <s v="D"/>
    <n v="295750"/>
    <s v="BIF"/>
    <n v="2801.6"/>
    <n v="105.56467732724158"/>
    <s v="USD"/>
    <n v="0"/>
    <s v="9UN1085"/>
    <s v="RFP"/>
    <n v="0"/>
    <n v="0"/>
    <n v="0"/>
    <n v="0"/>
    <n v="0"/>
    <n v="0"/>
  </r>
  <r>
    <s v="Chq 1693959"/>
    <n v="109"/>
    <d v="2023-10-01T00:00:00"/>
    <s v="23/10/2023"/>
    <n v="6345"/>
    <x v="3"/>
    <s v="M.4"/>
    <s v="RFP Team mission expenses"/>
    <s v="D"/>
    <n v="600000"/>
    <s v="BIF"/>
    <n v="2801.6"/>
    <n v="214.16333523700743"/>
    <s v="USD"/>
    <n v="0"/>
    <s v="9UN1085"/>
    <s v="RFP"/>
    <n v="0"/>
    <n v="0"/>
    <n v="0"/>
    <n v="0"/>
    <n v="0"/>
    <n v="0"/>
  </r>
  <r>
    <s v="chq 1693929"/>
    <n v="110"/>
    <d v="2023-10-01T00:00:00"/>
    <s v="31/10/2023"/>
    <n v="6345"/>
    <x v="3"/>
    <s v="M.4"/>
    <s v="RFP Team mission expenses"/>
    <s v="D"/>
    <n v="150000"/>
    <s v="BIF"/>
    <n v="2801.6"/>
    <n v="53.540833809251858"/>
    <s v="USD"/>
    <n v="0"/>
    <s v="9UN1085"/>
    <s v="RFP"/>
    <n v="0"/>
    <n v="0"/>
    <n v="0"/>
    <n v="0"/>
    <n v="0"/>
    <n v="0"/>
  </r>
  <r>
    <s v="CHQ0003612"/>
    <n v="5646"/>
    <s v="2024/007"/>
    <d v="2023-10-11T00:00:00"/>
    <n v="3570"/>
    <x v="1"/>
    <s v="M.4"/>
    <s v="02.01.02.UN.PYT vehicl rent _Bnefciary registratio"/>
    <s v="D"/>
    <n v="4800000"/>
    <s v="BIF"/>
    <n v="0"/>
    <n v="1699.11"/>
    <s v="USD"/>
    <n v="0"/>
    <s v="9UN1085"/>
    <s v="Christian Aid"/>
    <s v="I2281"/>
    <n v="0"/>
    <s v="FHA"/>
    <d v="2023-11-05T00:00:00"/>
    <d v="2023-11-06T00:00:00"/>
    <s v="TKA"/>
  </r>
  <r>
    <s v="OP0003516"/>
    <n v="5650"/>
    <s v="2024/007"/>
    <d v="2023-10-18T00:00:00"/>
    <n v="3570"/>
    <x v="1"/>
    <s v="M.4"/>
    <s v="02.01.02.UN_PYT Meals Train enum.Benef Registratio"/>
    <s v="D"/>
    <n v="846000"/>
    <s v="BIF"/>
    <n v="0"/>
    <n v="299.47000000000003"/>
    <s v="USD"/>
    <n v="0"/>
    <s v="9UN1085"/>
    <s v="Christian Aid"/>
    <s v="I2281"/>
    <n v="0"/>
    <s v="FHA"/>
    <d v="2023-11-05T00:00:00"/>
    <d v="2023-11-06T00:00:00"/>
    <s v="TKA"/>
  </r>
  <r>
    <s v="TAR 30 10 2023"/>
    <n v="5670"/>
    <s v="2024/007"/>
    <d v="2023-10-30T00:00:00"/>
    <n v="3570"/>
    <x v="1"/>
    <s v="M.4"/>
    <s v="02.02.04.UN PYT Perdiem _Fuel_Quarterly review M"/>
    <s v="D"/>
    <n v="2956260"/>
    <s v="BIF"/>
    <n v="0"/>
    <n v="1046.46"/>
    <s v="USD"/>
    <n v="0"/>
    <s v="9UN1085"/>
    <s v="Christian Aid"/>
    <s v="I2281"/>
    <n v="0"/>
    <s v="FHA"/>
    <d v="2023-11-06T00:00:00"/>
    <d v="2023-11-06T00:00:00"/>
    <s v="TKA"/>
  </r>
  <r>
    <s v="TAR 31 10 2023"/>
    <n v="5727"/>
    <s v="2024/007"/>
    <d v="2023-10-31T00:00:00"/>
    <n v="3570"/>
    <x v="1"/>
    <s v="M.4"/>
    <s v="02.01.02.UN_PYT Perdiem_.Benef Registratio"/>
    <s v="D"/>
    <n v="11113089"/>
    <s v="BIF"/>
    <n v="0"/>
    <n v="3933.83"/>
    <s v="USD"/>
    <n v="0"/>
    <s v="9UN1085"/>
    <s v="Christian Aid"/>
    <s v="I2281"/>
    <n v="0"/>
    <s v="FHA"/>
    <d v="2023-11-06T00:00:00"/>
    <d v="2023-11-06T00:00:00"/>
    <s v="TKA"/>
  </r>
  <r>
    <s v="TAR 31 10 2023"/>
    <n v="5728"/>
    <s v="2024/007"/>
    <d v="2023-10-31T00:00:00"/>
    <n v="3570"/>
    <x v="1"/>
    <s v="M.4"/>
    <s v="02.01.02.UN_PYT Perdiem_.Benef Registratio"/>
    <s v="D"/>
    <n v="9379418"/>
    <s v="BIF"/>
    <n v="0"/>
    <n v="3320.15"/>
    <s v="USD"/>
    <n v="0"/>
    <s v="9UN1085"/>
    <s v="Christian Aid"/>
    <s v="I2281"/>
    <n v="0"/>
    <s v="FHA"/>
    <d v="2023-11-06T00:00:00"/>
    <d v="2023-11-06T00:00:00"/>
    <s v="TK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D10786-FE78-446B-B595-F633A3B2ED0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1" firstHeaderRow="1" firstDataRow="1" firstDataCol="1"/>
  <pivotFields count="23">
    <pivotField showAll="0"/>
    <pivotField showAll="0"/>
    <pivotField showAll="0"/>
    <pivotField showAll="0"/>
    <pivotField showAll="0"/>
    <pivotField axis="axisRow" showAll="0">
      <items count="8">
        <item x="2"/>
        <item x="6"/>
        <item x="0"/>
        <item x="5"/>
        <item x="4"/>
        <item x="3"/>
        <item x="1"/>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Sum of Reporting /Amount in USD" fld="12" baseField="0" baseItem="0" numFmtId="168"/>
  </dataFields>
  <formats count="7">
    <format dxfId="24">
      <pivotArea type="all" dataOnly="0" outline="0" fieldPosition="0"/>
    </format>
    <format dxfId="23">
      <pivotArea outline="0" collapsedLevelsAreSubtotals="1" fieldPosition="0"/>
    </format>
    <format dxfId="22">
      <pivotArea field="5" type="button" dataOnly="0" labelOnly="1" outline="0" axis="axisRow" fieldPosition="0"/>
    </format>
    <format dxfId="21">
      <pivotArea dataOnly="0" labelOnly="1" fieldPosition="0">
        <references count="1">
          <reference field="5" count="0"/>
        </references>
      </pivotArea>
    </format>
    <format dxfId="20">
      <pivotArea dataOnly="0" labelOnly="1" grandRow="1" outline="0" fieldPosition="0"/>
    </format>
    <format dxfId="19">
      <pivotArea dataOnly="0" labelOnly="1" outline="0" axis="axisValues" fieldPosition="0"/>
    </format>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156659-39EA-4D96-8F13-FD77E974DA28}" name="Table1" displayName="Table1" ref="A1:O1012" totalsRowShown="0">
  <autoFilter ref="A1:O1012" xr:uid="{3A156659-39EA-4D96-8F13-FD77E974DA28}"/>
  <tableColumns count="15">
    <tableColumn id="1" xr3:uid="{68106631-D518-4E85-BFED-47EA2E38FC9D}" name="Transaction Reference"/>
    <tableColumn id="2" xr3:uid="{95BACC2B-1C62-441E-A34B-CD29D329FA05}" name="Journal  _x000a_Number"/>
    <tableColumn id="3" xr3:uid="{985E9961-25DA-4EDC-BDD1-9B266568788C}" name="Accounting  _x000a_Period"/>
    <tableColumn id="4" xr3:uid="{3105731D-CC75-4E9E-AF66-F852C85EBF36}" name="Transaction  Date" dataDxfId="25"/>
    <tableColumn id="5" xr3:uid="{27824090-B6F0-419B-8302-13CF4191E97F}" name="Account  Code"/>
    <tableColumn id="6" xr3:uid="{96EB4FE8-9573-49CD-9BE4-5DF8CE2007D7}" name="UNPBF Category code"/>
    <tableColumn id="7" xr3:uid="{C2D73A09-B118-49B0-A4FF-996D0EFDF938}" name="Activity Line code"/>
    <tableColumn id="8" xr3:uid="{08DCD96F-1A71-4546-B4DC-40E8F43EBAF5}" name="Line Description"/>
    <tableColumn id="9" xr3:uid="{5CD21392-BB1E-4C99-B2DD-56C52B7B802C}" name="DR / CR"/>
    <tableColumn id="10" xr3:uid="{56EC3558-6CAC-493A-8B80-19C77CC0C82A}" name=" Amount in BIF"/>
    <tableColumn id="11" xr3:uid="{A58A7258-5836-4B03-B4F7-8C8A6629FB4A}" name="Transaction _x000a_ Currency"/>
    <tableColumn id="12" xr3:uid="{DBBE5A2F-6390-4D76-85EC-ED99782EFE69}" name="USD exchange rate"/>
    <tableColumn id="13" xr3:uid="{5808D6C3-FF61-4220-8D75-B8BB1CE8DA7F}" name="Reporting /Amount in USD"/>
    <tableColumn id="14" xr3:uid="{EDE8EA13-53E7-4966-9693-8E3C6D1699AC}" name="Reporting Currency"/>
    <tableColumn id="15" xr3:uid="{2D7749EE-92F6-4589-A1A1-EBE8A52A9D98}" name="2nd Base amount GB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1BB9-0C3F-470C-BA86-DE81A371E7DE}">
  <sheetPr codeName="Sheet1"/>
  <dimension ref="A1:S219"/>
  <sheetViews>
    <sheetView topLeftCell="I176" zoomScale="80" zoomScaleNormal="80" workbookViewId="0">
      <selection activeCell="I197" sqref="I197"/>
    </sheetView>
  </sheetViews>
  <sheetFormatPr baseColWidth="10" defaultColWidth="9.28515625" defaultRowHeight="18.75" x14ac:dyDescent="0.25"/>
  <cols>
    <col min="1" max="1" width="9.28515625" style="3"/>
    <col min="2" max="2" width="17.7109375" style="3" customWidth="1"/>
    <col min="3" max="3" width="86.42578125" style="3" customWidth="1"/>
    <col min="4" max="4" width="24.28515625" style="6" customWidth="1"/>
    <col min="5" max="6" width="23.28515625" style="3" hidden="1" customWidth="1"/>
    <col min="7" max="7" width="29.7109375" style="6" customWidth="1"/>
    <col min="8" max="8" width="31.42578125" style="3" customWidth="1"/>
    <col min="9" max="9" width="28.28515625" style="8" customWidth="1"/>
    <col min="10" max="10" width="33" style="8" customWidth="1"/>
    <col min="11" max="11" width="25.28515625" style="6" customWidth="1"/>
    <col min="12" max="12" width="26.7109375" style="6" customWidth="1"/>
    <col min="13" max="13" width="19.42578125" style="3" customWidth="1"/>
    <col min="14" max="14" width="22.42578125" style="75" customWidth="1"/>
    <col min="15" max="15" width="19" style="3" customWidth="1"/>
    <col min="16" max="16" width="23.42578125" style="3" customWidth="1"/>
    <col min="17" max="17" width="42.28515625" style="3" customWidth="1"/>
    <col min="18" max="18" width="34.7109375" style="77" customWidth="1"/>
    <col min="19" max="19" width="25.28515625" style="3" bestFit="1" customWidth="1"/>
    <col min="20" max="16384" width="9.28515625" style="3"/>
  </cols>
  <sheetData>
    <row r="1" spans="1:19" ht="30" customHeight="1" x14ac:dyDescent="0.25">
      <c r="B1" s="666" t="s">
        <v>35</v>
      </c>
      <c r="C1" s="666"/>
      <c r="D1" s="666"/>
      <c r="E1" s="666"/>
      <c r="F1" s="666"/>
      <c r="G1" s="666"/>
      <c r="H1" s="666"/>
      <c r="I1" s="666"/>
      <c r="J1" s="666"/>
      <c r="K1" s="666"/>
      <c r="L1" s="666"/>
      <c r="M1" s="666"/>
      <c r="N1" s="666"/>
      <c r="O1" s="666"/>
      <c r="P1" s="666"/>
      <c r="Q1" s="666"/>
      <c r="R1" s="666"/>
    </row>
    <row r="2" spans="1:19" x14ac:dyDescent="0.25">
      <c r="B2" s="7" t="s">
        <v>36</v>
      </c>
      <c r="C2" s="362" t="s">
        <v>1760</v>
      </c>
    </row>
    <row r="3" spans="1:19" ht="19.5" thickBot="1" x14ac:dyDescent="0.35">
      <c r="B3" s="679" t="s">
        <v>37</v>
      </c>
      <c r="C3" s="679"/>
      <c r="D3" s="679"/>
      <c r="E3" s="679"/>
    </row>
    <row r="4" spans="1:19" ht="54" hidden="1" customHeight="1" x14ac:dyDescent="0.3">
      <c r="B4" s="234"/>
      <c r="C4" s="234"/>
      <c r="D4" s="335"/>
      <c r="E4" s="234"/>
    </row>
    <row r="5" spans="1:19" ht="76.5" customHeight="1" thickBot="1" x14ac:dyDescent="0.3">
      <c r="B5" s="338" t="s">
        <v>38</v>
      </c>
      <c r="C5" s="339" t="s">
        <v>39</v>
      </c>
      <c r="D5" s="340" t="s">
        <v>221</v>
      </c>
      <c r="E5" s="341" t="s">
        <v>41</v>
      </c>
      <c r="F5" s="341" t="s">
        <v>42</v>
      </c>
      <c r="G5" s="342" t="s">
        <v>0</v>
      </c>
      <c r="H5" s="341" t="s">
        <v>43</v>
      </c>
      <c r="I5" s="341" t="s">
        <v>44</v>
      </c>
      <c r="J5" s="341" t="s">
        <v>45</v>
      </c>
      <c r="K5" s="342" t="s">
        <v>283</v>
      </c>
      <c r="L5" s="343" t="s">
        <v>223</v>
      </c>
      <c r="M5" s="344" t="s">
        <v>47</v>
      </c>
      <c r="N5" s="345" t="s">
        <v>222</v>
      </c>
      <c r="O5" s="344" t="s">
        <v>224</v>
      </c>
      <c r="P5" s="344" t="s">
        <v>225</v>
      </c>
      <c r="Q5" s="341" t="s">
        <v>45</v>
      </c>
      <c r="R5" s="382" t="s">
        <v>226</v>
      </c>
      <c r="S5" s="404" t="s">
        <v>374</v>
      </c>
    </row>
    <row r="6" spans="1:19" ht="26.65" customHeight="1" x14ac:dyDescent="0.25">
      <c r="B6" s="241" t="s">
        <v>49</v>
      </c>
      <c r="C6" s="346" t="s">
        <v>242</v>
      </c>
      <c r="D6" s="347"/>
      <c r="E6" s="347"/>
      <c r="F6" s="347"/>
      <c r="G6" s="347"/>
      <c r="H6" s="347"/>
      <c r="I6" s="347"/>
      <c r="J6" s="347"/>
      <c r="K6" s="347"/>
      <c r="L6" s="347"/>
      <c r="M6" s="347"/>
      <c r="N6" s="347"/>
      <c r="O6" s="347"/>
      <c r="P6" s="347"/>
      <c r="Q6" s="347"/>
      <c r="R6" s="383"/>
      <c r="S6" s="2"/>
    </row>
    <row r="7" spans="1:19" ht="20.65" customHeight="1" thickBot="1" x14ac:dyDescent="0.3">
      <c r="B7" s="235" t="s">
        <v>9</v>
      </c>
      <c r="C7" s="636" t="s">
        <v>243</v>
      </c>
      <c r="D7" s="637"/>
      <c r="E7" s="637"/>
      <c r="F7" s="637"/>
      <c r="G7" s="637"/>
      <c r="H7" s="637"/>
      <c r="I7" s="637"/>
      <c r="J7" s="637"/>
      <c r="K7" s="637"/>
      <c r="L7" s="637"/>
      <c r="M7" s="637"/>
      <c r="N7" s="637"/>
      <c r="O7" s="637"/>
      <c r="P7" s="637"/>
      <c r="Q7" s="637"/>
      <c r="R7" s="637"/>
      <c r="S7" s="2"/>
    </row>
    <row r="8" spans="1:19" ht="77.650000000000006" customHeight="1" thickBot="1" x14ac:dyDescent="0.3">
      <c r="B8" s="236" t="s">
        <v>10</v>
      </c>
      <c r="C8" s="209" t="s">
        <v>244</v>
      </c>
      <c r="D8" s="9">
        <f>+Summary!I6</f>
        <v>8964.1399999999976</v>
      </c>
      <c r="E8" s="10"/>
      <c r="F8" s="10"/>
      <c r="G8" s="169">
        <f>D8</f>
        <v>8964.1399999999976</v>
      </c>
      <c r="H8" s="11">
        <v>1</v>
      </c>
      <c r="I8" s="361">
        <f>SUMIF('6)Transaction List'!G:G,"A.1.1.1",'6)Transaction List'!M:M)+'6)Transaction List'!Q785</f>
        <v>4640.0514518365926</v>
      </c>
      <c r="J8" s="168" t="s">
        <v>276</v>
      </c>
      <c r="K8" s="193" t="s">
        <v>50</v>
      </c>
      <c r="L8" s="80">
        <v>0</v>
      </c>
      <c r="M8" s="81">
        <f>D8-L8</f>
        <v>8964.1399999999976</v>
      </c>
      <c r="N8" s="81">
        <f>M8</f>
        <v>8964.1399999999976</v>
      </c>
      <c r="O8" s="82">
        <f>+N8-L8</f>
        <v>8964.1399999999976</v>
      </c>
      <c r="P8" s="356">
        <f>I8</f>
        <v>4640.0514518365926</v>
      </c>
      <c r="Q8" s="84"/>
      <c r="R8" s="384">
        <f>P8/G8</f>
        <v>0.51762371536328011</v>
      </c>
      <c r="S8" s="2"/>
    </row>
    <row r="9" spans="1:19" ht="68.650000000000006" customHeight="1" thickBot="1" x14ac:dyDescent="0.3">
      <c r="B9" s="236" t="s">
        <v>11</v>
      </c>
      <c r="C9" s="210" t="s">
        <v>245</v>
      </c>
      <c r="D9" s="9">
        <f>+Summary!I7</f>
        <v>16658.579999999998</v>
      </c>
      <c r="E9" s="10"/>
      <c r="F9" s="10"/>
      <c r="G9" s="169">
        <f t="shared" ref="G9:G15" si="0">D9</f>
        <v>16658.579999999998</v>
      </c>
      <c r="H9" s="11">
        <v>1</v>
      </c>
      <c r="I9" s="361">
        <f>SUMIF('6)Transaction List'!G:G,"A.1.1.2",'6)Transaction List'!M:M)+'6)Transaction List'!R785</f>
        <v>7165.5048051677313</v>
      </c>
      <c r="J9" s="168" t="s">
        <v>277</v>
      </c>
      <c r="K9" s="193" t="s">
        <v>50</v>
      </c>
      <c r="L9" s="80">
        <v>0</v>
      </c>
      <c r="M9" s="81">
        <f>D9-L9</f>
        <v>16658.579999999998</v>
      </c>
      <c r="N9" s="81">
        <f>M9</f>
        <v>16658.579999999998</v>
      </c>
      <c r="O9" s="82">
        <f t="shared" ref="O9:O11" si="1">+N9-L9</f>
        <v>16658.579999999998</v>
      </c>
      <c r="P9" s="356">
        <f t="shared" ref="P9:P11" si="2">I9</f>
        <v>7165.5048051677313</v>
      </c>
      <c r="Q9" s="84"/>
      <c r="R9" s="384">
        <f t="shared" ref="R9:R11" si="3">P9/G9</f>
        <v>0.4301389917488605</v>
      </c>
      <c r="S9" s="2"/>
    </row>
    <row r="10" spans="1:19" ht="62.1" customHeight="1" thickBot="1" x14ac:dyDescent="0.3">
      <c r="B10" s="236" t="s">
        <v>51</v>
      </c>
      <c r="C10" s="210" t="s">
        <v>246</v>
      </c>
      <c r="D10" s="9">
        <f>+Summary!I8</f>
        <v>13181.110000000002</v>
      </c>
      <c r="E10" s="10"/>
      <c r="F10" s="10"/>
      <c r="G10" s="169">
        <f t="shared" si="0"/>
        <v>13181.110000000002</v>
      </c>
      <c r="H10" s="11">
        <v>1</v>
      </c>
      <c r="I10" s="361">
        <f>SUMIF('6)Transaction List'!G:G,"A.1.1.3",'6)Transaction List'!M:M)+'6)Transaction List'!S785</f>
        <v>7262.3359772886834</v>
      </c>
      <c r="J10" s="168" t="s">
        <v>278</v>
      </c>
      <c r="K10" s="193" t="s">
        <v>50</v>
      </c>
      <c r="L10" s="80">
        <v>0</v>
      </c>
      <c r="M10" s="81">
        <f t="shared" ref="M10:M11" si="4">D10-L10</f>
        <v>13181.110000000002</v>
      </c>
      <c r="N10" s="81">
        <f>M10</f>
        <v>13181.110000000002</v>
      </c>
      <c r="O10" s="82">
        <f t="shared" si="1"/>
        <v>13181.110000000002</v>
      </c>
      <c r="P10" s="356">
        <f t="shared" si="2"/>
        <v>7262.3359772886834</v>
      </c>
      <c r="Q10" s="86"/>
      <c r="R10" s="384">
        <f t="shared" si="3"/>
        <v>0.55096543290274358</v>
      </c>
      <c r="S10" s="2"/>
    </row>
    <row r="11" spans="1:19" ht="111" thickBot="1" x14ac:dyDescent="0.3">
      <c r="B11" s="236" t="s">
        <v>52</v>
      </c>
      <c r="C11" s="210" t="s">
        <v>247</v>
      </c>
      <c r="D11" s="9">
        <f>+Summary!I9</f>
        <v>63043.01</v>
      </c>
      <c r="E11" s="10"/>
      <c r="F11" s="10"/>
      <c r="G11" s="169">
        <f t="shared" si="0"/>
        <v>63043.01</v>
      </c>
      <c r="H11" s="11">
        <v>1</v>
      </c>
      <c r="I11" s="361">
        <f>SUMIF('6)Transaction List'!G:G,"A.1.1.4",'6)Transaction List'!M:M)+'6)Transaction List'!T785</f>
        <v>9649.4744673610403</v>
      </c>
      <c r="J11" s="168" t="s">
        <v>279</v>
      </c>
      <c r="K11" s="193" t="s">
        <v>50</v>
      </c>
      <c r="L11" s="80">
        <v>0</v>
      </c>
      <c r="M11" s="81">
        <f t="shared" si="4"/>
        <v>63043.01</v>
      </c>
      <c r="N11" s="81">
        <f>M11</f>
        <v>63043.01</v>
      </c>
      <c r="O11" s="82">
        <f t="shared" si="1"/>
        <v>63043.01</v>
      </c>
      <c r="P11" s="356">
        <f t="shared" si="2"/>
        <v>9649.4744673610403</v>
      </c>
      <c r="Q11" s="5"/>
      <c r="R11" s="384">
        <f t="shared" si="3"/>
        <v>0.15306176636174321</v>
      </c>
      <c r="S11" s="2"/>
    </row>
    <row r="12" spans="1:19" hidden="1" x14ac:dyDescent="0.25">
      <c r="B12" s="236" t="s">
        <v>53</v>
      </c>
      <c r="C12" s="210"/>
      <c r="D12" s="17"/>
      <c r="E12" s="10"/>
      <c r="F12" s="10"/>
      <c r="G12" s="169">
        <f t="shared" si="0"/>
        <v>0</v>
      </c>
      <c r="H12" s="11"/>
      <c r="I12" s="10"/>
      <c r="J12" s="13"/>
      <c r="K12" s="194"/>
      <c r="L12" s="80"/>
      <c r="M12" s="5"/>
      <c r="N12" s="85"/>
      <c r="O12" s="87"/>
      <c r="P12" s="5"/>
      <c r="Q12" s="5"/>
      <c r="R12" s="385"/>
      <c r="S12" s="2"/>
    </row>
    <row r="13" spans="1:19" hidden="1" x14ac:dyDescent="0.25">
      <c r="B13" s="236" t="s">
        <v>54</v>
      </c>
      <c r="C13" s="210"/>
      <c r="D13" s="17"/>
      <c r="E13" s="10"/>
      <c r="F13" s="10"/>
      <c r="G13" s="169">
        <f t="shared" si="0"/>
        <v>0</v>
      </c>
      <c r="H13" s="11"/>
      <c r="I13" s="10"/>
      <c r="J13" s="13"/>
      <c r="K13" s="194"/>
      <c r="L13" s="80"/>
      <c r="M13" s="5"/>
      <c r="N13" s="85"/>
      <c r="O13" s="87"/>
      <c r="P13" s="5"/>
      <c r="Q13" s="5"/>
      <c r="R13" s="385"/>
      <c r="S13" s="2"/>
    </row>
    <row r="14" spans="1:19" hidden="1" x14ac:dyDescent="0.25">
      <c r="B14" s="236" t="s">
        <v>55</v>
      </c>
      <c r="C14" s="211"/>
      <c r="D14" s="183"/>
      <c r="E14" s="13"/>
      <c r="F14" s="13"/>
      <c r="G14" s="169">
        <f t="shared" si="0"/>
        <v>0</v>
      </c>
      <c r="H14" s="14"/>
      <c r="I14" s="13"/>
      <c r="J14" s="13"/>
      <c r="K14" s="195"/>
      <c r="L14" s="80"/>
      <c r="M14" s="5"/>
      <c r="N14" s="85"/>
      <c r="O14" s="87"/>
      <c r="P14" s="5"/>
      <c r="Q14" s="5"/>
      <c r="R14" s="385"/>
      <c r="S14" s="2"/>
    </row>
    <row r="15" spans="1:19" hidden="1" x14ac:dyDescent="0.25">
      <c r="A15" s="15"/>
      <c r="B15" s="236" t="s">
        <v>56</v>
      </c>
      <c r="C15" s="211"/>
      <c r="D15" s="183"/>
      <c r="E15" s="13"/>
      <c r="F15" s="13"/>
      <c r="G15" s="169">
        <f t="shared" si="0"/>
        <v>0</v>
      </c>
      <c r="H15" s="14"/>
      <c r="I15" s="13"/>
      <c r="J15" s="13"/>
      <c r="K15" s="195"/>
      <c r="L15" s="5"/>
      <c r="M15" s="5"/>
      <c r="N15" s="85"/>
      <c r="O15" s="87"/>
      <c r="P15" s="5"/>
      <c r="Q15" s="5"/>
      <c r="R15" s="385"/>
      <c r="S15" s="2"/>
    </row>
    <row r="16" spans="1:19" ht="15.75" x14ac:dyDescent="0.25">
      <c r="A16" s="15"/>
      <c r="B16" s="150"/>
      <c r="C16" s="212" t="s">
        <v>57</v>
      </c>
      <c r="D16" s="113">
        <f>SUM(D8:D15)</f>
        <v>101846.84</v>
      </c>
      <c r="E16" s="4">
        <f>SUM(E8:E15)</f>
        <v>0</v>
      </c>
      <c r="F16" s="4">
        <f>SUM(F8:F15)</f>
        <v>0</v>
      </c>
      <c r="G16" s="170">
        <f>SUM(G8:G15)</f>
        <v>101846.84</v>
      </c>
      <c r="H16" s="4">
        <f>(H8*G8)+(H9*G9)+(H10*G10)+(H11*G11)+(H12*G12)+(H13*G13)+(H14*G14)+(H15*G15)</f>
        <v>101846.84</v>
      </c>
      <c r="I16" s="4">
        <f>SUM(I8:I15)</f>
        <v>28717.366701654049</v>
      </c>
      <c r="J16" s="4"/>
      <c r="K16" s="170"/>
      <c r="L16" s="88">
        <f>SUM(L8:L15)</f>
        <v>0</v>
      </c>
      <c r="M16" s="286">
        <f t="shared" ref="M16:N16" si="5">SUM(M8:M15)</f>
        <v>101846.84</v>
      </c>
      <c r="N16" s="286">
        <f t="shared" si="5"/>
        <v>101846.84</v>
      </c>
      <c r="O16" s="89">
        <f>SUM(O8:O15)</f>
        <v>101846.84</v>
      </c>
      <c r="P16" s="89">
        <f>SUM(P8:P15)</f>
        <v>28717.366701654049</v>
      </c>
      <c r="Q16" s="90">
        <f>SUM(Q8:Q15)</f>
        <v>0</v>
      </c>
      <c r="R16" s="386">
        <f>P16/D16</f>
        <v>0.28196620240406134</v>
      </c>
      <c r="S16" s="2"/>
    </row>
    <row r="17" spans="1:19" ht="51" customHeight="1" thickBot="1" x14ac:dyDescent="0.3">
      <c r="A17" s="15"/>
      <c r="B17" s="235" t="s">
        <v>12</v>
      </c>
      <c r="C17" s="638" t="s">
        <v>248</v>
      </c>
      <c r="D17" s="638"/>
      <c r="E17" s="638"/>
      <c r="F17" s="638"/>
      <c r="G17" s="638"/>
      <c r="H17" s="638"/>
      <c r="I17" s="638"/>
      <c r="J17" s="638"/>
      <c r="K17" s="638"/>
      <c r="L17" s="638"/>
      <c r="M17" s="638"/>
      <c r="N17" s="638"/>
      <c r="O17" s="638"/>
      <c r="P17" s="638"/>
      <c r="Q17" s="638"/>
      <c r="R17" s="638"/>
      <c r="S17" s="2"/>
    </row>
    <row r="18" spans="1:19" ht="63.75" thickBot="1" x14ac:dyDescent="0.3">
      <c r="A18" s="15"/>
      <c r="B18" s="236" t="s">
        <v>13</v>
      </c>
      <c r="C18" s="211" t="s">
        <v>249</v>
      </c>
      <c r="D18" s="9">
        <f>+Summary!I11</f>
        <v>10820.05</v>
      </c>
      <c r="E18" s="10"/>
      <c r="F18" s="10"/>
      <c r="G18" s="169">
        <f>D18</f>
        <v>10820.05</v>
      </c>
      <c r="H18" s="11">
        <v>1</v>
      </c>
      <c r="I18" s="361">
        <f>SUMIF('6)Transaction List'!G:G,"A.1.2.1",'6)Transaction List'!M:M)+'6)Transaction List'!V785</f>
        <v>7428.0024822182768</v>
      </c>
      <c r="J18" s="192" t="s">
        <v>280</v>
      </c>
      <c r="K18" s="196" t="s">
        <v>50</v>
      </c>
      <c r="L18" s="95">
        <v>0</v>
      </c>
      <c r="M18" s="81">
        <f>D18-L18</f>
        <v>10820.05</v>
      </c>
      <c r="N18" s="81">
        <f>M18</f>
        <v>10820.05</v>
      </c>
      <c r="O18" s="82">
        <f t="shared" ref="O18:O20" si="6">+N18-L18</f>
        <v>10820.05</v>
      </c>
      <c r="P18" s="356">
        <f t="shared" ref="P18:P20" si="7">I18</f>
        <v>7428.0024822182768</v>
      </c>
      <c r="Q18" s="1"/>
      <c r="R18" s="384">
        <f>P18/G18</f>
        <v>0.68650352652883095</v>
      </c>
      <c r="S18" s="2"/>
    </row>
    <row r="19" spans="1:19" ht="79.5" thickBot="1" x14ac:dyDescent="0.3">
      <c r="A19" s="15"/>
      <c r="B19" s="236" t="s">
        <v>14</v>
      </c>
      <c r="C19" s="336" t="s">
        <v>250</v>
      </c>
      <c r="D19" s="9">
        <f>+Summary!I12</f>
        <v>369094.40000000008</v>
      </c>
      <c r="E19" s="10"/>
      <c r="F19" s="10"/>
      <c r="G19" s="169">
        <f t="shared" ref="G19:G25" si="8">D19</f>
        <v>369094.40000000008</v>
      </c>
      <c r="H19" s="11">
        <v>1</v>
      </c>
      <c r="I19" s="361">
        <f>SUMIF('6)Transaction List'!G:G,"A.1.2.2",'6)Transaction List'!M:M)+'6)Transaction List'!W785</f>
        <v>24093.17415814575</v>
      </c>
      <c r="J19" s="192" t="s">
        <v>281</v>
      </c>
      <c r="K19" s="196" t="s">
        <v>50</v>
      </c>
      <c r="L19" s="95">
        <v>0</v>
      </c>
      <c r="M19" s="81">
        <f>D19-L19</f>
        <v>369094.40000000008</v>
      </c>
      <c r="N19" s="81">
        <f>M19</f>
        <v>369094.40000000008</v>
      </c>
      <c r="O19" s="82">
        <f t="shared" si="6"/>
        <v>369094.40000000008</v>
      </c>
      <c r="P19" s="356">
        <f t="shared" si="7"/>
        <v>24093.17415814575</v>
      </c>
      <c r="Q19" s="1"/>
      <c r="R19" s="384">
        <f>P19/G19</f>
        <v>6.5276455449190626E-2</v>
      </c>
      <c r="S19" s="2"/>
    </row>
    <row r="20" spans="1:19" ht="95.25" thickBot="1" x14ac:dyDescent="0.3">
      <c r="A20" s="15"/>
      <c r="B20" s="236" t="s">
        <v>58</v>
      </c>
      <c r="C20" s="210" t="s">
        <v>251</v>
      </c>
      <c r="D20" s="9">
        <f>+Summary!I13</f>
        <v>28841.109999999997</v>
      </c>
      <c r="E20" s="10"/>
      <c r="F20" s="10"/>
      <c r="G20" s="169">
        <f t="shared" si="8"/>
        <v>28841.109999999997</v>
      </c>
      <c r="H20" s="11"/>
      <c r="I20" s="361">
        <f>SUMIF('6)Transaction List'!G:G,"A.1.2.3",'6)Transaction List'!M:M)+'6)Transaction List'!X785</f>
        <v>1875.5083268085261</v>
      </c>
      <c r="J20" s="192" t="s">
        <v>282</v>
      </c>
      <c r="K20" s="196" t="s">
        <v>50</v>
      </c>
      <c r="L20" s="95">
        <v>0</v>
      </c>
      <c r="M20" s="81">
        <f>D20-L20</f>
        <v>28841.109999999997</v>
      </c>
      <c r="N20" s="81">
        <f>M20</f>
        <v>28841.109999999997</v>
      </c>
      <c r="O20" s="82">
        <f t="shared" si="6"/>
        <v>28841.109999999997</v>
      </c>
      <c r="P20" s="356">
        <f t="shared" si="7"/>
        <v>1875.5083268085261</v>
      </c>
      <c r="Q20" s="1"/>
      <c r="R20" s="384">
        <f>P20/G20</f>
        <v>6.5028992532136468E-2</v>
      </c>
      <c r="S20" s="2"/>
    </row>
    <row r="21" spans="1:19" hidden="1" x14ac:dyDescent="0.25">
      <c r="A21" s="15"/>
      <c r="B21" s="236" t="s">
        <v>59</v>
      </c>
      <c r="C21" s="210"/>
      <c r="D21" s="17"/>
      <c r="E21" s="10"/>
      <c r="F21" s="10"/>
      <c r="G21" s="169">
        <f t="shared" si="8"/>
        <v>0</v>
      </c>
      <c r="H21" s="11"/>
      <c r="I21" s="10"/>
      <c r="J21" s="10"/>
      <c r="K21" s="197"/>
      <c r="L21" s="95"/>
      <c r="M21" s="1"/>
      <c r="N21" s="85"/>
      <c r="O21" s="81">
        <f t="shared" ref="O21:O25" si="9">N21-L21</f>
        <v>0</v>
      </c>
      <c r="P21" s="1"/>
      <c r="Q21" s="1"/>
      <c r="R21" s="387"/>
      <c r="S21" s="2"/>
    </row>
    <row r="22" spans="1:19" hidden="1" x14ac:dyDescent="0.25">
      <c r="A22" s="15"/>
      <c r="B22" s="236" t="s">
        <v>60</v>
      </c>
      <c r="C22" s="210"/>
      <c r="D22" s="17"/>
      <c r="E22" s="10"/>
      <c r="F22" s="10"/>
      <c r="G22" s="169">
        <f t="shared" si="8"/>
        <v>0</v>
      </c>
      <c r="H22" s="11"/>
      <c r="I22" s="10"/>
      <c r="J22" s="10"/>
      <c r="K22" s="197"/>
      <c r="L22" s="95"/>
      <c r="M22" s="1"/>
      <c r="N22" s="85"/>
      <c r="O22" s="81">
        <f t="shared" si="9"/>
        <v>0</v>
      </c>
      <c r="P22" s="1"/>
      <c r="Q22" s="1"/>
      <c r="R22" s="387"/>
      <c r="S22" s="2"/>
    </row>
    <row r="23" spans="1:19" hidden="1" x14ac:dyDescent="0.25">
      <c r="A23" s="15"/>
      <c r="B23" s="236" t="s">
        <v>61</v>
      </c>
      <c r="C23" s="210"/>
      <c r="D23" s="17"/>
      <c r="E23" s="10"/>
      <c r="F23" s="10"/>
      <c r="G23" s="169">
        <f t="shared" si="8"/>
        <v>0</v>
      </c>
      <c r="H23" s="11"/>
      <c r="I23" s="10"/>
      <c r="J23" s="10"/>
      <c r="K23" s="197"/>
      <c r="L23" s="95"/>
      <c r="M23" s="1"/>
      <c r="N23" s="85"/>
      <c r="O23" s="81">
        <f t="shared" si="9"/>
        <v>0</v>
      </c>
      <c r="P23" s="1"/>
      <c r="Q23" s="1"/>
      <c r="R23" s="387"/>
      <c r="S23" s="2"/>
    </row>
    <row r="24" spans="1:19" hidden="1" x14ac:dyDescent="0.25">
      <c r="A24" s="15"/>
      <c r="B24" s="236" t="s">
        <v>62</v>
      </c>
      <c r="C24" s="211"/>
      <c r="D24" s="183"/>
      <c r="E24" s="13"/>
      <c r="F24" s="13"/>
      <c r="G24" s="169">
        <f t="shared" si="8"/>
        <v>0</v>
      </c>
      <c r="H24" s="14"/>
      <c r="I24" s="13"/>
      <c r="J24" s="13"/>
      <c r="K24" s="198"/>
      <c r="L24" s="95"/>
      <c r="M24" s="1"/>
      <c r="N24" s="85"/>
      <c r="O24" s="81">
        <f t="shared" si="9"/>
        <v>0</v>
      </c>
      <c r="P24" s="1"/>
      <c r="Q24" s="1"/>
      <c r="R24" s="387"/>
      <c r="S24" s="2"/>
    </row>
    <row r="25" spans="1:19" hidden="1" x14ac:dyDescent="0.25">
      <c r="A25" s="15"/>
      <c r="B25" s="236" t="s">
        <v>63</v>
      </c>
      <c r="C25" s="211"/>
      <c r="D25" s="183"/>
      <c r="E25" s="13"/>
      <c r="F25" s="13"/>
      <c r="G25" s="169">
        <f t="shared" si="8"/>
        <v>0</v>
      </c>
      <c r="H25" s="14"/>
      <c r="I25" s="13"/>
      <c r="J25" s="13"/>
      <c r="K25" s="198"/>
      <c r="L25" s="95"/>
      <c r="M25" s="1"/>
      <c r="N25" s="85"/>
      <c r="O25" s="81">
        <f t="shared" si="9"/>
        <v>0</v>
      </c>
      <c r="P25" s="1"/>
      <c r="Q25" s="1"/>
      <c r="R25" s="387"/>
      <c r="S25" s="2"/>
    </row>
    <row r="26" spans="1:19" ht="15.75" x14ac:dyDescent="0.25">
      <c r="A26" s="15"/>
      <c r="B26" s="150"/>
      <c r="C26" s="212" t="s">
        <v>57</v>
      </c>
      <c r="D26" s="270">
        <f>SUM(D18:D25)</f>
        <v>408755.56000000006</v>
      </c>
      <c r="E26" s="18">
        <f t="shared" ref="E26:G26" si="10">SUM(E18:E25)</f>
        <v>0</v>
      </c>
      <c r="F26" s="18">
        <f t="shared" si="10"/>
        <v>0</v>
      </c>
      <c r="G26" s="171">
        <f t="shared" si="10"/>
        <v>408755.56000000006</v>
      </c>
      <c r="H26" s="4">
        <f>(H18*G18)+(H19*G19)+(H20*G20)+(H21*G21)+(H22*G22)+(H23*G23)+(H24*G24)+(H25*G25)</f>
        <v>379914.45000000007</v>
      </c>
      <c r="I26" s="4">
        <f>SUM(I18:I25)</f>
        <v>33396.684967172558</v>
      </c>
      <c r="J26" s="4">
        <f t="shared" ref="J26:K26" si="11">SUM(J18:J25)</f>
        <v>0</v>
      </c>
      <c r="K26" s="170">
        <f t="shared" si="11"/>
        <v>0</v>
      </c>
      <c r="L26" s="96">
        <f>SUM(L18:L25)</f>
        <v>0</v>
      </c>
      <c r="M26" s="96">
        <f t="shared" ref="M26:N26" si="12">SUM(M18:M25)</f>
        <v>408755.56000000006</v>
      </c>
      <c r="N26" s="96">
        <f t="shared" si="12"/>
        <v>408755.56000000006</v>
      </c>
      <c r="O26" s="96">
        <f>SUM(O18:O25)</f>
        <v>408755.56000000006</v>
      </c>
      <c r="P26" s="96">
        <f>SUM(P18:P25)</f>
        <v>33396.684967172558</v>
      </c>
      <c r="Q26" s="96">
        <f t="shared" ref="Q26" si="13">SUM(Q18:Q25)</f>
        <v>0</v>
      </c>
      <c r="R26" s="388"/>
      <c r="S26" s="2"/>
    </row>
    <row r="27" spans="1:19" ht="22.15" customHeight="1" x14ac:dyDescent="0.25">
      <c r="A27" s="15"/>
      <c r="B27" s="235" t="s">
        <v>64</v>
      </c>
      <c r="C27" s="661"/>
      <c r="D27" s="659"/>
      <c r="E27" s="659"/>
      <c r="F27" s="659"/>
      <c r="G27" s="659"/>
      <c r="H27" s="659"/>
      <c r="I27" s="659"/>
      <c r="J27" s="659"/>
      <c r="K27" s="659"/>
      <c r="L27" s="19"/>
      <c r="M27" s="2"/>
      <c r="R27" s="389"/>
      <c r="S27" s="2"/>
    </row>
    <row r="28" spans="1:19" hidden="1" x14ac:dyDescent="0.25">
      <c r="A28" s="15"/>
      <c r="B28" s="236" t="s">
        <v>65</v>
      </c>
      <c r="C28" s="210"/>
      <c r="D28" s="17"/>
      <c r="E28" s="10"/>
      <c r="F28" s="10"/>
      <c r="G28" s="169">
        <f>D28</f>
        <v>0</v>
      </c>
      <c r="H28" s="11"/>
      <c r="I28" s="10"/>
      <c r="J28" s="10"/>
      <c r="K28" s="194"/>
      <c r="L28" s="12"/>
      <c r="M28" s="2"/>
      <c r="R28" s="389"/>
      <c r="S28" s="2"/>
    </row>
    <row r="29" spans="1:19" hidden="1" x14ac:dyDescent="0.25">
      <c r="A29" s="15"/>
      <c r="B29" s="236" t="s">
        <v>66</v>
      </c>
      <c r="C29" s="210"/>
      <c r="D29" s="17"/>
      <c r="E29" s="10"/>
      <c r="F29" s="10"/>
      <c r="G29" s="169">
        <f t="shared" ref="G29:G35" si="14">D29</f>
        <v>0</v>
      </c>
      <c r="H29" s="11"/>
      <c r="I29" s="10"/>
      <c r="J29" s="10"/>
      <c r="K29" s="194"/>
      <c r="L29" s="12"/>
      <c r="M29" s="2"/>
      <c r="R29" s="389"/>
      <c r="S29" s="2"/>
    </row>
    <row r="30" spans="1:19" hidden="1" x14ac:dyDescent="0.25">
      <c r="A30" s="15"/>
      <c r="B30" s="236" t="s">
        <v>67</v>
      </c>
      <c r="C30" s="210"/>
      <c r="D30" s="17"/>
      <c r="E30" s="10"/>
      <c r="F30" s="10"/>
      <c r="G30" s="169">
        <f t="shared" si="14"/>
        <v>0</v>
      </c>
      <c r="H30" s="11"/>
      <c r="I30" s="10"/>
      <c r="J30" s="10"/>
      <c r="K30" s="194"/>
      <c r="L30" s="12"/>
      <c r="M30" s="2"/>
      <c r="R30" s="389"/>
      <c r="S30" s="2"/>
    </row>
    <row r="31" spans="1:19" hidden="1" x14ac:dyDescent="0.25">
      <c r="A31" s="15"/>
      <c r="B31" s="236" t="s">
        <v>68</v>
      </c>
      <c r="C31" s="210"/>
      <c r="D31" s="17"/>
      <c r="E31" s="10"/>
      <c r="F31" s="10"/>
      <c r="G31" s="169">
        <f t="shared" si="14"/>
        <v>0</v>
      </c>
      <c r="H31" s="11"/>
      <c r="I31" s="10"/>
      <c r="J31" s="10"/>
      <c r="K31" s="194"/>
      <c r="L31" s="12"/>
      <c r="M31" s="2"/>
      <c r="R31" s="389"/>
      <c r="S31" s="2"/>
    </row>
    <row r="32" spans="1:19" s="15" customFormat="1" hidden="1" x14ac:dyDescent="0.25">
      <c r="B32" s="236" t="s">
        <v>69</v>
      </c>
      <c r="C32" s="210"/>
      <c r="D32" s="17"/>
      <c r="E32" s="10"/>
      <c r="F32" s="10"/>
      <c r="G32" s="169">
        <f t="shared" si="14"/>
        <v>0</v>
      </c>
      <c r="H32" s="11"/>
      <c r="I32" s="10"/>
      <c r="J32" s="10"/>
      <c r="K32" s="194"/>
      <c r="L32" s="12"/>
      <c r="M32" s="20"/>
      <c r="N32" s="76"/>
      <c r="P32" s="3"/>
      <c r="R32" s="390"/>
      <c r="S32" s="20"/>
    </row>
    <row r="33" spans="1:19" s="15" customFormat="1" hidden="1" x14ac:dyDescent="0.25">
      <c r="B33" s="236" t="s">
        <v>70</v>
      </c>
      <c r="C33" s="210"/>
      <c r="D33" s="17"/>
      <c r="E33" s="10"/>
      <c r="F33" s="10"/>
      <c r="G33" s="169">
        <f t="shared" si="14"/>
        <v>0</v>
      </c>
      <c r="H33" s="11"/>
      <c r="I33" s="10"/>
      <c r="J33" s="10"/>
      <c r="K33" s="194"/>
      <c r="L33" s="12"/>
      <c r="M33" s="20"/>
      <c r="N33" s="76"/>
      <c r="P33" s="3"/>
      <c r="R33" s="390"/>
      <c r="S33" s="20"/>
    </row>
    <row r="34" spans="1:19" s="15" customFormat="1" hidden="1" x14ac:dyDescent="0.25">
      <c r="A34" s="3"/>
      <c r="B34" s="236" t="s">
        <v>71</v>
      </c>
      <c r="C34" s="211"/>
      <c r="D34" s="183"/>
      <c r="E34" s="13"/>
      <c r="F34" s="13"/>
      <c r="G34" s="169">
        <f t="shared" si="14"/>
        <v>0</v>
      </c>
      <c r="H34" s="14"/>
      <c r="I34" s="13"/>
      <c r="J34" s="13"/>
      <c r="K34" s="195"/>
      <c r="L34" s="12"/>
      <c r="M34" s="20"/>
      <c r="N34" s="76"/>
      <c r="P34" s="3"/>
      <c r="R34" s="390"/>
      <c r="S34" s="20"/>
    </row>
    <row r="35" spans="1:19" hidden="1" x14ac:dyDescent="0.25">
      <c r="B35" s="236" t="s">
        <v>72</v>
      </c>
      <c r="C35" s="211"/>
      <c r="D35" s="183"/>
      <c r="E35" s="13"/>
      <c r="F35" s="13"/>
      <c r="G35" s="169">
        <f t="shared" si="14"/>
        <v>0</v>
      </c>
      <c r="H35" s="14"/>
      <c r="I35" s="13"/>
      <c r="J35" s="13"/>
      <c r="K35" s="195"/>
      <c r="L35" s="12"/>
      <c r="M35" s="2"/>
      <c r="R35" s="389"/>
      <c r="S35" s="2"/>
    </row>
    <row r="36" spans="1:19" x14ac:dyDescent="0.25">
      <c r="B36" s="150"/>
      <c r="C36" s="212" t="s">
        <v>57</v>
      </c>
      <c r="D36" s="170">
        <f>SUM(D28:D35)</f>
        <v>0</v>
      </c>
      <c r="E36" s="4">
        <f t="shared" ref="E36:G36" si="15">SUM(E28:E35)</f>
        <v>0</v>
      </c>
      <c r="F36" s="4">
        <f t="shared" si="15"/>
        <v>0</v>
      </c>
      <c r="G36" s="170">
        <f t="shared" si="15"/>
        <v>0</v>
      </c>
      <c r="H36" s="4">
        <f>(H28*G28)+(H29*G29)+(H30*G30)+(H31*G31)+(H32*G32)+(H33*G33)+(H34*G34)+(H35*G35)</f>
        <v>0</v>
      </c>
      <c r="I36" s="4">
        <f>SUM(I28:I35)</f>
        <v>0</v>
      </c>
      <c r="J36" s="16"/>
      <c r="K36" s="195"/>
      <c r="L36" s="21"/>
      <c r="M36" s="2"/>
      <c r="R36" s="389"/>
      <c r="S36" s="2"/>
    </row>
    <row r="37" spans="1:19" ht="17.100000000000001" customHeight="1" x14ac:dyDescent="0.25">
      <c r="B37" s="235" t="s">
        <v>73</v>
      </c>
      <c r="C37" s="661"/>
      <c r="D37" s="659"/>
      <c r="E37" s="659"/>
      <c r="F37" s="659"/>
      <c r="G37" s="659"/>
      <c r="H37" s="659"/>
      <c r="I37" s="660"/>
      <c r="J37" s="660"/>
      <c r="K37" s="659"/>
      <c r="L37" s="19"/>
      <c r="M37" s="2"/>
      <c r="R37" s="389"/>
      <c r="S37" s="2"/>
    </row>
    <row r="38" spans="1:19" hidden="1" x14ac:dyDescent="0.25">
      <c r="B38" s="236" t="s">
        <v>74</v>
      </c>
      <c r="C38" s="210"/>
      <c r="D38" s="17"/>
      <c r="E38" s="10"/>
      <c r="F38" s="10"/>
      <c r="G38" s="169">
        <f>D38</f>
        <v>0</v>
      </c>
      <c r="H38" s="11"/>
      <c r="I38" s="10"/>
      <c r="J38" s="10"/>
      <c r="K38" s="194"/>
      <c r="L38" s="12"/>
      <c r="M38" s="2"/>
      <c r="R38" s="389"/>
      <c r="S38" s="2"/>
    </row>
    <row r="39" spans="1:19" hidden="1" x14ac:dyDescent="0.25">
      <c r="B39" s="236" t="s">
        <v>75</v>
      </c>
      <c r="C39" s="210"/>
      <c r="D39" s="17"/>
      <c r="E39" s="10"/>
      <c r="F39" s="10"/>
      <c r="G39" s="169">
        <f t="shared" ref="G39:G45" si="16">D39</f>
        <v>0</v>
      </c>
      <c r="H39" s="11"/>
      <c r="I39" s="10"/>
      <c r="J39" s="10"/>
      <c r="K39" s="194"/>
      <c r="L39" s="12"/>
      <c r="M39" s="2"/>
      <c r="R39" s="389"/>
      <c r="S39" s="2"/>
    </row>
    <row r="40" spans="1:19" hidden="1" x14ac:dyDescent="0.25">
      <c r="B40" s="236" t="s">
        <v>76</v>
      </c>
      <c r="C40" s="210"/>
      <c r="D40" s="17"/>
      <c r="E40" s="10"/>
      <c r="F40" s="10"/>
      <c r="G40" s="169">
        <f t="shared" si="16"/>
        <v>0</v>
      </c>
      <c r="H40" s="11"/>
      <c r="I40" s="10"/>
      <c r="J40" s="10"/>
      <c r="K40" s="194"/>
      <c r="L40" s="12"/>
      <c r="M40" s="2"/>
      <c r="R40" s="389"/>
      <c r="S40" s="2"/>
    </row>
    <row r="41" spans="1:19" hidden="1" x14ac:dyDescent="0.25">
      <c r="B41" s="236" t="s">
        <v>77</v>
      </c>
      <c r="C41" s="210"/>
      <c r="D41" s="17"/>
      <c r="E41" s="10"/>
      <c r="F41" s="10"/>
      <c r="G41" s="169">
        <f t="shared" si="16"/>
        <v>0</v>
      </c>
      <c r="H41" s="11"/>
      <c r="I41" s="10"/>
      <c r="J41" s="10"/>
      <c r="K41" s="194"/>
      <c r="L41" s="12"/>
      <c r="M41" s="2"/>
      <c r="R41" s="389"/>
      <c r="S41" s="2"/>
    </row>
    <row r="42" spans="1:19" hidden="1" x14ac:dyDescent="0.25">
      <c r="B42" s="236" t="s">
        <v>78</v>
      </c>
      <c r="C42" s="210"/>
      <c r="D42" s="17"/>
      <c r="E42" s="10"/>
      <c r="F42" s="10"/>
      <c r="G42" s="169">
        <f t="shared" si="16"/>
        <v>0</v>
      </c>
      <c r="H42" s="11"/>
      <c r="I42" s="10"/>
      <c r="J42" s="10"/>
      <c r="K42" s="194"/>
      <c r="L42" s="12"/>
      <c r="M42" s="2"/>
      <c r="R42" s="389"/>
      <c r="S42" s="2"/>
    </row>
    <row r="43" spans="1:19" hidden="1" x14ac:dyDescent="0.25">
      <c r="A43" s="15"/>
      <c r="B43" s="236" t="s">
        <v>79</v>
      </c>
      <c r="C43" s="210"/>
      <c r="D43" s="17"/>
      <c r="E43" s="10"/>
      <c r="F43" s="10"/>
      <c r="G43" s="169">
        <f t="shared" si="16"/>
        <v>0</v>
      </c>
      <c r="H43" s="11"/>
      <c r="I43" s="10"/>
      <c r="J43" s="10"/>
      <c r="K43" s="194"/>
      <c r="L43" s="12"/>
      <c r="M43" s="2"/>
      <c r="R43" s="389"/>
      <c r="S43" s="2"/>
    </row>
    <row r="44" spans="1:19" s="15" customFormat="1" hidden="1" x14ac:dyDescent="0.25">
      <c r="A44" s="3"/>
      <c r="B44" s="236" t="s">
        <v>80</v>
      </c>
      <c r="C44" s="211"/>
      <c r="D44" s="183"/>
      <c r="E44" s="13"/>
      <c r="F44" s="13"/>
      <c r="G44" s="169">
        <f t="shared" si="16"/>
        <v>0</v>
      </c>
      <c r="H44" s="14"/>
      <c r="I44" s="13"/>
      <c r="J44" s="13"/>
      <c r="K44" s="195"/>
      <c r="L44" s="12"/>
      <c r="M44" s="20"/>
      <c r="N44" s="76"/>
      <c r="P44" s="3"/>
      <c r="R44" s="390"/>
      <c r="S44" s="20"/>
    </row>
    <row r="45" spans="1:19" hidden="1" x14ac:dyDescent="0.25">
      <c r="B45" s="236" t="s">
        <v>81</v>
      </c>
      <c r="C45" s="211"/>
      <c r="D45" s="183"/>
      <c r="E45" s="13"/>
      <c r="F45" s="13"/>
      <c r="G45" s="169">
        <f t="shared" si="16"/>
        <v>0</v>
      </c>
      <c r="H45" s="14"/>
      <c r="I45" s="13"/>
      <c r="J45" s="13"/>
      <c r="K45" s="195"/>
      <c r="L45" s="12"/>
      <c r="M45" s="2"/>
      <c r="R45" s="389"/>
      <c r="S45" s="2"/>
    </row>
    <row r="46" spans="1:19" x14ac:dyDescent="0.25">
      <c r="B46" s="150"/>
      <c r="C46" s="212" t="s">
        <v>57</v>
      </c>
      <c r="D46" s="170">
        <f>SUM(D38:D45)</f>
        <v>0</v>
      </c>
      <c r="E46" s="4">
        <f t="shared" ref="E46:G46" si="17">SUM(E38:E45)</f>
        <v>0</v>
      </c>
      <c r="F46" s="4">
        <f t="shared" si="17"/>
        <v>0</v>
      </c>
      <c r="G46" s="170">
        <f t="shared" si="17"/>
        <v>0</v>
      </c>
      <c r="H46" s="4">
        <f>(H38*G38)+(H39*G39)+(H40*G40)+(H41*G41)+(H42*G42)+(H43*G43)+(H44*G44)+(H45*G45)</f>
        <v>0</v>
      </c>
      <c r="I46" s="4">
        <f>SUM(I38:I45)</f>
        <v>0</v>
      </c>
      <c r="J46" s="16"/>
      <c r="K46" s="195"/>
      <c r="L46" s="21"/>
      <c r="M46" s="2"/>
      <c r="R46" s="389"/>
      <c r="S46" s="2"/>
    </row>
    <row r="47" spans="1:19" x14ac:dyDescent="0.25">
      <c r="B47" s="237"/>
      <c r="C47" s="213"/>
      <c r="D47" s="172"/>
      <c r="E47" s="100"/>
      <c r="F47" s="100"/>
      <c r="G47" s="172"/>
      <c r="H47" s="100"/>
      <c r="I47" s="100"/>
      <c r="J47" s="100"/>
      <c r="K47" s="172"/>
      <c r="L47" s="101"/>
      <c r="M47" s="102"/>
      <c r="R47" s="389"/>
      <c r="S47" s="2"/>
    </row>
    <row r="48" spans="1:19" ht="26.1" customHeight="1" x14ac:dyDescent="0.25">
      <c r="B48" s="235" t="s">
        <v>15</v>
      </c>
      <c r="C48" s="639" t="s">
        <v>252</v>
      </c>
      <c r="D48" s="640"/>
      <c r="E48" s="640"/>
      <c r="F48" s="640"/>
      <c r="G48" s="640"/>
      <c r="H48" s="640"/>
      <c r="I48" s="640"/>
      <c r="J48" s="640"/>
      <c r="K48" s="640"/>
      <c r="L48" s="640"/>
      <c r="M48" s="640"/>
      <c r="N48" s="640"/>
      <c r="O48" s="640"/>
      <c r="P48" s="640"/>
      <c r="Q48" s="640"/>
      <c r="R48" s="641"/>
      <c r="S48" s="2"/>
    </row>
    <row r="49" spans="1:19" ht="20.100000000000001" customHeight="1" thickBot="1" x14ac:dyDescent="0.3">
      <c r="B49" s="235" t="s">
        <v>214</v>
      </c>
      <c r="C49" s="639" t="s">
        <v>253</v>
      </c>
      <c r="D49" s="640"/>
      <c r="E49" s="640"/>
      <c r="F49" s="640"/>
      <c r="G49" s="640"/>
      <c r="H49" s="640"/>
      <c r="I49" s="640"/>
      <c r="J49" s="640"/>
      <c r="K49" s="640"/>
      <c r="L49" s="640"/>
      <c r="M49" s="640"/>
      <c r="N49" s="640"/>
      <c r="O49" s="640"/>
      <c r="P49" s="640"/>
      <c r="Q49" s="640"/>
      <c r="R49" s="641"/>
      <c r="S49" s="2"/>
    </row>
    <row r="50" spans="1:19" ht="95.25" thickBot="1" x14ac:dyDescent="0.3">
      <c r="B50" s="236" t="s">
        <v>16</v>
      </c>
      <c r="C50" s="214" t="s">
        <v>254</v>
      </c>
      <c r="D50" s="9">
        <f>+Summary!I16</f>
        <v>30858.489999999998</v>
      </c>
      <c r="E50" s="9"/>
      <c r="F50" s="9"/>
      <c r="G50" s="169">
        <f>D50</f>
        <v>30858.489999999998</v>
      </c>
      <c r="H50" s="11">
        <v>1</v>
      </c>
      <c r="I50" s="361">
        <f>SUMIF('6)Transaction List'!G:G,"A.2.1.1",'6)Transaction List'!M:M)+'6)Transaction List'!Z785</f>
        <v>16149.577917107878</v>
      </c>
      <c r="J50" s="192" t="s">
        <v>284</v>
      </c>
      <c r="K50" s="199" t="s">
        <v>50</v>
      </c>
      <c r="L50" s="80">
        <v>0</v>
      </c>
      <c r="M50" s="81">
        <f>D50-L50</f>
        <v>30858.489999999998</v>
      </c>
      <c r="N50" s="81">
        <f>M50</f>
        <v>30858.489999999998</v>
      </c>
      <c r="O50" s="82">
        <f t="shared" ref="O50:O51" si="18">+N50-L50</f>
        <v>30858.489999999998</v>
      </c>
      <c r="P50" s="356">
        <f t="shared" ref="P50:P51" si="19">I50</f>
        <v>16149.577917107878</v>
      </c>
      <c r="Q50" s="86"/>
      <c r="R50" s="384">
        <f>P50/G50</f>
        <v>0.5233431032143141</v>
      </c>
      <c r="S50" s="2"/>
    </row>
    <row r="51" spans="1:19" ht="79.5" thickBot="1" x14ac:dyDescent="0.3">
      <c r="B51" s="236" t="s">
        <v>17</v>
      </c>
      <c r="C51" s="215" t="s">
        <v>255</v>
      </c>
      <c r="D51" s="9">
        <f>+Summary!I17</f>
        <v>29064.45</v>
      </c>
      <c r="E51" s="9"/>
      <c r="F51" s="9"/>
      <c r="G51" s="169">
        <f t="shared" ref="G51:G57" si="20">D51</f>
        <v>29064.45</v>
      </c>
      <c r="H51" s="11">
        <v>1</v>
      </c>
      <c r="I51" s="361">
        <f>SUMIF('6)Transaction List'!G:G,"A.2.1.2",'6)Transaction List'!M:M)+'6)Transaction List'!AA785</f>
        <v>1886.561986208188</v>
      </c>
      <c r="J51" s="192" t="s">
        <v>285</v>
      </c>
      <c r="K51" s="199" t="s">
        <v>50</v>
      </c>
      <c r="L51" s="80">
        <v>0</v>
      </c>
      <c r="M51" s="81">
        <f>D51-L51</f>
        <v>29064.45</v>
      </c>
      <c r="N51" s="81">
        <f>M51</f>
        <v>29064.45</v>
      </c>
      <c r="O51" s="82">
        <f t="shared" si="18"/>
        <v>29064.45</v>
      </c>
      <c r="P51" s="356">
        <f t="shared" si="19"/>
        <v>1886.561986208188</v>
      </c>
      <c r="Q51" s="86"/>
      <c r="R51" s="384">
        <f>P51/G51</f>
        <v>6.4909605590616301E-2</v>
      </c>
      <c r="S51" s="2"/>
    </row>
    <row r="52" spans="1:19" hidden="1" x14ac:dyDescent="0.25">
      <c r="B52" s="236" t="s">
        <v>82</v>
      </c>
      <c r="C52" s="216"/>
      <c r="D52" s="17"/>
      <c r="E52" s="9"/>
      <c r="F52" s="9"/>
      <c r="G52" s="169">
        <f t="shared" si="20"/>
        <v>0</v>
      </c>
      <c r="H52" s="97"/>
      <c r="I52" s="9"/>
      <c r="J52" s="9"/>
      <c r="K52" s="199"/>
      <c r="L52" s="80"/>
      <c r="M52" s="86"/>
      <c r="N52" s="107"/>
      <c r="O52" s="86"/>
      <c r="P52" s="86"/>
      <c r="Q52" s="86"/>
      <c r="R52" s="384"/>
      <c r="S52" s="2"/>
    </row>
    <row r="53" spans="1:19" hidden="1" x14ac:dyDescent="0.25">
      <c r="B53" s="236" t="s">
        <v>83</v>
      </c>
      <c r="C53" s="216"/>
      <c r="D53" s="17"/>
      <c r="E53" s="9"/>
      <c r="F53" s="9"/>
      <c r="G53" s="169">
        <f t="shared" si="20"/>
        <v>0</v>
      </c>
      <c r="H53" s="97"/>
      <c r="I53" s="9"/>
      <c r="J53" s="9"/>
      <c r="K53" s="199"/>
      <c r="L53" s="80"/>
      <c r="M53" s="86"/>
      <c r="N53" s="107"/>
      <c r="O53" s="86"/>
      <c r="P53" s="86"/>
      <c r="Q53" s="86"/>
      <c r="R53" s="384"/>
      <c r="S53" s="2"/>
    </row>
    <row r="54" spans="1:19" hidden="1" x14ac:dyDescent="0.25">
      <c r="B54" s="236" t="s">
        <v>84</v>
      </c>
      <c r="C54" s="216"/>
      <c r="D54" s="17"/>
      <c r="E54" s="9"/>
      <c r="F54" s="9"/>
      <c r="G54" s="169">
        <f t="shared" si="20"/>
        <v>0</v>
      </c>
      <c r="H54" s="97"/>
      <c r="I54" s="9"/>
      <c r="J54" s="9"/>
      <c r="K54" s="199"/>
      <c r="L54" s="80"/>
      <c r="M54" s="86"/>
      <c r="N54" s="107"/>
      <c r="O54" s="86"/>
      <c r="P54" s="86"/>
      <c r="Q54" s="86"/>
      <c r="R54" s="384"/>
      <c r="S54" s="2"/>
    </row>
    <row r="55" spans="1:19" hidden="1" x14ac:dyDescent="0.25">
      <c r="B55" s="236" t="s">
        <v>85</v>
      </c>
      <c r="C55" s="216"/>
      <c r="D55" s="17"/>
      <c r="E55" s="9"/>
      <c r="F55" s="9"/>
      <c r="G55" s="169">
        <f t="shared" si="20"/>
        <v>0</v>
      </c>
      <c r="H55" s="97"/>
      <c r="I55" s="9"/>
      <c r="J55" s="9"/>
      <c r="K55" s="199"/>
      <c r="L55" s="80"/>
      <c r="M55" s="86"/>
      <c r="N55" s="107"/>
      <c r="O55" s="86"/>
      <c r="P55" s="86"/>
      <c r="Q55" s="86"/>
      <c r="R55" s="384"/>
      <c r="S55" s="2"/>
    </row>
    <row r="56" spans="1:19" hidden="1" x14ac:dyDescent="0.25">
      <c r="A56" s="15"/>
      <c r="B56" s="236" t="s">
        <v>86</v>
      </c>
      <c r="C56" s="217"/>
      <c r="D56" s="183"/>
      <c r="E56" s="98"/>
      <c r="F56" s="98"/>
      <c r="G56" s="169">
        <f t="shared" si="20"/>
        <v>0</v>
      </c>
      <c r="H56" s="99"/>
      <c r="I56" s="98"/>
      <c r="J56" s="98"/>
      <c r="K56" s="200"/>
      <c r="L56" s="80"/>
      <c r="M56" s="86"/>
      <c r="N56" s="107"/>
      <c r="O56" s="86"/>
      <c r="P56" s="86"/>
      <c r="Q56" s="86"/>
      <c r="R56" s="384"/>
      <c r="S56" s="2"/>
    </row>
    <row r="57" spans="1:19" s="15" customFormat="1" hidden="1" x14ac:dyDescent="0.25">
      <c r="B57" s="236" t="s">
        <v>87</v>
      </c>
      <c r="C57" s="217"/>
      <c r="D57" s="183"/>
      <c r="E57" s="98"/>
      <c r="F57" s="98"/>
      <c r="G57" s="169">
        <f t="shared" si="20"/>
        <v>0</v>
      </c>
      <c r="H57" s="99"/>
      <c r="I57" s="98"/>
      <c r="J57" s="98"/>
      <c r="K57" s="200"/>
      <c r="L57" s="80"/>
      <c r="M57" s="108"/>
      <c r="N57" s="109"/>
      <c r="O57" s="110"/>
      <c r="P57" s="86"/>
      <c r="Q57" s="110"/>
      <c r="R57" s="391"/>
      <c r="S57" s="20"/>
    </row>
    <row r="58" spans="1:19" s="15" customFormat="1" ht="15.75" x14ac:dyDescent="0.25">
      <c r="A58" s="3"/>
      <c r="B58" s="150"/>
      <c r="C58" s="218" t="s">
        <v>57</v>
      </c>
      <c r="D58" s="91">
        <f>SUM(D50:D57)</f>
        <v>59922.94</v>
      </c>
      <c r="E58" s="91">
        <f t="shared" ref="E58:G58" si="21">SUM(E50:E57)</f>
        <v>0</v>
      </c>
      <c r="F58" s="91">
        <f t="shared" si="21"/>
        <v>0</v>
      </c>
      <c r="G58" s="173">
        <f t="shared" si="21"/>
        <v>59922.94</v>
      </c>
      <c r="H58" s="91">
        <f>(H50*G50)+(H51*G51)+(H52*G52)+(H53*G53)+(H54*G54)+(H55*G55)+(H56*G56)+(H57*G57)</f>
        <v>59922.94</v>
      </c>
      <c r="I58" s="91">
        <f>SUM(I50:I57)</f>
        <v>18036.139903316067</v>
      </c>
      <c r="J58" s="91"/>
      <c r="K58" s="173"/>
      <c r="L58" s="91">
        <f>SUM(L50:L51)</f>
        <v>0</v>
      </c>
      <c r="M58" s="91">
        <f t="shared" ref="M58:P58" si="22">SUM(M50:M51)</f>
        <v>59922.94</v>
      </c>
      <c r="N58" s="91">
        <f t="shared" si="22"/>
        <v>59922.94</v>
      </c>
      <c r="O58" s="91">
        <f t="shared" si="22"/>
        <v>59922.94</v>
      </c>
      <c r="P58" s="91">
        <f t="shared" si="22"/>
        <v>18036.139903316067</v>
      </c>
      <c r="Q58" s="91">
        <f t="shared" ref="Q58" si="23">SUM(Q50:Q51)</f>
        <v>0</v>
      </c>
      <c r="R58" s="392"/>
      <c r="S58" s="20"/>
    </row>
    <row r="59" spans="1:19" ht="51" customHeight="1" thickBot="1" x14ac:dyDescent="0.3">
      <c r="B59" s="235" t="s">
        <v>18</v>
      </c>
      <c r="C59" s="664" t="s">
        <v>256</v>
      </c>
      <c r="D59" s="662"/>
      <c r="E59" s="662"/>
      <c r="F59" s="662"/>
      <c r="G59" s="662"/>
      <c r="H59" s="662"/>
      <c r="I59" s="662"/>
      <c r="J59" s="662"/>
      <c r="K59" s="662"/>
      <c r="L59" s="662"/>
      <c r="M59" s="662"/>
      <c r="N59" s="662"/>
      <c r="O59" s="662"/>
      <c r="P59" s="662"/>
      <c r="Q59" s="662"/>
      <c r="R59" s="665"/>
      <c r="S59" s="2"/>
    </row>
    <row r="60" spans="1:19" ht="95.25" thickBot="1" x14ac:dyDescent="0.3">
      <c r="B60" s="236" t="s">
        <v>19</v>
      </c>
      <c r="C60" s="215" t="s">
        <v>257</v>
      </c>
      <c r="D60" s="9">
        <f>+Summary!I19</f>
        <v>92908.719999999987</v>
      </c>
      <c r="E60" s="10"/>
      <c r="F60" s="10"/>
      <c r="G60" s="169">
        <f>D60</f>
        <v>92908.719999999987</v>
      </c>
      <c r="H60" s="11">
        <v>1</v>
      </c>
      <c r="I60" s="361">
        <f>SUMIF('6)Transaction List'!G:G,"A.2.2.1",'6)Transaction List'!M:M)+'6)Transaction List'!AC785</f>
        <v>7732.4124668736604</v>
      </c>
      <c r="J60" s="192" t="s">
        <v>286</v>
      </c>
      <c r="K60" s="193" t="s">
        <v>50</v>
      </c>
      <c r="L60" s="80">
        <v>0</v>
      </c>
      <c r="M60" s="81">
        <f>D60-L60</f>
        <v>92908.719999999987</v>
      </c>
      <c r="N60" s="81">
        <f>M60</f>
        <v>92908.719999999987</v>
      </c>
      <c r="O60" s="82">
        <f t="shared" ref="O60:O62" si="24">+N60-L60</f>
        <v>92908.719999999987</v>
      </c>
      <c r="P60" s="356">
        <f t="shared" ref="P60:P62" si="25">I60</f>
        <v>7732.4124668736604</v>
      </c>
      <c r="Q60" s="83"/>
      <c r="R60" s="384">
        <f>P60/G60</f>
        <v>8.3225906748835426E-2</v>
      </c>
      <c r="S60" s="2"/>
    </row>
    <row r="61" spans="1:19" ht="79.5" thickBot="1" x14ac:dyDescent="0.3">
      <c r="B61" s="236" t="s">
        <v>20</v>
      </c>
      <c r="C61" s="210" t="s">
        <v>258</v>
      </c>
      <c r="D61" s="9">
        <f>+Summary!I20</f>
        <v>202241.89999999994</v>
      </c>
      <c r="E61" s="10"/>
      <c r="F61" s="10"/>
      <c r="G61" s="169">
        <f t="shared" ref="G61:G67" si="26">D61</f>
        <v>202241.89999999994</v>
      </c>
      <c r="H61" s="11">
        <v>1</v>
      </c>
      <c r="I61" s="361">
        <f>SUMIF('6)Transaction List'!G:G,"A.2.2.2",'6)Transaction List'!M:M)+'6)Transaction List'!AD785</f>
        <v>13151.580595355457</v>
      </c>
      <c r="J61" s="192" t="s">
        <v>287</v>
      </c>
      <c r="K61" s="193" t="s">
        <v>50</v>
      </c>
      <c r="L61" s="80">
        <v>0</v>
      </c>
      <c r="M61" s="81">
        <f>D61-L61</f>
        <v>202241.89999999994</v>
      </c>
      <c r="N61" s="81">
        <f>M61</f>
        <v>202241.89999999994</v>
      </c>
      <c r="O61" s="82">
        <f t="shared" si="24"/>
        <v>202241.89999999994</v>
      </c>
      <c r="P61" s="356">
        <f t="shared" si="25"/>
        <v>13151.580595355457</v>
      </c>
      <c r="Q61" s="83"/>
      <c r="R61" s="384">
        <f>P61/G61</f>
        <v>6.5028960840238653E-2</v>
      </c>
      <c r="S61" s="2"/>
    </row>
    <row r="62" spans="1:19" ht="95.25" thickBot="1" x14ac:dyDescent="0.3">
      <c r="B62" s="236" t="s">
        <v>21</v>
      </c>
      <c r="C62" s="271" t="s">
        <v>259</v>
      </c>
      <c r="D62" s="9">
        <f>+Summary!I21</f>
        <v>32232.119999999995</v>
      </c>
      <c r="E62" s="10"/>
      <c r="F62" s="10"/>
      <c r="G62" s="169">
        <f t="shared" si="26"/>
        <v>32232.119999999995</v>
      </c>
      <c r="H62" s="11">
        <v>1</v>
      </c>
      <c r="I62" s="361">
        <f>SUMIF('6)Transaction List'!G:G,"A.2.2.3",'6)Transaction List'!M:M)+'6)Transaction List'!AE785</f>
        <v>2096.0239626631073</v>
      </c>
      <c r="J62" s="192" t="s">
        <v>288</v>
      </c>
      <c r="K62" s="193" t="s">
        <v>88</v>
      </c>
      <c r="L62" s="80">
        <v>0</v>
      </c>
      <c r="M62" s="81">
        <f>D62-L62</f>
        <v>32232.119999999995</v>
      </c>
      <c r="N62" s="81">
        <f>M62</f>
        <v>32232.119999999995</v>
      </c>
      <c r="O62" s="82">
        <f t="shared" si="24"/>
        <v>32232.119999999995</v>
      </c>
      <c r="P62" s="356">
        <f t="shared" si="25"/>
        <v>2096.0239626631073</v>
      </c>
      <c r="Q62" s="83"/>
      <c r="R62" s="384">
        <f>P62/G62</f>
        <v>6.5029044402388284E-2</v>
      </c>
      <c r="S62" s="2"/>
    </row>
    <row r="63" spans="1:19" hidden="1" x14ac:dyDescent="0.25">
      <c r="B63" s="236" t="s">
        <v>89</v>
      </c>
      <c r="C63" s="210"/>
      <c r="D63" s="17"/>
      <c r="E63" s="10"/>
      <c r="F63" s="10"/>
      <c r="G63" s="169">
        <f t="shared" si="26"/>
        <v>0</v>
      </c>
      <c r="H63" s="11"/>
      <c r="I63" s="10"/>
      <c r="J63" s="10"/>
      <c r="K63" s="194"/>
      <c r="L63" s="80"/>
      <c r="M63" s="5"/>
      <c r="N63" s="85"/>
      <c r="O63" s="5"/>
      <c r="P63" s="5"/>
      <c r="Q63" s="5"/>
      <c r="R63" s="387"/>
      <c r="S63" s="2"/>
    </row>
    <row r="64" spans="1:19" hidden="1" x14ac:dyDescent="0.25">
      <c r="B64" s="236" t="s">
        <v>90</v>
      </c>
      <c r="C64" s="210"/>
      <c r="D64" s="17"/>
      <c r="E64" s="10"/>
      <c r="F64" s="10"/>
      <c r="G64" s="169">
        <f t="shared" si="26"/>
        <v>0</v>
      </c>
      <c r="H64" s="11"/>
      <c r="I64" s="10"/>
      <c r="J64" s="10"/>
      <c r="K64" s="194"/>
      <c r="L64" s="80"/>
      <c r="M64" s="5"/>
      <c r="N64" s="85"/>
      <c r="O64" s="5"/>
      <c r="P64" s="5"/>
      <c r="Q64" s="5"/>
      <c r="R64" s="385"/>
      <c r="S64" s="2"/>
    </row>
    <row r="65" spans="1:19" hidden="1" x14ac:dyDescent="0.25">
      <c r="B65" s="236" t="s">
        <v>91</v>
      </c>
      <c r="C65" s="210"/>
      <c r="D65" s="17"/>
      <c r="E65" s="10"/>
      <c r="F65" s="10"/>
      <c r="G65" s="169">
        <f t="shared" si="26"/>
        <v>0</v>
      </c>
      <c r="H65" s="11"/>
      <c r="I65" s="10"/>
      <c r="J65" s="10"/>
      <c r="K65" s="194"/>
      <c r="L65" s="80"/>
      <c r="M65" s="5"/>
      <c r="N65" s="85"/>
      <c r="O65" s="5"/>
      <c r="P65" s="5"/>
      <c r="Q65" s="5"/>
      <c r="R65" s="385"/>
      <c r="S65" s="2"/>
    </row>
    <row r="66" spans="1:19" hidden="1" x14ac:dyDescent="0.25">
      <c r="B66" s="236" t="s">
        <v>92</v>
      </c>
      <c r="C66" s="211"/>
      <c r="D66" s="183"/>
      <c r="E66" s="13"/>
      <c r="F66" s="13"/>
      <c r="G66" s="169">
        <f t="shared" si="26"/>
        <v>0</v>
      </c>
      <c r="H66" s="14"/>
      <c r="I66" s="13"/>
      <c r="J66" s="13"/>
      <c r="K66" s="195"/>
      <c r="L66" s="80"/>
      <c r="M66" s="5"/>
      <c r="N66" s="85"/>
      <c r="O66" s="5"/>
      <c r="P66" s="5"/>
      <c r="Q66" s="5"/>
      <c r="R66" s="385"/>
      <c r="S66" s="2"/>
    </row>
    <row r="67" spans="1:19" hidden="1" x14ac:dyDescent="0.25">
      <c r="B67" s="236" t="s">
        <v>93</v>
      </c>
      <c r="C67" s="211"/>
      <c r="D67" s="183"/>
      <c r="E67" s="13"/>
      <c r="F67" s="13"/>
      <c r="G67" s="169">
        <f t="shared" si="26"/>
        <v>0</v>
      </c>
      <c r="H67" s="14"/>
      <c r="I67" s="13"/>
      <c r="J67" s="13"/>
      <c r="K67" s="195"/>
      <c r="L67" s="80"/>
      <c r="M67" s="5"/>
      <c r="N67" s="85"/>
      <c r="O67" s="5"/>
      <c r="P67" s="5"/>
      <c r="Q67" s="5"/>
      <c r="R67" s="385"/>
      <c r="S67" s="2"/>
    </row>
    <row r="68" spans="1:19" ht="15.75" x14ac:dyDescent="0.25">
      <c r="B68" s="150"/>
      <c r="C68" s="212" t="s">
        <v>57</v>
      </c>
      <c r="D68" s="113">
        <f>SUM(D60:D67)</f>
        <v>327382.73999999993</v>
      </c>
      <c r="E68" s="4">
        <f t="shared" ref="E68:G68" si="27">SUM(E60:E67)</f>
        <v>0</v>
      </c>
      <c r="F68" s="4">
        <f t="shared" si="27"/>
        <v>0</v>
      </c>
      <c r="G68" s="113">
        <f t="shared" si="27"/>
        <v>327382.73999999993</v>
      </c>
      <c r="H68" s="4">
        <f>(H60*G60)+(H61*G61)+(H62*G62)+(H63*G63)+(H64*G64)+(H65*G65)+(H66*G66)+(H67*G67)</f>
        <v>327382.73999999993</v>
      </c>
      <c r="I68" s="4">
        <f>SUM(I60:I67)</f>
        <v>22980.017024892226</v>
      </c>
      <c r="J68" s="22"/>
      <c r="K68" s="201"/>
      <c r="L68" s="91">
        <f>SUM(L60:L63)</f>
        <v>0</v>
      </c>
      <c r="M68" s="91">
        <f t="shared" ref="M68:N68" si="28">SUM(M60:M63)</f>
        <v>327382.73999999993</v>
      </c>
      <c r="N68" s="91">
        <f t="shared" si="28"/>
        <v>327382.73999999993</v>
      </c>
      <c r="O68" s="91">
        <f>SUM(O60:O63)</f>
        <v>327382.73999999993</v>
      </c>
      <c r="P68" s="91">
        <f>SUM(P60:P63)</f>
        <v>22980.017024892226</v>
      </c>
      <c r="Q68" s="91">
        <f t="shared" ref="Q68" si="29">SUM(Q60:Q63)</f>
        <v>0</v>
      </c>
      <c r="R68" s="392"/>
      <c r="S68" s="2"/>
    </row>
    <row r="69" spans="1:19" ht="51" customHeight="1" thickBot="1" x14ac:dyDescent="0.3">
      <c r="B69" s="290" t="s">
        <v>94</v>
      </c>
      <c r="C69" s="662" t="s">
        <v>260</v>
      </c>
      <c r="D69" s="662"/>
      <c r="E69" s="662"/>
      <c r="F69" s="662"/>
      <c r="G69" s="662"/>
      <c r="H69" s="662"/>
      <c r="I69" s="663"/>
      <c r="J69" s="663"/>
      <c r="K69" s="662"/>
      <c r="L69" s="19"/>
      <c r="M69" s="2"/>
      <c r="N69" s="289"/>
      <c r="O69" s="2"/>
      <c r="P69" s="2"/>
      <c r="Q69" s="2"/>
      <c r="R69" s="384"/>
      <c r="S69" s="2"/>
    </row>
    <row r="70" spans="1:19" ht="111" thickBot="1" x14ac:dyDescent="0.3">
      <c r="B70" s="291" t="s">
        <v>95</v>
      </c>
      <c r="C70" s="294" t="s">
        <v>261</v>
      </c>
      <c r="D70" s="9">
        <f>+Summary!I23</f>
        <v>9570.7799999999988</v>
      </c>
      <c r="E70" s="10"/>
      <c r="F70" s="10"/>
      <c r="G70" s="169">
        <f>D70</f>
        <v>9570.7799999999988</v>
      </c>
      <c r="H70" s="11">
        <v>1</v>
      </c>
      <c r="I70" s="361">
        <f>SUMIF('6)Transaction List'!G:G,"A.2.3.1",'6)Transaction List'!M:M)+'6)Transaction List'!AG785</f>
        <v>1095.0358646846246</v>
      </c>
      <c r="J70" s="192" t="s">
        <v>289</v>
      </c>
      <c r="K70" s="193" t="s">
        <v>50</v>
      </c>
      <c r="L70" s="12">
        <v>0</v>
      </c>
      <c r="M70" s="81">
        <f>D70-L70</f>
        <v>9570.7799999999988</v>
      </c>
      <c r="N70" s="81">
        <f>M70</f>
        <v>9570.7799999999988</v>
      </c>
      <c r="O70" s="82">
        <f t="shared" ref="O70:O73" si="30">+N70-L70</f>
        <v>9570.7799999999988</v>
      </c>
      <c r="P70" s="356">
        <f t="shared" ref="P70:P73" si="31">I70</f>
        <v>1095.0358646846246</v>
      </c>
      <c r="Q70" s="2"/>
      <c r="R70" s="384">
        <f>P70/G70</f>
        <v>0.1144144849933469</v>
      </c>
      <c r="S70" s="2"/>
    </row>
    <row r="71" spans="1:19" ht="48" thickBot="1" x14ac:dyDescent="0.3">
      <c r="B71" s="291" t="s">
        <v>96</v>
      </c>
      <c r="C71" s="295" t="s">
        <v>262</v>
      </c>
      <c r="D71" s="9">
        <f>+Summary!I24</f>
        <v>48137.649999999994</v>
      </c>
      <c r="E71" s="10"/>
      <c r="F71" s="10"/>
      <c r="G71" s="169">
        <f t="shared" ref="G71:G77" si="32">D71</f>
        <v>48137.649999999994</v>
      </c>
      <c r="H71" s="11">
        <v>1</v>
      </c>
      <c r="I71" s="361">
        <f>SUMIF('6)Transaction List'!G:G,"A.2.3.2",'6)Transaction List'!M:M)+'6)Transaction List'!AH785</f>
        <v>5509.5656427791218</v>
      </c>
      <c r="J71" s="192" t="s">
        <v>290</v>
      </c>
      <c r="K71" s="193" t="s">
        <v>50</v>
      </c>
      <c r="L71" s="12">
        <v>0</v>
      </c>
      <c r="M71" s="81">
        <f>D71-L71</f>
        <v>48137.649999999994</v>
      </c>
      <c r="N71" s="81">
        <f t="shared" ref="N71:N73" si="33">M71</f>
        <v>48137.649999999994</v>
      </c>
      <c r="O71" s="82">
        <f t="shared" si="30"/>
        <v>48137.649999999994</v>
      </c>
      <c r="P71" s="356">
        <f t="shared" si="31"/>
        <v>5509.5656427791218</v>
      </c>
      <c r="Q71" s="2"/>
      <c r="R71" s="384">
        <f>P71/G71</f>
        <v>0.11445439573346688</v>
      </c>
      <c r="S71" s="2"/>
    </row>
    <row r="72" spans="1:19" ht="63.75" thickBot="1" x14ac:dyDescent="0.3">
      <c r="B72" s="291" t="s">
        <v>97</v>
      </c>
      <c r="C72" s="295" t="s">
        <v>263</v>
      </c>
      <c r="D72" s="9">
        <f>+Summary!I25</f>
        <v>113114.51000000001</v>
      </c>
      <c r="E72" s="10"/>
      <c r="F72" s="10"/>
      <c r="G72" s="169">
        <f t="shared" si="32"/>
        <v>113114.51000000001</v>
      </c>
      <c r="H72" s="11">
        <v>1</v>
      </c>
      <c r="I72" s="361">
        <f>SUMIF('6)Transaction List'!G:G,"A.2.3.3",'6)Transaction List'!M:M)+'6)Transaction List'!AI785</f>
        <v>0</v>
      </c>
      <c r="J72" s="192" t="s">
        <v>291</v>
      </c>
      <c r="K72" s="193" t="s">
        <v>50</v>
      </c>
      <c r="L72" s="12">
        <v>0</v>
      </c>
      <c r="M72" s="81">
        <f>D72-L72</f>
        <v>113114.51000000001</v>
      </c>
      <c r="N72" s="81">
        <f t="shared" si="33"/>
        <v>113114.51000000001</v>
      </c>
      <c r="O72" s="82">
        <f t="shared" si="30"/>
        <v>113114.51000000001</v>
      </c>
      <c r="P72" s="356">
        <f t="shared" si="31"/>
        <v>0</v>
      </c>
      <c r="Q72" s="2"/>
      <c r="R72" s="384">
        <f>P72/G72</f>
        <v>0</v>
      </c>
      <c r="S72" s="2"/>
    </row>
    <row r="73" spans="1:19" ht="95.25" thickBot="1" x14ac:dyDescent="0.3">
      <c r="A73" s="15"/>
      <c r="B73" s="291" t="s">
        <v>98</v>
      </c>
      <c r="C73" s="294" t="s">
        <v>264</v>
      </c>
      <c r="D73" s="9">
        <f>+Summary!I26</f>
        <v>91197.58000000006</v>
      </c>
      <c r="E73" s="10"/>
      <c r="F73" s="10"/>
      <c r="G73" s="169">
        <f t="shared" si="32"/>
        <v>91197.58000000006</v>
      </c>
      <c r="H73" s="11">
        <v>1</v>
      </c>
      <c r="I73" s="361">
        <f>SUMIF('6)Transaction List'!G:G,"A.2.3.4",'6)Transaction List'!M:M)+'6)Transaction List'!AJ785</f>
        <v>10434.328870269541</v>
      </c>
      <c r="J73" s="192" t="s">
        <v>292</v>
      </c>
      <c r="K73" s="193" t="s">
        <v>50</v>
      </c>
      <c r="L73" s="12">
        <v>0</v>
      </c>
      <c r="M73" s="81">
        <f>D73-L73</f>
        <v>91197.58000000006</v>
      </c>
      <c r="N73" s="81">
        <f t="shared" si="33"/>
        <v>91197.58000000006</v>
      </c>
      <c r="O73" s="82">
        <f t="shared" si="30"/>
        <v>91197.58000000006</v>
      </c>
      <c r="P73" s="356">
        <f t="shared" si="31"/>
        <v>10434.328870269541</v>
      </c>
      <c r="Q73" s="2"/>
      <c r="R73" s="384">
        <f>P73/G73</f>
        <v>0.11441453677026883</v>
      </c>
      <c r="S73" s="2"/>
    </row>
    <row r="74" spans="1:19" s="15" customFormat="1" hidden="1" x14ac:dyDescent="0.25">
      <c r="A74" s="3"/>
      <c r="B74" s="291" t="s">
        <v>99</v>
      </c>
      <c r="C74" s="295"/>
      <c r="D74" s="17"/>
      <c r="E74" s="10"/>
      <c r="F74" s="10"/>
      <c r="G74" s="169">
        <f t="shared" si="32"/>
        <v>0</v>
      </c>
      <c r="H74" s="11"/>
      <c r="I74" s="10"/>
      <c r="J74" s="10"/>
      <c r="K74" s="194"/>
      <c r="L74" s="12"/>
      <c r="M74" s="20"/>
      <c r="N74" s="296"/>
      <c r="O74" s="20"/>
      <c r="P74" s="2"/>
      <c r="Q74" s="20"/>
      <c r="R74" s="393"/>
      <c r="S74" s="20"/>
    </row>
    <row r="75" spans="1:19" hidden="1" x14ac:dyDescent="0.25">
      <c r="B75" s="291" t="s">
        <v>100</v>
      </c>
      <c r="C75" s="295"/>
      <c r="D75" s="17"/>
      <c r="E75" s="10"/>
      <c r="F75" s="10"/>
      <c r="G75" s="169">
        <f t="shared" si="32"/>
        <v>0</v>
      </c>
      <c r="H75" s="11"/>
      <c r="I75" s="10"/>
      <c r="J75" s="10"/>
      <c r="K75" s="194"/>
      <c r="L75" s="12"/>
      <c r="M75" s="2"/>
      <c r="N75" s="289"/>
      <c r="O75" s="2"/>
      <c r="P75" s="2"/>
      <c r="Q75" s="2"/>
      <c r="R75" s="394"/>
      <c r="S75" s="2"/>
    </row>
    <row r="76" spans="1:19" hidden="1" x14ac:dyDescent="0.25">
      <c r="B76" s="291" t="s">
        <v>101</v>
      </c>
      <c r="C76" s="272"/>
      <c r="D76" s="183"/>
      <c r="E76" s="13"/>
      <c r="F76" s="13"/>
      <c r="G76" s="169">
        <f t="shared" si="32"/>
        <v>0</v>
      </c>
      <c r="H76" s="14"/>
      <c r="I76" s="13"/>
      <c r="J76" s="13"/>
      <c r="K76" s="195"/>
      <c r="L76" s="12"/>
      <c r="M76" s="2"/>
      <c r="N76" s="289"/>
      <c r="O76" s="2"/>
      <c r="P76" s="2"/>
      <c r="Q76" s="2"/>
      <c r="R76" s="394"/>
      <c r="S76" s="2"/>
    </row>
    <row r="77" spans="1:19" hidden="1" x14ac:dyDescent="0.25">
      <c r="B77" s="291" t="s">
        <v>102</v>
      </c>
      <c r="C77" s="272"/>
      <c r="D77" s="183"/>
      <c r="E77" s="13"/>
      <c r="F77" s="13"/>
      <c r="G77" s="169">
        <f t="shared" si="32"/>
        <v>0</v>
      </c>
      <c r="H77" s="14"/>
      <c r="I77" s="13"/>
      <c r="J77" s="13"/>
      <c r="K77" s="195"/>
      <c r="L77" s="12"/>
      <c r="M77" s="2"/>
      <c r="N77" s="289"/>
      <c r="O77" s="2"/>
      <c r="P77" s="2"/>
      <c r="Q77" s="2"/>
      <c r="R77" s="394"/>
      <c r="S77" s="2"/>
    </row>
    <row r="78" spans="1:19" ht="15.75" x14ac:dyDescent="0.25">
      <c r="B78" s="292"/>
      <c r="C78" s="297" t="s">
        <v>57</v>
      </c>
      <c r="D78" s="113">
        <f>SUM(D70:D77)</f>
        <v>262020.52000000008</v>
      </c>
      <c r="E78" s="4">
        <f t="shared" ref="E78:G78" si="34">SUM(E70:E77)</f>
        <v>0</v>
      </c>
      <c r="F78" s="4">
        <f t="shared" si="34"/>
        <v>0</v>
      </c>
      <c r="G78" s="170">
        <f t="shared" si="34"/>
        <v>262020.52000000008</v>
      </c>
      <c r="H78" s="4">
        <f>(H70*G70)+(H71*G71)+(H72*G72)+(H73*G73)+(H74*G74)+(H75*G75)+(H76*G76)+(H77*G77)</f>
        <v>262020.52000000008</v>
      </c>
      <c r="I78" s="113">
        <f>SUM(I70:I77)</f>
        <v>17038.930377733286</v>
      </c>
      <c r="J78" s="113"/>
      <c r="K78" s="113"/>
      <c r="L78" s="113"/>
      <c r="M78" s="113">
        <f>SUM(M70:M77)</f>
        <v>262020.52000000008</v>
      </c>
      <c r="N78" s="113">
        <f>SUM(N70:N77)</f>
        <v>262020.52000000008</v>
      </c>
      <c r="O78" s="113">
        <f>SUM(O70:O77)</f>
        <v>262020.52000000008</v>
      </c>
      <c r="P78" s="113">
        <f>SUM(P70:P77)</f>
        <v>17038.930377733286</v>
      </c>
      <c r="Q78" s="113">
        <f>SUM(Q70:Q77)</f>
        <v>0</v>
      </c>
      <c r="R78" s="384">
        <f>P78/G78</f>
        <v>6.5028992300806374E-2</v>
      </c>
      <c r="S78" s="2"/>
    </row>
    <row r="79" spans="1:19" ht="21.6" customHeight="1" x14ac:dyDescent="0.25">
      <c r="B79" s="290" t="s">
        <v>103</v>
      </c>
      <c r="C79" s="659"/>
      <c r="D79" s="659"/>
      <c r="E79" s="659"/>
      <c r="F79" s="659"/>
      <c r="G79" s="659"/>
      <c r="H79" s="659"/>
      <c r="I79" s="660"/>
      <c r="J79" s="660"/>
      <c r="K79" s="659"/>
      <c r="L79" s="19"/>
      <c r="M79" s="2"/>
      <c r="N79" s="289"/>
      <c r="O79" s="2"/>
      <c r="P79" s="2"/>
      <c r="Q79" s="2"/>
      <c r="R79" s="394"/>
      <c r="S79" s="2"/>
    </row>
    <row r="80" spans="1:19" hidden="1" x14ac:dyDescent="0.25">
      <c r="B80" s="291" t="s">
        <v>104</v>
      </c>
      <c r="C80" s="295"/>
      <c r="D80" s="17"/>
      <c r="E80" s="10"/>
      <c r="F80" s="10"/>
      <c r="G80" s="169">
        <f>D80</f>
        <v>0</v>
      </c>
      <c r="H80" s="11"/>
      <c r="I80" s="10"/>
      <c r="J80" s="10"/>
      <c r="K80" s="194"/>
      <c r="L80" s="12"/>
      <c r="M80" s="2"/>
      <c r="N80" s="289"/>
      <c r="O80" s="2"/>
      <c r="P80" s="2"/>
      <c r="Q80" s="2"/>
      <c r="R80" s="394"/>
      <c r="S80" s="2"/>
    </row>
    <row r="81" spans="2:19" hidden="1" x14ac:dyDescent="0.25">
      <c r="B81" s="291" t="s">
        <v>105</v>
      </c>
      <c r="C81" s="295"/>
      <c r="D81" s="17"/>
      <c r="E81" s="10"/>
      <c r="F81" s="10"/>
      <c r="G81" s="169">
        <f t="shared" ref="G81:G87" si="35">D81</f>
        <v>0</v>
      </c>
      <c r="H81" s="11"/>
      <c r="I81" s="10"/>
      <c r="J81" s="10"/>
      <c r="K81" s="194"/>
      <c r="L81" s="12"/>
      <c r="M81" s="2"/>
      <c r="N81" s="289"/>
      <c r="O81" s="2"/>
      <c r="P81" s="2"/>
      <c r="Q81" s="2"/>
      <c r="R81" s="394"/>
      <c r="S81" s="2"/>
    </row>
    <row r="82" spans="2:19" hidden="1" x14ac:dyDescent="0.25">
      <c r="B82" s="291" t="s">
        <v>106</v>
      </c>
      <c r="C82" s="295"/>
      <c r="D82" s="17"/>
      <c r="E82" s="10"/>
      <c r="F82" s="10"/>
      <c r="G82" s="169">
        <f t="shared" si="35"/>
        <v>0</v>
      </c>
      <c r="H82" s="11"/>
      <c r="I82" s="10"/>
      <c r="J82" s="10"/>
      <c r="K82" s="194"/>
      <c r="L82" s="12"/>
      <c r="M82" s="2"/>
      <c r="N82" s="289"/>
      <c r="O82" s="2"/>
      <c r="P82" s="2"/>
      <c r="Q82" s="2"/>
      <c r="R82" s="394"/>
      <c r="S82" s="2"/>
    </row>
    <row r="83" spans="2:19" hidden="1" x14ac:dyDescent="0.25">
      <c r="B83" s="291" t="s">
        <v>107</v>
      </c>
      <c r="C83" s="295"/>
      <c r="D83" s="17"/>
      <c r="E83" s="10"/>
      <c r="F83" s="10"/>
      <c r="G83" s="169">
        <f t="shared" si="35"/>
        <v>0</v>
      </c>
      <c r="H83" s="11"/>
      <c r="I83" s="10"/>
      <c r="J83" s="10"/>
      <c r="K83" s="194"/>
      <c r="L83" s="12"/>
      <c r="M83" s="2"/>
      <c r="N83" s="289"/>
      <c r="O83" s="2"/>
      <c r="P83" s="2"/>
      <c r="Q83" s="2"/>
      <c r="R83" s="394"/>
      <c r="S83" s="2"/>
    </row>
    <row r="84" spans="2:19" hidden="1" x14ac:dyDescent="0.25">
      <c r="B84" s="291" t="s">
        <v>108</v>
      </c>
      <c r="C84" s="295"/>
      <c r="D84" s="17"/>
      <c r="E84" s="10"/>
      <c r="F84" s="10"/>
      <c r="G84" s="169">
        <f t="shared" si="35"/>
        <v>0</v>
      </c>
      <c r="H84" s="11"/>
      <c r="I84" s="10"/>
      <c r="J84" s="10"/>
      <c r="K84" s="194"/>
      <c r="L84" s="12"/>
      <c r="M84" s="2"/>
      <c r="N84" s="289"/>
      <c r="O84" s="2"/>
      <c r="P84" s="2"/>
      <c r="Q84" s="2"/>
      <c r="R84" s="394"/>
      <c r="S84" s="2"/>
    </row>
    <row r="85" spans="2:19" hidden="1" x14ac:dyDescent="0.25">
      <c r="B85" s="291" t="s">
        <v>109</v>
      </c>
      <c r="C85" s="295"/>
      <c r="D85" s="17"/>
      <c r="E85" s="10"/>
      <c r="F85" s="10"/>
      <c r="G85" s="169">
        <f t="shared" si="35"/>
        <v>0</v>
      </c>
      <c r="H85" s="11"/>
      <c r="I85" s="10"/>
      <c r="J85" s="10"/>
      <c r="K85" s="194"/>
      <c r="L85" s="12"/>
      <c r="M85" s="2"/>
      <c r="N85" s="289"/>
      <c r="O85" s="2"/>
      <c r="P85" s="2"/>
      <c r="Q85" s="2"/>
      <c r="R85" s="394"/>
      <c r="S85" s="2"/>
    </row>
    <row r="86" spans="2:19" hidden="1" x14ac:dyDescent="0.25">
      <c r="B86" s="291" t="s">
        <v>110</v>
      </c>
      <c r="C86" s="272"/>
      <c r="D86" s="183"/>
      <c r="E86" s="13"/>
      <c r="F86" s="13"/>
      <c r="G86" s="169">
        <f t="shared" si="35"/>
        <v>0</v>
      </c>
      <c r="H86" s="14"/>
      <c r="I86" s="13"/>
      <c r="J86" s="13"/>
      <c r="K86" s="195"/>
      <c r="L86" s="12"/>
      <c r="M86" s="2"/>
      <c r="N86" s="289"/>
      <c r="O86" s="2"/>
      <c r="P86" s="2"/>
      <c r="Q86" s="2"/>
      <c r="R86" s="394"/>
      <c r="S86" s="2"/>
    </row>
    <row r="87" spans="2:19" hidden="1" x14ac:dyDescent="0.25">
      <c r="B87" s="291" t="s">
        <v>111</v>
      </c>
      <c r="C87" s="272"/>
      <c r="D87" s="183"/>
      <c r="E87" s="13"/>
      <c r="F87" s="13"/>
      <c r="G87" s="169">
        <f t="shared" si="35"/>
        <v>0</v>
      </c>
      <c r="H87" s="14"/>
      <c r="I87" s="13"/>
      <c r="J87" s="13"/>
      <c r="K87" s="195"/>
      <c r="L87" s="12"/>
      <c r="M87" s="2"/>
      <c r="N87" s="289"/>
      <c r="O87" s="2"/>
      <c r="P87" s="2"/>
      <c r="Q87" s="2"/>
      <c r="R87" s="394"/>
      <c r="S87" s="2"/>
    </row>
    <row r="88" spans="2:19" ht="15.75" x14ac:dyDescent="0.25">
      <c r="B88" s="292"/>
      <c r="C88" s="297" t="s">
        <v>57</v>
      </c>
      <c r="D88" s="170">
        <f>SUM(D80:D87)</f>
        <v>0</v>
      </c>
      <c r="E88" s="4">
        <f t="shared" ref="E88:G88" si="36">SUM(E80:E87)</f>
        <v>0</v>
      </c>
      <c r="F88" s="4">
        <f t="shared" si="36"/>
        <v>0</v>
      </c>
      <c r="G88" s="170">
        <f t="shared" si="36"/>
        <v>0</v>
      </c>
      <c r="H88" s="4">
        <f>(H80*G80)+(H81*G81)+(H82*G82)+(H83*G83)+(H84*G84)+(H85*G85)+(H86*G86)+(H87*G87)</f>
        <v>0</v>
      </c>
      <c r="I88" s="4">
        <f>SUM(I80:I87)</f>
        <v>0</v>
      </c>
      <c r="J88" s="16"/>
      <c r="K88" s="195"/>
      <c r="L88" s="4">
        <f>SUM(L80:L87)</f>
        <v>0</v>
      </c>
      <c r="M88" s="4">
        <f t="shared" ref="M88:Q88" si="37">SUM(M80:M87)</f>
        <v>0</v>
      </c>
      <c r="N88" s="4">
        <f t="shared" si="37"/>
        <v>0</v>
      </c>
      <c r="O88" s="4">
        <f t="shared" si="37"/>
        <v>0</v>
      </c>
      <c r="P88" s="4">
        <f t="shared" si="37"/>
        <v>0</v>
      </c>
      <c r="Q88" s="4">
        <f t="shared" si="37"/>
        <v>0</v>
      </c>
      <c r="R88" s="384" t="e">
        <f>P88/G88</f>
        <v>#DIV/0!</v>
      </c>
      <c r="S88" s="2"/>
    </row>
    <row r="89" spans="2:19" ht="15.75" customHeight="1" x14ac:dyDescent="0.25">
      <c r="B89" s="293"/>
      <c r="C89" s="298"/>
      <c r="D89" s="176"/>
      <c r="E89" s="24"/>
      <c r="F89" s="24"/>
      <c r="G89" s="176"/>
      <c r="H89" s="24"/>
      <c r="I89" s="24"/>
      <c r="J89" s="24"/>
      <c r="K89" s="206"/>
      <c r="L89" s="25"/>
      <c r="M89" s="2"/>
      <c r="N89" s="289"/>
      <c r="O89" s="2"/>
      <c r="P89" s="2"/>
      <c r="Q89" s="2"/>
      <c r="R89" s="394"/>
      <c r="S89" s="2"/>
    </row>
    <row r="90" spans="2:19" ht="51" customHeight="1" x14ac:dyDescent="0.25">
      <c r="B90" s="290" t="s">
        <v>22</v>
      </c>
      <c r="C90" s="640" t="s">
        <v>265</v>
      </c>
      <c r="D90" s="640"/>
      <c r="E90" s="640"/>
      <c r="F90" s="640"/>
      <c r="G90" s="640"/>
      <c r="H90" s="640"/>
      <c r="I90" s="640"/>
      <c r="J90" s="640"/>
      <c r="K90" s="640"/>
      <c r="L90" s="640"/>
      <c r="M90" s="640"/>
      <c r="N90" s="640"/>
      <c r="O90" s="640"/>
      <c r="P90" s="640"/>
      <c r="Q90" s="640"/>
      <c r="R90" s="641"/>
      <c r="S90" s="2"/>
    </row>
    <row r="91" spans="2:19" ht="51" customHeight="1" thickBot="1" x14ac:dyDescent="0.3">
      <c r="B91" s="235" t="s">
        <v>23</v>
      </c>
      <c r="C91" s="656" t="s">
        <v>266</v>
      </c>
      <c r="D91" s="657"/>
      <c r="E91" s="657"/>
      <c r="F91" s="657"/>
      <c r="G91" s="657"/>
      <c r="H91" s="657"/>
      <c r="I91" s="657"/>
      <c r="J91" s="657"/>
      <c r="K91" s="657"/>
      <c r="L91" s="657"/>
      <c r="M91" s="657"/>
      <c r="N91" s="657"/>
      <c r="O91" s="657"/>
      <c r="P91" s="657"/>
      <c r="Q91" s="657"/>
      <c r="R91" s="658"/>
      <c r="S91" s="2"/>
    </row>
    <row r="92" spans="2:19" ht="142.5" thickBot="1" x14ac:dyDescent="0.3">
      <c r="B92" s="236" t="s">
        <v>24</v>
      </c>
      <c r="C92" s="215" t="s">
        <v>267</v>
      </c>
      <c r="D92" s="9">
        <f>+Summary!I29</f>
        <v>51568.99</v>
      </c>
      <c r="E92" s="103"/>
      <c r="F92" s="103"/>
      <c r="G92" s="174">
        <f>D92</f>
        <v>51568.99</v>
      </c>
      <c r="H92" s="11">
        <v>1</v>
      </c>
      <c r="I92" s="361">
        <f>SUMIF('6)Transaction List'!G:G,"A.3.1.1",'6)Transaction List'!M:M)+'6)Transaction List'!AL785</f>
        <v>9202.1029040960693</v>
      </c>
      <c r="J92" s="192" t="s">
        <v>293</v>
      </c>
      <c r="K92" s="193" t="s">
        <v>50</v>
      </c>
      <c r="L92" s="80">
        <v>0</v>
      </c>
      <c r="M92" s="81">
        <f>D92-L92</f>
        <v>51568.99</v>
      </c>
      <c r="N92" s="81">
        <f t="shared" ref="N92:N94" si="38">M92</f>
        <v>51568.99</v>
      </c>
      <c r="O92" s="82">
        <f t="shared" ref="O92:O94" si="39">+N92-L92</f>
        <v>51568.99</v>
      </c>
      <c r="P92" s="356">
        <f t="shared" ref="P92:P94" si="40">I92</f>
        <v>9202.1029040960693</v>
      </c>
      <c r="Q92" s="86"/>
      <c r="R92" s="384">
        <f>P92/G92</f>
        <v>0.17844256604785297</v>
      </c>
      <c r="S92" s="2"/>
    </row>
    <row r="93" spans="2:19" ht="111" thickBot="1" x14ac:dyDescent="0.3">
      <c r="B93" s="236" t="s">
        <v>25</v>
      </c>
      <c r="C93" s="215" t="s">
        <v>268</v>
      </c>
      <c r="D93" s="9">
        <f>+Summary!I30</f>
        <v>113871.73000000005</v>
      </c>
      <c r="E93" s="103"/>
      <c r="F93" s="103"/>
      <c r="G93" s="174">
        <f t="shared" ref="G93:G99" si="41">D93</f>
        <v>113871.73000000005</v>
      </c>
      <c r="H93" s="104">
        <v>1</v>
      </c>
      <c r="I93" s="361">
        <f>SUMIF('6)Transaction List'!G:G,"A.3.1.2",'6)Transaction List'!M:M)+'6)Transaction List'!AM785</f>
        <v>12912.407523125505</v>
      </c>
      <c r="J93" s="192" t="s">
        <v>294</v>
      </c>
      <c r="K93" s="193" t="s">
        <v>50</v>
      </c>
      <c r="L93" s="80">
        <v>0</v>
      </c>
      <c r="M93" s="81">
        <f>D93-L93</f>
        <v>113871.73000000005</v>
      </c>
      <c r="N93" s="81">
        <f t="shared" si="38"/>
        <v>113871.73000000005</v>
      </c>
      <c r="O93" s="82">
        <f t="shared" si="39"/>
        <v>113871.73000000005</v>
      </c>
      <c r="P93" s="356">
        <f t="shared" si="40"/>
        <v>12912.407523125505</v>
      </c>
      <c r="Q93" s="83"/>
      <c r="R93" s="384">
        <f>P93/G93</f>
        <v>0.11339432116404571</v>
      </c>
      <c r="S93" s="2"/>
    </row>
    <row r="94" spans="2:19" ht="48" thickBot="1" x14ac:dyDescent="0.3">
      <c r="B94" s="236" t="s">
        <v>26</v>
      </c>
      <c r="C94" s="214" t="s">
        <v>269</v>
      </c>
      <c r="D94" s="9">
        <f>+Summary!I31</f>
        <v>7622.0100000000039</v>
      </c>
      <c r="E94" s="103"/>
      <c r="F94" s="103"/>
      <c r="G94" s="174">
        <f t="shared" si="41"/>
        <v>7622.0100000000039</v>
      </c>
      <c r="H94" s="104">
        <v>1</v>
      </c>
      <c r="I94" s="361">
        <f>SUMIF('6)Transaction List'!G:G,"A.3.1.3",'6)Transaction List'!M:M)+'6)Transaction List'!AN785</f>
        <v>424.83749325910134</v>
      </c>
      <c r="J94" s="192" t="s">
        <v>295</v>
      </c>
      <c r="K94" s="193" t="s">
        <v>50</v>
      </c>
      <c r="L94" s="80">
        <v>0</v>
      </c>
      <c r="M94" s="81">
        <f>D94-L94</f>
        <v>7622.0100000000039</v>
      </c>
      <c r="N94" s="81">
        <f t="shared" si="38"/>
        <v>7622.0100000000039</v>
      </c>
      <c r="O94" s="82">
        <f t="shared" si="39"/>
        <v>7622.0100000000039</v>
      </c>
      <c r="P94" s="356">
        <f t="shared" si="40"/>
        <v>424.83749325910134</v>
      </c>
      <c r="Q94" s="83"/>
      <c r="R94" s="384">
        <f>P94/G94</f>
        <v>5.573824926221576E-2</v>
      </c>
      <c r="S94" s="2"/>
    </row>
    <row r="95" spans="2:19" hidden="1" x14ac:dyDescent="0.3">
      <c r="B95" s="236" t="s">
        <v>112</v>
      </c>
      <c r="C95" s="220"/>
      <c r="D95" s="184"/>
      <c r="E95" s="103"/>
      <c r="F95" s="103"/>
      <c r="G95" s="174">
        <f t="shared" si="41"/>
        <v>0</v>
      </c>
      <c r="H95" s="104"/>
      <c r="I95" s="103"/>
      <c r="J95" s="103"/>
      <c r="K95" s="203"/>
      <c r="L95" s="93"/>
      <c r="M95" s="115"/>
      <c r="N95" s="117"/>
      <c r="O95" s="115"/>
      <c r="P95" s="115"/>
      <c r="Q95" s="115"/>
      <c r="R95" s="395"/>
      <c r="S95" s="2"/>
    </row>
    <row r="96" spans="2:19" hidden="1" x14ac:dyDescent="0.3">
      <c r="B96" s="236" t="s">
        <v>113</v>
      </c>
      <c r="C96" s="220"/>
      <c r="D96" s="184"/>
      <c r="E96" s="103"/>
      <c r="F96" s="103"/>
      <c r="G96" s="174">
        <f t="shared" si="41"/>
        <v>0</v>
      </c>
      <c r="H96" s="104"/>
      <c r="I96" s="103"/>
      <c r="J96" s="116"/>
      <c r="K96" s="203"/>
      <c r="L96" s="93"/>
      <c r="M96" s="115"/>
      <c r="N96" s="117"/>
      <c r="O96" s="115"/>
      <c r="P96" s="115"/>
      <c r="Q96" s="115"/>
      <c r="R96" s="395"/>
      <c r="S96" s="2"/>
    </row>
    <row r="97" spans="2:19" hidden="1" x14ac:dyDescent="0.3">
      <c r="B97" s="236" t="s">
        <v>114</v>
      </c>
      <c r="C97" s="220"/>
      <c r="D97" s="184"/>
      <c r="E97" s="103"/>
      <c r="F97" s="103"/>
      <c r="G97" s="174">
        <f t="shared" si="41"/>
        <v>0</v>
      </c>
      <c r="H97" s="104"/>
      <c r="I97" s="103"/>
      <c r="J97" s="103"/>
      <c r="K97" s="203"/>
      <c r="L97" s="93"/>
      <c r="M97" s="115"/>
      <c r="N97" s="117"/>
      <c r="O97" s="115"/>
      <c r="P97" s="115"/>
      <c r="Q97" s="115"/>
      <c r="R97" s="395"/>
      <c r="S97" s="2"/>
    </row>
    <row r="98" spans="2:19" hidden="1" x14ac:dyDescent="0.3">
      <c r="B98" s="236" t="s">
        <v>115</v>
      </c>
      <c r="C98" s="221"/>
      <c r="D98" s="185"/>
      <c r="E98" s="105"/>
      <c r="F98" s="105"/>
      <c r="G98" s="174">
        <f t="shared" si="41"/>
        <v>0</v>
      </c>
      <c r="H98" s="106"/>
      <c r="I98" s="105"/>
      <c r="J98" s="105"/>
      <c r="K98" s="204"/>
      <c r="L98" s="93"/>
      <c r="M98" s="115"/>
      <c r="N98" s="117"/>
      <c r="O98" s="115"/>
      <c r="P98" s="115"/>
      <c r="Q98" s="115"/>
      <c r="R98" s="395"/>
      <c r="S98" s="2"/>
    </row>
    <row r="99" spans="2:19" hidden="1" x14ac:dyDescent="0.3">
      <c r="B99" s="236" t="s">
        <v>116</v>
      </c>
      <c r="C99" s="221"/>
      <c r="D99" s="185"/>
      <c r="E99" s="105"/>
      <c r="F99" s="105"/>
      <c r="G99" s="174">
        <f t="shared" si="41"/>
        <v>0</v>
      </c>
      <c r="H99" s="106"/>
      <c r="I99" s="105"/>
      <c r="J99" s="105"/>
      <c r="K99" s="204"/>
      <c r="L99" s="93"/>
      <c r="M99" s="115"/>
      <c r="N99" s="117"/>
      <c r="O99" s="115"/>
      <c r="P99" s="115"/>
      <c r="Q99" s="115"/>
      <c r="R99" s="395"/>
      <c r="S99" s="2"/>
    </row>
    <row r="100" spans="2:19" ht="15.75" x14ac:dyDescent="0.25">
      <c r="B100" s="150"/>
      <c r="C100" s="222" t="s">
        <v>57</v>
      </c>
      <c r="D100" s="114">
        <f>SUM(D92:D99)</f>
        <v>173062.73000000007</v>
      </c>
      <c r="E100" s="114">
        <f t="shared" ref="E100:G100" si="42">SUM(E92:E99)</f>
        <v>0</v>
      </c>
      <c r="F100" s="114">
        <f t="shared" si="42"/>
        <v>0</v>
      </c>
      <c r="G100" s="175">
        <f t="shared" si="42"/>
        <v>173062.73000000007</v>
      </c>
      <c r="H100" s="114">
        <f>(H92*G92)+(H93*G93)+(H94*G94)+(H95*G95)+(H96*G96)+(H97*G97)+(H98*G98)+(H99*G99)</f>
        <v>173062.73000000007</v>
      </c>
      <c r="I100" s="114">
        <f>SUM(I92:I99)</f>
        <v>22539.347920480675</v>
      </c>
      <c r="J100" s="94"/>
      <c r="K100" s="205"/>
      <c r="L100" s="94">
        <f>SUM(L92:L99)</f>
        <v>0</v>
      </c>
      <c r="M100" s="94">
        <f t="shared" ref="M100:N100" si="43">SUM(M92:M99)</f>
        <v>173062.73000000007</v>
      </c>
      <c r="N100" s="94">
        <f t="shared" si="43"/>
        <v>173062.73000000007</v>
      </c>
      <c r="O100" s="94">
        <f>SUM(O92:O99)</f>
        <v>173062.73000000007</v>
      </c>
      <c r="P100" s="94">
        <f>SUM(P92:P99)</f>
        <v>22539.347920480675</v>
      </c>
      <c r="Q100" s="94">
        <f t="shared" ref="Q100" si="44">SUM(Q92:Q99)</f>
        <v>0</v>
      </c>
      <c r="R100" s="396"/>
      <c r="S100" s="406"/>
    </row>
    <row r="101" spans="2:19" ht="51" customHeight="1" thickBot="1" x14ac:dyDescent="0.3">
      <c r="B101" s="235" t="s">
        <v>27</v>
      </c>
      <c r="C101" s="639" t="s">
        <v>270</v>
      </c>
      <c r="D101" s="640"/>
      <c r="E101" s="640"/>
      <c r="F101" s="640"/>
      <c r="G101" s="640"/>
      <c r="H101" s="640"/>
      <c r="I101" s="640"/>
      <c r="J101" s="640"/>
      <c r="K101" s="640"/>
      <c r="L101" s="640"/>
      <c r="M101" s="640"/>
      <c r="N101" s="640"/>
      <c r="O101" s="640"/>
      <c r="P101" s="640"/>
      <c r="Q101" s="640"/>
      <c r="R101" s="641"/>
      <c r="S101" s="2"/>
    </row>
    <row r="102" spans="2:19" ht="79.5" thickBot="1" x14ac:dyDescent="0.3">
      <c r="B102" s="236" t="s">
        <v>28</v>
      </c>
      <c r="C102" s="219" t="s">
        <v>271</v>
      </c>
      <c r="D102" s="9">
        <f>+Summary!I33</f>
        <v>23867.130000000005</v>
      </c>
      <c r="E102" s="9"/>
      <c r="F102" s="9"/>
      <c r="G102" s="169">
        <f>D102</f>
        <v>23867.130000000005</v>
      </c>
      <c r="H102" s="97">
        <v>1</v>
      </c>
      <c r="I102" s="361">
        <f>SUMIF('6)Transaction List'!G:G,"A.3.2.1",'6)Transaction List'!M:M)+'6)Transaction List'!AP785</f>
        <v>1496.396220679417</v>
      </c>
      <c r="J102" s="192" t="s">
        <v>296</v>
      </c>
      <c r="K102" s="193" t="s">
        <v>50</v>
      </c>
      <c r="L102" s="80">
        <v>0</v>
      </c>
      <c r="M102" s="81">
        <f>D102-L102</f>
        <v>23867.130000000005</v>
      </c>
      <c r="N102" s="81">
        <f t="shared" ref="N102:N103" si="45">M102</f>
        <v>23867.130000000005</v>
      </c>
      <c r="O102" s="82">
        <f t="shared" ref="O102:O103" si="46">+N102-L102</f>
        <v>23867.130000000005</v>
      </c>
      <c r="P102" s="356">
        <f t="shared" ref="P102:P103" si="47">I102</f>
        <v>1496.396220679417</v>
      </c>
      <c r="Q102" s="92"/>
      <c r="R102" s="384">
        <f>P102/G102</f>
        <v>6.2696948509494713E-2</v>
      </c>
      <c r="S102" s="2"/>
    </row>
    <row r="103" spans="2:19" ht="48" thickBot="1" x14ac:dyDescent="0.3">
      <c r="B103" s="236" t="s">
        <v>29</v>
      </c>
      <c r="C103" s="219" t="s">
        <v>272</v>
      </c>
      <c r="D103" s="9">
        <f>+Summary!I34</f>
        <v>76482.460000000006</v>
      </c>
      <c r="E103" s="9"/>
      <c r="F103" s="9"/>
      <c r="G103" s="169">
        <f t="shared" ref="G103:G109" si="48">D103</f>
        <v>76482.460000000006</v>
      </c>
      <c r="H103" s="97">
        <v>1</v>
      </c>
      <c r="I103" s="361">
        <f>SUMIF('6)Transaction List'!G:G,"A.3.2.2",'6)Transaction List'!M:M)+'6)Transaction List'!AQ785</f>
        <v>5029.2364948196609</v>
      </c>
      <c r="J103" s="192" t="s">
        <v>297</v>
      </c>
      <c r="K103" s="193" t="s">
        <v>50</v>
      </c>
      <c r="L103" s="80">
        <v>0</v>
      </c>
      <c r="M103" s="81">
        <f>D103-L103</f>
        <v>76482.460000000006</v>
      </c>
      <c r="N103" s="81">
        <f t="shared" si="45"/>
        <v>76482.460000000006</v>
      </c>
      <c r="O103" s="82">
        <f t="shared" si="46"/>
        <v>76482.460000000006</v>
      </c>
      <c r="P103" s="356">
        <f t="shared" si="47"/>
        <v>5029.2364948196609</v>
      </c>
      <c r="Q103" s="92"/>
      <c r="R103" s="384">
        <f>P103/G103</f>
        <v>6.5756730298942537E-2</v>
      </c>
      <c r="S103" s="2"/>
    </row>
    <row r="104" spans="2:19" hidden="1" x14ac:dyDescent="0.25">
      <c r="B104" s="236" t="s">
        <v>117</v>
      </c>
      <c r="C104" s="219"/>
      <c r="D104" s="17"/>
      <c r="E104" s="9"/>
      <c r="F104" s="9"/>
      <c r="G104" s="169">
        <f t="shared" si="48"/>
        <v>0</v>
      </c>
      <c r="H104" s="97"/>
      <c r="I104" s="9"/>
      <c r="J104" s="9"/>
      <c r="K104" s="194"/>
      <c r="L104" s="80">
        <v>0</v>
      </c>
      <c r="M104" s="5"/>
      <c r="N104" s="85"/>
      <c r="O104" s="5"/>
      <c r="P104" s="5"/>
      <c r="Q104" s="5"/>
      <c r="R104" s="385"/>
      <c r="S104" s="2"/>
    </row>
    <row r="105" spans="2:19" hidden="1" x14ac:dyDescent="0.25">
      <c r="B105" s="236" t="s">
        <v>118</v>
      </c>
      <c r="C105" s="219"/>
      <c r="D105" s="17"/>
      <c r="E105" s="9"/>
      <c r="F105" s="9"/>
      <c r="G105" s="169">
        <f t="shared" si="48"/>
        <v>0</v>
      </c>
      <c r="H105" s="97"/>
      <c r="I105" s="9"/>
      <c r="J105" s="9"/>
      <c r="K105" s="194"/>
      <c r="L105" s="80"/>
      <c r="M105" s="5"/>
      <c r="N105" s="85"/>
      <c r="O105" s="5"/>
      <c r="P105" s="5"/>
      <c r="Q105" s="5"/>
      <c r="R105" s="385"/>
      <c r="S105" s="2"/>
    </row>
    <row r="106" spans="2:19" hidden="1" x14ac:dyDescent="0.25">
      <c r="B106" s="236" t="s">
        <v>119</v>
      </c>
      <c r="C106" s="219"/>
      <c r="D106" s="17"/>
      <c r="E106" s="9"/>
      <c r="F106" s="9"/>
      <c r="G106" s="169">
        <f t="shared" si="48"/>
        <v>0</v>
      </c>
      <c r="H106" s="97"/>
      <c r="I106" s="9"/>
      <c r="J106" s="9"/>
      <c r="K106" s="194"/>
      <c r="L106" s="80"/>
      <c r="M106" s="5"/>
      <c r="N106" s="85"/>
      <c r="O106" s="5"/>
      <c r="P106" s="5"/>
      <c r="Q106" s="5"/>
      <c r="R106" s="385"/>
      <c r="S106" s="2"/>
    </row>
    <row r="107" spans="2:19" hidden="1" x14ac:dyDescent="0.25">
      <c r="B107" s="236" t="s">
        <v>120</v>
      </c>
      <c r="C107" s="219"/>
      <c r="D107" s="17"/>
      <c r="E107" s="9"/>
      <c r="F107" s="9"/>
      <c r="G107" s="169">
        <f t="shared" si="48"/>
        <v>0</v>
      </c>
      <c r="H107" s="97"/>
      <c r="I107" s="9"/>
      <c r="J107" s="9"/>
      <c r="K107" s="194"/>
      <c r="L107" s="80"/>
      <c r="M107" s="5"/>
      <c r="N107" s="85"/>
      <c r="O107" s="5"/>
      <c r="P107" s="5"/>
      <c r="Q107" s="5"/>
      <c r="R107" s="385"/>
      <c r="S107" s="2"/>
    </row>
    <row r="108" spans="2:19" hidden="1" x14ac:dyDescent="0.25">
      <c r="B108" s="236" t="s">
        <v>121</v>
      </c>
      <c r="C108" s="223"/>
      <c r="D108" s="183"/>
      <c r="E108" s="98"/>
      <c r="F108" s="98"/>
      <c r="G108" s="169">
        <f t="shared" si="48"/>
        <v>0</v>
      </c>
      <c r="H108" s="99"/>
      <c r="I108" s="98"/>
      <c r="J108" s="98"/>
      <c r="K108" s="195"/>
      <c r="L108" s="80"/>
      <c r="M108" s="5"/>
      <c r="N108" s="85"/>
      <c r="O108" s="5"/>
      <c r="P108" s="5"/>
      <c r="Q108" s="5"/>
      <c r="R108" s="385"/>
      <c r="S108" s="2"/>
    </row>
    <row r="109" spans="2:19" hidden="1" x14ac:dyDescent="0.25">
      <c r="B109" s="236" t="s">
        <v>122</v>
      </c>
      <c r="C109" s="223"/>
      <c r="D109" s="183"/>
      <c r="E109" s="98"/>
      <c r="F109" s="98"/>
      <c r="G109" s="169">
        <f t="shared" si="48"/>
        <v>0</v>
      </c>
      <c r="H109" s="99"/>
      <c r="I109" s="98"/>
      <c r="J109" s="98"/>
      <c r="K109" s="195"/>
      <c r="L109" s="80"/>
      <c r="M109" s="5"/>
      <c r="N109" s="85"/>
      <c r="O109" s="5"/>
      <c r="P109" s="5"/>
      <c r="Q109" s="5"/>
      <c r="R109" s="385"/>
      <c r="S109" s="2"/>
    </row>
    <row r="110" spans="2:19" ht="15.75" x14ac:dyDescent="0.25">
      <c r="B110" s="150"/>
      <c r="C110" s="224" t="s">
        <v>57</v>
      </c>
      <c r="D110" s="170">
        <f>SUM(D102:D109)</f>
        <v>100349.59000000001</v>
      </c>
      <c r="E110" s="113">
        <f t="shared" ref="E110:G110" si="49">SUM(E102:E109)</f>
        <v>0</v>
      </c>
      <c r="F110" s="113">
        <f t="shared" si="49"/>
        <v>0</v>
      </c>
      <c r="G110" s="170">
        <f t="shared" si="49"/>
        <v>100349.59000000001</v>
      </c>
      <c r="H110" s="113">
        <f>(H102*G102)+(H103*G103)+(H104*G104)+(H105*G105)+(H106*G106)+(H107*G107)+(H108*G108)+(H109*G109)</f>
        <v>100349.59000000001</v>
      </c>
      <c r="I110" s="113">
        <f>SUM(I102:I109)</f>
        <v>6525.6327154990777</v>
      </c>
      <c r="J110" s="91"/>
      <c r="K110" s="201"/>
      <c r="L110" s="91">
        <f>SUM(L102:L103)</f>
        <v>0</v>
      </c>
      <c r="M110" s="91">
        <f t="shared" ref="M110:P110" si="50">SUM(M102:M103)</f>
        <v>100349.59000000001</v>
      </c>
      <c r="N110" s="91">
        <f t="shared" si="50"/>
        <v>100349.59000000001</v>
      </c>
      <c r="O110" s="91">
        <f t="shared" si="50"/>
        <v>100349.59000000001</v>
      </c>
      <c r="P110" s="91">
        <f t="shared" si="50"/>
        <v>6525.6327154990777</v>
      </c>
      <c r="Q110" s="91">
        <f t="shared" ref="Q110" si="51">SUM(Q102:Q103)</f>
        <v>0</v>
      </c>
      <c r="R110" s="392"/>
      <c r="S110" s="2"/>
    </row>
    <row r="111" spans="2:19" ht="51" customHeight="1" thickBot="1" x14ac:dyDescent="0.3">
      <c r="B111" s="235" t="s">
        <v>123</v>
      </c>
      <c r="C111" s="664" t="s">
        <v>273</v>
      </c>
      <c r="D111" s="662"/>
      <c r="E111" s="662"/>
      <c r="F111" s="662"/>
      <c r="G111" s="662"/>
      <c r="H111" s="662"/>
      <c r="I111" s="663"/>
      <c r="J111" s="663"/>
      <c r="K111" s="662"/>
      <c r="L111" s="19"/>
      <c r="M111" s="2"/>
      <c r="N111" s="289"/>
      <c r="O111" s="2"/>
      <c r="P111" s="356">
        <f t="shared" ref="P111:P113" si="52">I111</f>
        <v>0</v>
      </c>
      <c r="Q111" s="2"/>
      <c r="R111" s="394"/>
      <c r="S111" s="2"/>
    </row>
    <row r="112" spans="2:19" ht="95.25" thickBot="1" x14ac:dyDescent="0.3">
      <c r="B112" s="236" t="s">
        <v>124</v>
      </c>
      <c r="C112" s="210" t="s">
        <v>274</v>
      </c>
      <c r="D112" s="9">
        <f>+Summary!I36</f>
        <v>79329.090000000026</v>
      </c>
      <c r="E112" s="10"/>
      <c r="F112" s="10"/>
      <c r="G112" s="169">
        <f>D112</f>
        <v>79329.090000000026</v>
      </c>
      <c r="H112" s="11">
        <v>1</v>
      </c>
      <c r="I112" s="361">
        <f>SUMIF('6)Transaction List'!G:G,"A.3.3.1",'6)Transaction List'!M:M)+'6)Transaction List'!AS785+4.16</f>
        <v>40339.894002415385</v>
      </c>
      <c r="J112" s="192" t="s">
        <v>298</v>
      </c>
      <c r="K112" s="193" t="s">
        <v>50</v>
      </c>
      <c r="L112" s="12">
        <v>0</v>
      </c>
      <c r="M112" s="81">
        <f>D112-L112</f>
        <v>79329.090000000026</v>
      </c>
      <c r="N112" s="81">
        <f t="shared" ref="N112:N113" si="53">M112</f>
        <v>79329.090000000026</v>
      </c>
      <c r="O112" s="82">
        <f t="shared" ref="O112:O113" si="54">+N112-L112</f>
        <v>79329.090000000026</v>
      </c>
      <c r="P112" s="356">
        <f t="shared" si="52"/>
        <v>40339.894002415385</v>
      </c>
      <c r="Q112" s="2"/>
      <c r="R112" s="384">
        <f>P112/G112</f>
        <v>0.50851325790344215</v>
      </c>
      <c r="S112" s="2"/>
    </row>
    <row r="113" spans="2:19" ht="95.25" thickBot="1" x14ac:dyDescent="0.3">
      <c r="B113" s="236" t="s">
        <v>125</v>
      </c>
      <c r="C113" s="210" t="s">
        <v>275</v>
      </c>
      <c r="D113" s="9">
        <f>+Summary!I37</f>
        <v>103737.78000000003</v>
      </c>
      <c r="E113" s="10"/>
      <c r="F113" s="10"/>
      <c r="G113" s="169">
        <f t="shared" ref="G113:G119" si="55">D113</f>
        <v>103737.78000000003</v>
      </c>
      <c r="H113" s="11">
        <v>1</v>
      </c>
      <c r="I113" s="361">
        <f>SUMIF('6)Transaction List'!G:G,"A.3.3.2",'6)Transaction List'!M:M)+'6)Transaction List'!AT785</f>
        <v>22630.434534510256</v>
      </c>
      <c r="J113" s="192" t="s">
        <v>299</v>
      </c>
      <c r="K113" s="193" t="s">
        <v>50</v>
      </c>
      <c r="L113" s="12">
        <v>0</v>
      </c>
      <c r="M113" s="81">
        <f>D113-L113</f>
        <v>103737.78000000003</v>
      </c>
      <c r="N113" s="81">
        <f t="shared" si="53"/>
        <v>103737.78000000003</v>
      </c>
      <c r="O113" s="82">
        <f t="shared" si="54"/>
        <v>103737.78000000003</v>
      </c>
      <c r="P113" s="356">
        <f t="shared" si="52"/>
        <v>22630.434534510256</v>
      </c>
      <c r="Q113" s="2"/>
      <c r="R113" s="384">
        <f>P113/G113</f>
        <v>0.21815036464545751</v>
      </c>
      <c r="S113" s="2"/>
    </row>
    <row r="114" spans="2:19" hidden="1" x14ac:dyDescent="0.25">
      <c r="B114" s="236" t="s">
        <v>126</v>
      </c>
      <c r="C114" s="210"/>
      <c r="D114" s="17"/>
      <c r="E114" s="10"/>
      <c r="F114" s="10"/>
      <c r="G114" s="169">
        <f t="shared" si="55"/>
        <v>0</v>
      </c>
      <c r="H114" s="11"/>
      <c r="I114" s="10"/>
      <c r="J114" s="10"/>
      <c r="K114" s="194"/>
      <c r="L114" s="12"/>
      <c r="M114" s="2"/>
      <c r="N114" s="289"/>
      <c r="O114" s="2"/>
      <c r="P114" s="2"/>
      <c r="Q114" s="2"/>
      <c r="R114" s="394"/>
      <c r="S114" s="2"/>
    </row>
    <row r="115" spans="2:19" hidden="1" x14ac:dyDescent="0.25">
      <c r="B115" s="236" t="s">
        <v>127</v>
      </c>
      <c r="C115" s="210"/>
      <c r="D115" s="17"/>
      <c r="E115" s="10"/>
      <c r="F115" s="10"/>
      <c r="G115" s="169">
        <f t="shared" si="55"/>
        <v>0</v>
      </c>
      <c r="H115" s="11"/>
      <c r="I115" s="10"/>
      <c r="J115" s="10"/>
      <c r="K115" s="194"/>
      <c r="L115" s="12"/>
      <c r="M115" s="2"/>
      <c r="N115" s="289"/>
      <c r="O115" s="2"/>
      <c r="P115" s="2"/>
      <c r="Q115" s="2"/>
      <c r="R115" s="394"/>
      <c r="S115" s="2"/>
    </row>
    <row r="116" spans="2:19" hidden="1" x14ac:dyDescent="0.25">
      <c r="B116" s="236" t="s">
        <v>128</v>
      </c>
      <c r="C116" s="210"/>
      <c r="D116" s="17"/>
      <c r="E116" s="10"/>
      <c r="F116" s="10"/>
      <c r="G116" s="169">
        <f t="shared" si="55"/>
        <v>0</v>
      </c>
      <c r="H116" s="11"/>
      <c r="I116" s="10"/>
      <c r="J116" s="10"/>
      <c r="K116" s="194"/>
      <c r="L116" s="12"/>
      <c r="M116" s="2"/>
      <c r="N116" s="289"/>
      <c r="O116" s="2"/>
      <c r="P116" s="2"/>
      <c r="Q116" s="2"/>
      <c r="R116" s="394"/>
      <c r="S116" s="2"/>
    </row>
    <row r="117" spans="2:19" hidden="1" x14ac:dyDescent="0.25">
      <c r="B117" s="236" t="s">
        <v>129</v>
      </c>
      <c r="C117" s="210"/>
      <c r="D117" s="17"/>
      <c r="E117" s="10"/>
      <c r="F117" s="10"/>
      <c r="G117" s="169">
        <f t="shared" si="55"/>
        <v>0</v>
      </c>
      <c r="H117" s="11"/>
      <c r="I117" s="10"/>
      <c r="J117" s="10"/>
      <c r="K117" s="194"/>
      <c r="L117" s="12"/>
      <c r="M117" s="2"/>
      <c r="N117" s="289"/>
      <c r="O117" s="2"/>
      <c r="P117" s="2"/>
      <c r="Q117" s="2"/>
      <c r="R117" s="394"/>
      <c r="S117" s="2"/>
    </row>
    <row r="118" spans="2:19" hidden="1" x14ac:dyDescent="0.25">
      <c r="B118" s="236" t="s">
        <v>130</v>
      </c>
      <c r="C118" s="211"/>
      <c r="D118" s="183"/>
      <c r="E118" s="13"/>
      <c r="F118" s="13"/>
      <c r="G118" s="169">
        <f t="shared" si="55"/>
        <v>0</v>
      </c>
      <c r="H118" s="14"/>
      <c r="I118" s="13"/>
      <c r="J118" s="13"/>
      <c r="K118" s="195"/>
      <c r="L118" s="12"/>
      <c r="M118" s="2"/>
      <c r="N118" s="289"/>
      <c r="O118" s="2"/>
      <c r="P118" s="2"/>
      <c r="Q118" s="2"/>
      <c r="R118" s="394"/>
      <c r="S118" s="2"/>
    </row>
    <row r="119" spans="2:19" hidden="1" x14ac:dyDescent="0.25">
      <c r="B119" s="236" t="s">
        <v>131</v>
      </c>
      <c r="C119" s="211"/>
      <c r="D119" s="183"/>
      <c r="E119" s="13"/>
      <c r="F119" s="13"/>
      <c r="G119" s="169">
        <f t="shared" si="55"/>
        <v>0</v>
      </c>
      <c r="H119" s="14"/>
      <c r="I119" s="13"/>
      <c r="J119" s="13"/>
      <c r="K119" s="195"/>
      <c r="L119" s="12"/>
      <c r="M119" s="2"/>
      <c r="N119" s="289"/>
      <c r="O119" s="2"/>
      <c r="P119" s="2"/>
      <c r="Q119" s="2"/>
      <c r="R119" s="394"/>
      <c r="S119" s="2"/>
    </row>
    <row r="120" spans="2:19" ht="15.75" x14ac:dyDescent="0.25">
      <c r="B120" s="150"/>
      <c r="C120" s="212" t="s">
        <v>57</v>
      </c>
      <c r="D120" s="113">
        <f>SUM(D112:D119)</f>
        <v>183066.87000000005</v>
      </c>
      <c r="E120" s="4">
        <f t="shared" ref="E120:G120" si="56">SUM(E112:E119)</f>
        <v>0</v>
      </c>
      <c r="F120" s="4">
        <f t="shared" si="56"/>
        <v>0</v>
      </c>
      <c r="G120" s="170">
        <f t="shared" si="56"/>
        <v>183066.87000000005</v>
      </c>
      <c r="H120" s="4">
        <f>(H112*G112)+(H113*G113)+(H114*G114)+(H115*G115)+(H116*G116)+(H117*G117)+(H118*G118)+(H119*G119)</f>
        <v>183066.87000000005</v>
      </c>
      <c r="I120" s="4">
        <f>SUM(I112:I119)</f>
        <v>62970.328536925641</v>
      </c>
      <c r="J120" s="16"/>
      <c r="K120" s="195"/>
      <c r="L120" s="113">
        <f t="shared" ref="L120:Q120" si="57">SUM(L112:L119)</f>
        <v>0</v>
      </c>
      <c r="M120" s="113">
        <f t="shared" si="57"/>
        <v>183066.87000000005</v>
      </c>
      <c r="N120" s="113">
        <f t="shared" si="57"/>
        <v>183066.87000000005</v>
      </c>
      <c r="O120" s="113">
        <f t="shared" si="57"/>
        <v>183066.87000000005</v>
      </c>
      <c r="P120" s="113">
        <f t="shared" si="57"/>
        <v>62970.328536925641</v>
      </c>
      <c r="Q120" s="113">
        <f t="shared" si="57"/>
        <v>0</v>
      </c>
      <c r="R120" s="407"/>
      <c r="S120" s="406"/>
    </row>
    <row r="121" spans="2:19" ht="20.65" customHeight="1" x14ac:dyDescent="0.25">
      <c r="B121" s="235" t="s">
        <v>132</v>
      </c>
      <c r="C121" s="661"/>
      <c r="D121" s="659"/>
      <c r="E121" s="659"/>
      <c r="F121" s="659"/>
      <c r="G121" s="659"/>
      <c r="H121" s="659"/>
      <c r="I121" s="660"/>
      <c r="J121" s="660"/>
      <c r="K121" s="659"/>
      <c r="L121" s="19"/>
      <c r="M121" s="2"/>
      <c r="N121" s="289"/>
      <c r="O121" s="2"/>
      <c r="P121" s="356">
        <f t="shared" ref="P121" si="58">I121</f>
        <v>0</v>
      </c>
      <c r="Q121" s="2"/>
      <c r="R121" s="394"/>
      <c r="S121" s="2"/>
    </row>
    <row r="122" spans="2:19" hidden="1" x14ac:dyDescent="0.25">
      <c r="B122" s="236" t="s">
        <v>133</v>
      </c>
      <c r="C122" s="210"/>
      <c r="D122" s="17"/>
      <c r="E122" s="10"/>
      <c r="F122" s="10"/>
      <c r="G122" s="169">
        <f>D122</f>
        <v>0</v>
      </c>
      <c r="H122" s="11"/>
      <c r="I122" s="10"/>
      <c r="J122" s="10"/>
      <c r="K122" s="194"/>
      <c r="L122" s="12"/>
      <c r="M122" s="2"/>
      <c r="N122" s="289"/>
      <c r="O122" s="2"/>
      <c r="P122" s="89"/>
      <c r="Q122" s="2"/>
      <c r="R122" s="394"/>
      <c r="S122" s="2"/>
    </row>
    <row r="123" spans="2:19" hidden="1" x14ac:dyDescent="0.25">
      <c r="B123" s="236" t="s">
        <v>134</v>
      </c>
      <c r="C123" s="210"/>
      <c r="D123" s="17"/>
      <c r="E123" s="10"/>
      <c r="F123" s="10"/>
      <c r="G123" s="169">
        <f t="shared" ref="G123:G129" si="59">D123</f>
        <v>0</v>
      </c>
      <c r="H123" s="11"/>
      <c r="I123" s="10"/>
      <c r="J123" s="10"/>
      <c r="K123" s="194"/>
      <c r="L123" s="12"/>
      <c r="M123" s="2"/>
      <c r="N123" s="289"/>
      <c r="O123" s="2"/>
      <c r="P123" s="89"/>
      <c r="Q123" s="2"/>
      <c r="R123" s="394"/>
      <c r="S123" s="2"/>
    </row>
    <row r="124" spans="2:19" hidden="1" x14ac:dyDescent="0.25">
      <c r="B124" s="236" t="s">
        <v>135</v>
      </c>
      <c r="C124" s="210"/>
      <c r="D124" s="17"/>
      <c r="E124" s="10"/>
      <c r="F124" s="10"/>
      <c r="G124" s="169">
        <f t="shared" si="59"/>
        <v>0</v>
      </c>
      <c r="H124" s="11"/>
      <c r="I124" s="10"/>
      <c r="J124" s="10"/>
      <c r="K124" s="194"/>
      <c r="L124" s="12"/>
      <c r="M124" s="2"/>
      <c r="N124" s="289"/>
      <c r="O124" s="2"/>
      <c r="P124" s="89"/>
      <c r="Q124" s="2"/>
      <c r="R124" s="394"/>
      <c r="S124" s="2"/>
    </row>
    <row r="125" spans="2:19" hidden="1" x14ac:dyDescent="0.25">
      <c r="B125" s="236" t="s">
        <v>136</v>
      </c>
      <c r="C125" s="210"/>
      <c r="D125" s="17"/>
      <c r="E125" s="10"/>
      <c r="F125" s="10"/>
      <c r="G125" s="169">
        <f t="shared" si="59"/>
        <v>0</v>
      </c>
      <c r="H125" s="11"/>
      <c r="I125" s="10"/>
      <c r="J125" s="10"/>
      <c r="K125" s="194"/>
      <c r="L125" s="12"/>
      <c r="M125" s="2"/>
      <c r="N125" s="289"/>
      <c r="O125" s="2"/>
      <c r="P125" s="89"/>
      <c r="Q125" s="2"/>
      <c r="R125" s="394"/>
      <c r="S125" s="2"/>
    </row>
    <row r="126" spans="2:19" hidden="1" x14ac:dyDescent="0.25">
      <c r="B126" s="236" t="s">
        <v>137</v>
      </c>
      <c r="C126" s="210"/>
      <c r="D126" s="17"/>
      <c r="E126" s="10"/>
      <c r="F126" s="10"/>
      <c r="G126" s="169">
        <f t="shared" si="59"/>
        <v>0</v>
      </c>
      <c r="H126" s="11"/>
      <c r="I126" s="10"/>
      <c r="J126" s="10"/>
      <c r="K126" s="194"/>
      <c r="L126" s="12"/>
      <c r="M126" s="2"/>
      <c r="N126" s="289"/>
      <c r="O126" s="2"/>
      <c r="P126" s="89"/>
      <c r="Q126" s="2"/>
      <c r="R126" s="394"/>
      <c r="S126" s="2"/>
    </row>
    <row r="127" spans="2:19" hidden="1" x14ac:dyDescent="0.25">
      <c r="B127" s="236" t="s">
        <v>138</v>
      </c>
      <c r="C127" s="210"/>
      <c r="D127" s="17"/>
      <c r="E127" s="10"/>
      <c r="F127" s="10"/>
      <c r="G127" s="169">
        <f t="shared" si="59"/>
        <v>0</v>
      </c>
      <c r="H127" s="11"/>
      <c r="I127" s="10"/>
      <c r="J127" s="10"/>
      <c r="K127" s="194"/>
      <c r="L127" s="12"/>
      <c r="M127" s="2"/>
      <c r="N127" s="289"/>
      <c r="O127" s="2"/>
      <c r="P127" s="89"/>
      <c r="Q127" s="2"/>
      <c r="R127" s="394"/>
      <c r="S127" s="2"/>
    </row>
    <row r="128" spans="2:19" hidden="1" x14ac:dyDescent="0.25">
      <c r="B128" s="236" t="s">
        <v>139</v>
      </c>
      <c r="C128" s="211"/>
      <c r="D128" s="183"/>
      <c r="E128" s="13"/>
      <c r="F128" s="13"/>
      <c r="G128" s="169">
        <f t="shared" si="59"/>
        <v>0</v>
      </c>
      <c r="H128" s="14"/>
      <c r="I128" s="13"/>
      <c r="J128" s="13"/>
      <c r="K128" s="195"/>
      <c r="L128" s="12"/>
      <c r="M128" s="2"/>
      <c r="N128" s="289"/>
      <c r="O128" s="2"/>
      <c r="P128" s="89"/>
      <c r="Q128" s="2"/>
      <c r="R128" s="394"/>
      <c r="S128" s="2"/>
    </row>
    <row r="129" spans="2:19" hidden="1" x14ac:dyDescent="0.25">
      <c r="B129" s="236" t="s">
        <v>140</v>
      </c>
      <c r="C129" s="211"/>
      <c r="D129" s="183"/>
      <c r="E129" s="13"/>
      <c r="F129" s="13"/>
      <c r="G129" s="169">
        <f t="shared" si="59"/>
        <v>0</v>
      </c>
      <c r="H129" s="14"/>
      <c r="I129" s="13"/>
      <c r="J129" s="13"/>
      <c r="K129" s="195"/>
      <c r="L129" s="12"/>
      <c r="M129" s="2"/>
      <c r="N129" s="289"/>
      <c r="O129" s="2"/>
      <c r="P129" s="89"/>
      <c r="Q129" s="2"/>
      <c r="R129" s="394"/>
      <c r="S129" s="2"/>
    </row>
    <row r="130" spans="2:19" x14ac:dyDescent="0.25">
      <c r="B130" s="150"/>
      <c r="C130" s="212" t="s">
        <v>57</v>
      </c>
      <c r="D130" s="170">
        <f>SUM(D122:D129)</f>
        <v>0</v>
      </c>
      <c r="E130" s="4">
        <f t="shared" ref="E130:G130" si="60">SUM(E122:E129)</f>
        <v>0</v>
      </c>
      <c r="F130" s="4">
        <f t="shared" si="60"/>
        <v>0</v>
      </c>
      <c r="G130" s="170">
        <f t="shared" si="60"/>
        <v>0</v>
      </c>
      <c r="H130" s="4">
        <f>(H122*G122)+(H123*G123)+(H124*G124)+(H125*G125)+(H126*G126)+(H127*G127)+(H128*G128)+(H129*G129)</f>
        <v>0</v>
      </c>
      <c r="I130" s="4">
        <f>SUM(I122:I129)</f>
        <v>0</v>
      </c>
      <c r="J130" s="16"/>
      <c r="K130" s="195"/>
      <c r="L130" s="21"/>
      <c r="M130" s="2"/>
      <c r="N130" s="289"/>
      <c r="O130" s="2"/>
      <c r="P130" s="356">
        <f t="shared" ref="P130:P177" si="61">I130</f>
        <v>0</v>
      </c>
      <c r="Q130" s="2"/>
      <c r="R130" s="394"/>
      <c r="S130" s="2"/>
    </row>
    <row r="131" spans="2:19" ht="15.75" customHeight="1" x14ac:dyDescent="0.25">
      <c r="B131" s="238"/>
      <c r="C131" s="225"/>
      <c r="D131" s="176"/>
      <c r="E131" s="24"/>
      <c r="F131" s="24"/>
      <c r="G131" s="176"/>
      <c r="H131" s="24"/>
      <c r="I131" s="24"/>
      <c r="J131" s="24"/>
      <c r="K131" s="206"/>
      <c r="L131" s="25"/>
      <c r="M131" s="2"/>
      <c r="N131" s="289"/>
      <c r="O131" s="2"/>
      <c r="P131" s="356">
        <f t="shared" si="61"/>
        <v>0</v>
      </c>
      <c r="Q131" s="2"/>
      <c r="R131" s="394"/>
      <c r="S131" s="2"/>
    </row>
    <row r="132" spans="2:19" ht="19.5" customHeight="1" x14ac:dyDescent="0.25">
      <c r="B132" s="235" t="s">
        <v>141</v>
      </c>
      <c r="C132" s="674"/>
      <c r="D132" s="675"/>
      <c r="E132" s="675"/>
      <c r="F132" s="675"/>
      <c r="G132" s="675"/>
      <c r="H132" s="675"/>
      <c r="I132" s="676"/>
      <c r="J132" s="676"/>
      <c r="K132" s="675"/>
      <c r="L132" s="26"/>
      <c r="M132" s="2"/>
      <c r="N132" s="289"/>
      <c r="O132" s="2"/>
      <c r="P132" s="356">
        <f t="shared" si="61"/>
        <v>0</v>
      </c>
      <c r="Q132" s="2"/>
      <c r="R132" s="394"/>
      <c r="S132" s="2"/>
    </row>
    <row r="133" spans="2:19" ht="18.600000000000001" customHeight="1" x14ac:dyDescent="0.25">
      <c r="B133" s="235" t="s">
        <v>142</v>
      </c>
      <c r="C133" s="661"/>
      <c r="D133" s="659"/>
      <c r="E133" s="659"/>
      <c r="F133" s="659"/>
      <c r="G133" s="659"/>
      <c r="H133" s="659"/>
      <c r="I133" s="660"/>
      <c r="J133" s="660"/>
      <c r="K133" s="659"/>
      <c r="L133" s="19"/>
      <c r="M133" s="2"/>
      <c r="N133" s="289"/>
      <c r="O133" s="2"/>
      <c r="P133" s="356">
        <f t="shared" si="61"/>
        <v>0</v>
      </c>
      <c r="Q133" s="2"/>
      <c r="R133" s="394"/>
      <c r="S133" s="2"/>
    </row>
    <row r="134" spans="2:19" hidden="1" x14ac:dyDescent="0.25">
      <c r="B134" s="236" t="s">
        <v>143</v>
      </c>
      <c r="C134" s="210"/>
      <c r="D134" s="17"/>
      <c r="E134" s="10"/>
      <c r="F134" s="10"/>
      <c r="G134" s="169">
        <f>D134</f>
        <v>0</v>
      </c>
      <c r="H134" s="11"/>
      <c r="I134" s="10"/>
      <c r="J134" s="10"/>
      <c r="K134" s="194"/>
      <c r="L134" s="12"/>
      <c r="M134" s="2"/>
      <c r="N134" s="289"/>
      <c r="O134" s="2"/>
      <c r="P134" s="356">
        <f t="shared" si="61"/>
        <v>0</v>
      </c>
      <c r="Q134" s="2"/>
      <c r="R134" s="394"/>
      <c r="S134" s="2"/>
    </row>
    <row r="135" spans="2:19" hidden="1" x14ac:dyDescent="0.25">
      <c r="B135" s="236" t="s">
        <v>144</v>
      </c>
      <c r="C135" s="210"/>
      <c r="D135" s="17"/>
      <c r="E135" s="10"/>
      <c r="F135" s="10"/>
      <c r="G135" s="169">
        <f t="shared" ref="G135:G141" si="62">D135</f>
        <v>0</v>
      </c>
      <c r="H135" s="11"/>
      <c r="I135" s="10"/>
      <c r="J135" s="10"/>
      <c r="K135" s="194"/>
      <c r="L135" s="12"/>
      <c r="M135" s="2"/>
      <c r="N135" s="289"/>
      <c r="O135" s="2"/>
      <c r="P135" s="356">
        <f t="shared" si="61"/>
        <v>0</v>
      </c>
      <c r="Q135" s="2"/>
      <c r="R135" s="394"/>
      <c r="S135" s="2"/>
    </row>
    <row r="136" spans="2:19" hidden="1" x14ac:dyDescent="0.25">
      <c r="B136" s="236" t="s">
        <v>145</v>
      </c>
      <c r="C136" s="210"/>
      <c r="D136" s="17"/>
      <c r="E136" s="10"/>
      <c r="F136" s="10"/>
      <c r="G136" s="169">
        <f t="shared" si="62"/>
        <v>0</v>
      </c>
      <c r="H136" s="11"/>
      <c r="I136" s="10"/>
      <c r="J136" s="10"/>
      <c r="K136" s="194"/>
      <c r="L136" s="12"/>
      <c r="M136" s="2"/>
      <c r="N136" s="289"/>
      <c r="O136" s="2"/>
      <c r="P136" s="356">
        <f t="shared" si="61"/>
        <v>0</v>
      </c>
      <c r="Q136" s="2"/>
      <c r="R136" s="394"/>
      <c r="S136" s="2"/>
    </row>
    <row r="137" spans="2:19" hidden="1" x14ac:dyDescent="0.25">
      <c r="B137" s="236" t="s">
        <v>146</v>
      </c>
      <c r="C137" s="210"/>
      <c r="D137" s="17"/>
      <c r="E137" s="10"/>
      <c r="F137" s="10"/>
      <c r="G137" s="169">
        <f t="shared" si="62"/>
        <v>0</v>
      </c>
      <c r="H137" s="11"/>
      <c r="I137" s="10"/>
      <c r="J137" s="10"/>
      <c r="K137" s="194"/>
      <c r="L137" s="12"/>
      <c r="M137" s="2"/>
      <c r="N137" s="289"/>
      <c r="O137" s="2"/>
      <c r="P137" s="356">
        <f t="shared" si="61"/>
        <v>0</v>
      </c>
      <c r="Q137" s="2"/>
      <c r="R137" s="394"/>
      <c r="S137" s="2"/>
    </row>
    <row r="138" spans="2:19" hidden="1" x14ac:dyDescent="0.25">
      <c r="B138" s="236" t="s">
        <v>147</v>
      </c>
      <c r="C138" s="210"/>
      <c r="D138" s="17"/>
      <c r="E138" s="10"/>
      <c r="F138" s="10"/>
      <c r="G138" s="169">
        <f t="shared" si="62"/>
        <v>0</v>
      </c>
      <c r="H138" s="11"/>
      <c r="I138" s="10"/>
      <c r="J138" s="10"/>
      <c r="K138" s="194"/>
      <c r="L138" s="12"/>
      <c r="M138" s="2"/>
      <c r="N138" s="289"/>
      <c r="O138" s="2"/>
      <c r="P138" s="356">
        <f t="shared" si="61"/>
        <v>0</v>
      </c>
      <c r="Q138" s="2"/>
      <c r="R138" s="394"/>
      <c r="S138" s="2"/>
    </row>
    <row r="139" spans="2:19" hidden="1" x14ac:dyDescent="0.25">
      <c r="B139" s="236" t="s">
        <v>148</v>
      </c>
      <c r="C139" s="210"/>
      <c r="D139" s="17"/>
      <c r="E139" s="10"/>
      <c r="F139" s="10"/>
      <c r="G139" s="169">
        <f t="shared" si="62"/>
        <v>0</v>
      </c>
      <c r="H139" s="11"/>
      <c r="I139" s="10"/>
      <c r="J139" s="10"/>
      <c r="K139" s="194"/>
      <c r="L139" s="12"/>
      <c r="M139" s="2"/>
      <c r="N139" s="289"/>
      <c r="O139" s="2"/>
      <c r="P139" s="356">
        <f t="shared" si="61"/>
        <v>0</v>
      </c>
      <c r="Q139" s="2"/>
      <c r="R139" s="394"/>
      <c r="S139" s="2"/>
    </row>
    <row r="140" spans="2:19" hidden="1" x14ac:dyDescent="0.25">
      <c r="B140" s="236" t="s">
        <v>149</v>
      </c>
      <c r="C140" s="211"/>
      <c r="D140" s="183"/>
      <c r="E140" s="13"/>
      <c r="F140" s="13"/>
      <c r="G140" s="169">
        <f t="shared" si="62"/>
        <v>0</v>
      </c>
      <c r="H140" s="14"/>
      <c r="I140" s="13"/>
      <c r="J140" s="13"/>
      <c r="K140" s="195"/>
      <c r="L140" s="12"/>
      <c r="M140" s="2"/>
      <c r="N140" s="289"/>
      <c r="O140" s="2"/>
      <c r="P140" s="356">
        <f t="shared" si="61"/>
        <v>0</v>
      </c>
      <c r="Q140" s="2"/>
      <c r="R140" s="394"/>
      <c r="S140" s="2"/>
    </row>
    <row r="141" spans="2:19" hidden="1" x14ac:dyDescent="0.25">
      <c r="B141" s="236" t="s">
        <v>150</v>
      </c>
      <c r="C141" s="211"/>
      <c r="D141" s="183"/>
      <c r="E141" s="13"/>
      <c r="F141" s="13"/>
      <c r="G141" s="169">
        <f t="shared" si="62"/>
        <v>0</v>
      </c>
      <c r="H141" s="14"/>
      <c r="I141" s="13"/>
      <c r="J141" s="13"/>
      <c r="K141" s="195"/>
      <c r="L141" s="12"/>
      <c r="M141" s="2"/>
      <c r="N141" s="289"/>
      <c r="O141" s="2"/>
      <c r="P141" s="356">
        <f t="shared" si="61"/>
        <v>0</v>
      </c>
      <c r="Q141" s="2"/>
      <c r="R141" s="394"/>
      <c r="S141" s="2"/>
    </row>
    <row r="142" spans="2:19" x14ac:dyDescent="0.25">
      <c r="B142" s="150"/>
      <c r="C142" s="212" t="s">
        <v>57</v>
      </c>
      <c r="D142" s="170">
        <f>SUM(D134:D141)</f>
        <v>0</v>
      </c>
      <c r="E142" s="4">
        <f t="shared" ref="E142:G142" si="63">SUM(E134:E141)</f>
        <v>0</v>
      </c>
      <c r="F142" s="4">
        <f t="shared" si="63"/>
        <v>0</v>
      </c>
      <c r="G142" s="170">
        <f t="shared" si="63"/>
        <v>0</v>
      </c>
      <c r="H142" s="4">
        <f>(H134*G134)+(H135*G135)+(H136*G136)+(H137*G137)+(H138*G138)+(H139*G139)+(H140*G140)+(H141*G141)</f>
        <v>0</v>
      </c>
      <c r="I142" s="4">
        <f>SUM(I134:I141)</f>
        <v>0</v>
      </c>
      <c r="J142" s="16"/>
      <c r="K142" s="195"/>
      <c r="L142" s="21"/>
      <c r="M142" s="2"/>
      <c r="N142" s="289"/>
      <c r="O142" s="2"/>
      <c r="P142" s="356">
        <f t="shared" si="61"/>
        <v>0</v>
      </c>
      <c r="Q142" s="2"/>
      <c r="R142" s="394"/>
      <c r="S142" s="2"/>
    </row>
    <row r="143" spans="2:19" ht="18.600000000000001" customHeight="1" x14ac:dyDescent="0.25">
      <c r="B143" s="235" t="s">
        <v>151</v>
      </c>
      <c r="C143" s="661"/>
      <c r="D143" s="659"/>
      <c r="E143" s="659"/>
      <c r="F143" s="659"/>
      <c r="G143" s="659"/>
      <c r="H143" s="659"/>
      <c r="I143" s="660"/>
      <c r="J143" s="660"/>
      <c r="K143" s="659"/>
      <c r="L143" s="19"/>
      <c r="M143" s="2"/>
      <c r="N143" s="289"/>
      <c r="O143" s="2"/>
      <c r="P143" s="356">
        <f t="shared" si="61"/>
        <v>0</v>
      </c>
      <c r="Q143" s="2"/>
      <c r="R143" s="394"/>
      <c r="S143" s="2"/>
    </row>
    <row r="144" spans="2:19" hidden="1" x14ac:dyDescent="0.25">
      <c r="B144" s="236" t="s">
        <v>152</v>
      </c>
      <c r="C144" s="210"/>
      <c r="D144" s="17"/>
      <c r="E144" s="10"/>
      <c r="F144" s="10"/>
      <c r="G144" s="169">
        <f>D144</f>
        <v>0</v>
      </c>
      <c r="H144" s="11"/>
      <c r="I144" s="10"/>
      <c r="J144" s="10"/>
      <c r="K144" s="194"/>
      <c r="L144" s="12"/>
      <c r="M144" s="2"/>
      <c r="N144" s="289"/>
      <c r="O144" s="2"/>
      <c r="P144" s="356">
        <f t="shared" si="61"/>
        <v>0</v>
      </c>
      <c r="Q144" s="2"/>
      <c r="R144" s="394"/>
      <c r="S144" s="2"/>
    </row>
    <row r="145" spans="2:19" hidden="1" x14ac:dyDescent="0.25">
      <c r="B145" s="236" t="s">
        <v>153</v>
      </c>
      <c r="C145" s="210"/>
      <c r="D145" s="17"/>
      <c r="E145" s="10"/>
      <c r="F145" s="10"/>
      <c r="G145" s="169">
        <f t="shared" ref="G145:G151" si="64">D145</f>
        <v>0</v>
      </c>
      <c r="H145" s="11"/>
      <c r="I145" s="10"/>
      <c r="J145" s="10"/>
      <c r="K145" s="194"/>
      <c r="L145" s="12"/>
      <c r="M145" s="2"/>
      <c r="N145" s="289"/>
      <c r="O145" s="2"/>
      <c r="P145" s="356">
        <f t="shared" si="61"/>
        <v>0</v>
      </c>
      <c r="Q145" s="2"/>
      <c r="R145" s="394"/>
      <c r="S145" s="2"/>
    </row>
    <row r="146" spans="2:19" hidden="1" x14ac:dyDescent="0.25">
      <c r="B146" s="236" t="s">
        <v>154</v>
      </c>
      <c r="C146" s="210"/>
      <c r="D146" s="17"/>
      <c r="E146" s="10"/>
      <c r="F146" s="10"/>
      <c r="G146" s="169">
        <f t="shared" si="64"/>
        <v>0</v>
      </c>
      <c r="H146" s="11"/>
      <c r="I146" s="10"/>
      <c r="J146" s="10"/>
      <c r="K146" s="194"/>
      <c r="L146" s="12"/>
      <c r="M146" s="2"/>
      <c r="N146" s="289"/>
      <c r="O146" s="2"/>
      <c r="P146" s="356">
        <f t="shared" si="61"/>
        <v>0</v>
      </c>
      <c r="Q146" s="2"/>
      <c r="R146" s="394"/>
      <c r="S146" s="2"/>
    </row>
    <row r="147" spans="2:19" hidden="1" x14ac:dyDescent="0.25">
      <c r="B147" s="236" t="s">
        <v>155</v>
      </c>
      <c r="C147" s="210"/>
      <c r="D147" s="17"/>
      <c r="E147" s="10"/>
      <c r="F147" s="10"/>
      <c r="G147" s="169">
        <f t="shared" si="64"/>
        <v>0</v>
      </c>
      <c r="H147" s="11"/>
      <c r="I147" s="10"/>
      <c r="J147" s="10"/>
      <c r="K147" s="194"/>
      <c r="L147" s="12"/>
      <c r="M147" s="2"/>
      <c r="N147" s="289"/>
      <c r="O147" s="2"/>
      <c r="P147" s="356">
        <f t="shared" si="61"/>
        <v>0</v>
      </c>
      <c r="Q147" s="2"/>
      <c r="R147" s="394"/>
      <c r="S147" s="2"/>
    </row>
    <row r="148" spans="2:19" hidden="1" x14ac:dyDescent="0.25">
      <c r="B148" s="236" t="s">
        <v>156</v>
      </c>
      <c r="C148" s="210"/>
      <c r="D148" s="17"/>
      <c r="E148" s="10"/>
      <c r="F148" s="10"/>
      <c r="G148" s="169">
        <f t="shared" si="64"/>
        <v>0</v>
      </c>
      <c r="H148" s="11"/>
      <c r="I148" s="10"/>
      <c r="J148" s="10"/>
      <c r="K148" s="194"/>
      <c r="L148" s="12"/>
      <c r="M148" s="2"/>
      <c r="N148" s="289"/>
      <c r="O148" s="2"/>
      <c r="P148" s="356">
        <f t="shared" si="61"/>
        <v>0</v>
      </c>
      <c r="Q148" s="2"/>
      <c r="R148" s="394"/>
      <c r="S148" s="2"/>
    </row>
    <row r="149" spans="2:19" hidden="1" x14ac:dyDescent="0.25">
      <c r="B149" s="236" t="s">
        <v>157</v>
      </c>
      <c r="C149" s="210"/>
      <c r="D149" s="17"/>
      <c r="E149" s="10"/>
      <c r="F149" s="10"/>
      <c r="G149" s="169">
        <f t="shared" si="64"/>
        <v>0</v>
      </c>
      <c r="H149" s="11"/>
      <c r="I149" s="10"/>
      <c r="J149" s="10"/>
      <c r="K149" s="194"/>
      <c r="L149" s="12"/>
      <c r="M149" s="2"/>
      <c r="N149" s="289"/>
      <c r="O149" s="2"/>
      <c r="P149" s="356">
        <f t="shared" si="61"/>
        <v>0</v>
      </c>
      <c r="Q149" s="2"/>
      <c r="R149" s="394"/>
      <c r="S149" s="2"/>
    </row>
    <row r="150" spans="2:19" hidden="1" x14ac:dyDescent="0.25">
      <c r="B150" s="236" t="s">
        <v>158</v>
      </c>
      <c r="C150" s="211"/>
      <c r="D150" s="183"/>
      <c r="E150" s="13"/>
      <c r="F150" s="13"/>
      <c r="G150" s="169">
        <f t="shared" si="64"/>
        <v>0</v>
      </c>
      <c r="H150" s="14"/>
      <c r="I150" s="13"/>
      <c r="J150" s="13"/>
      <c r="K150" s="195"/>
      <c r="L150" s="12"/>
      <c r="M150" s="2"/>
      <c r="N150" s="289"/>
      <c r="O150" s="2"/>
      <c r="P150" s="356">
        <f t="shared" si="61"/>
        <v>0</v>
      </c>
      <c r="Q150" s="2"/>
      <c r="R150" s="394"/>
      <c r="S150" s="2"/>
    </row>
    <row r="151" spans="2:19" hidden="1" x14ac:dyDescent="0.25">
      <c r="B151" s="236" t="s">
        <v>159</v>
      </c>
      <c r="C151" s="211"/>
      <c r="D151" s="183"/>
      <c r="E151" s="13"/>
      <c r="F151" s="13"/>
      <c r="G151" s="169">
        <f t="shared" si="64"/>
        <v>0</v>
      </c>
      <c r="H151" s="14"/>
      <c r="I151" s="13"/>
      <c r="J151" s="13"/>
      <c r="K151" s="195"/>
      <c r="L151" s="12"/>
      <c r="M151" s="2"/>
      <c r="N151" s="289"/>
      <c r="O151" s="2"/>
      <c r="P151" s="356">
        <f t="shared" si="61"/>
        <v>0</v>
      </c>
      <c r="Q151" s="2"/>
      <c r="R151" s="394"/>
      <c r="S151" s="2"/>
    </row>
    <row r="152" spans="2:19" x14ac:dyDescent="0.25">
      <c r="B152" s="150"/>
      <c r="C152" s="212" t="s">
        <v>57</v>
      </c>
      <c r="D152" s="170">
        <f>SUM(D144:D151)</f>
        <v>0</v>
      </c>
      <c r="E152" s="4">
        <f t="shared" ref="E152:G152" si="65">SUM(E144:E151)</f>
        <v>0</v>
      </c>
      <c r="F152" s="4">
        <f t="shared" si="65"/>
        <v>0</v>
      </c>
      <c r="G152" s="170">
        <f t="shared" si="65"/>
        <v>0</v>
      </c>
      <c r="H152" s="4">
        <f>(H144*G144)+(H145*G145)+(H146*G146)+(H147*G147)+(H148*G148)+(H149*G149)+(H150*G150)+(H151*G151)</f>
        <v>0</v>
      </c>
      <c r="I152" s="4">
        <f>SUM(I144:I151)</f>
        <v>0</v>
      </c>
      <c r="J152" s="16"/>
      <c r="K152" s="195"/>
      <c r="L152" s="21"/>
      <c r="M152" s="2"/>
      <c r="N152" s="289"/>
      <c r="O152" s="2"/>
      <c r="P152" s="356">
        <f t="shared" si="61"/>
        <v>0</v>
      </c>
      <c r="Q152" s="2"/>
      <c r="R152" s="394"/>
      <c r="S152" s="2"/>
    </row>
    <row r="153" spans="2:19" ht="20.65" customHeight="1" x14ac:dyDescent="0.25">
      <c r="B153" s="235" t="s">
        <v>160</v>
      </c>
      <c r="C153" s="661"/>
      <c r="D153" s="659"/>
      <c r="E153" s="659"/>
      <c r="F153" s="659"/>
      <c r="G153" s="659"/>
      <c r="H153" s="659"/>
      <c r="I153" s="660"/>
      <c r="J153" s="660"/>
      <c r="K153" s="659"/>
      <c r="L153" s="19"/>
      <c r="M153" s="2"/>
      <c r="N153" s="289"/>
      <c r="O153" s="2"/>
      <c r="P153" s="356">
        <f t="shared" si="61"/>
        <v>0</v>
      </c>
      <c r="Q153" s="2"/>
      <c r="R153" s="394"/>
      <c r="S153" s="2"/>
    </row>
    <row r="154" spans="2:19" hidden="1" x14ac:dyDescent="0.25">
      <c r="B154" s="236" t="s">
        <v>161</v>
      </c>
      <c r="C154" s="210"/>
      <c r="D154" s="17"/>
      <c r="E154" s="10"/>
      <c r="F154" s="10"/>
      <c r="G154" s="169">
        <f>D154</f>
        <v>0</v>
      </c>
      <c r="H154" s="11"/>
      <c r="I154" s="10"/>
      <c r="J154" s="10"/>
      <c r="K154" s="194"/>
      <c r="L154" s="12"/>
      <c r="M154" s="2"/>
      <c r="N154" s="289"/>
      <c r="O154" s="2"/>
      <c r="P154" s="356">
        <f t="shared" si="61"/>
        <v>0</v>
      </c>
      <c r="Q154" s="2"/>
      <c r="R154" s="394"/>
      <c r="S154" s="2"/>
    </row>
    <row r="155" spans="2:19" hidden="1" x14ac:dyDescent="0.25">
      <c r="B155" s="236" t="s">
        <v>162</v>
      </c>
      <c r="C155" s="210"/>
      <c r="D155" s="17"/>
      <c r="E155" s="10"/>
      <c r="F155" s="10"/>
      <c r="G155" s="169">
        <f t="shared" ref="G155:G161" si="66">D155</f>
        <v>0</v>
      </c>
      <c r="H155" s="11"/>
      <c r="I155" s="10"/>
      <c r="J155" s="10"/>
      <c r="K155" s="194"/>
      <c r="L155" s="12"/>
      <c r="M155" s="2"/>
      <c r="N155" s="289"/>
      <c r="O155" s="2"/>
      <c r="P155" s="356">
        <f t="shared" si="61"/>
        <v>0</v>
      </c>
      <c r="Q155" s="2"/>
      <c r="R155" s="394"/>
      <c r="S155" s="2"/>
    </row>
    <row r="156" spans="2:19" hidden="1" x14ac:dyDescent="0.25">
      <c r="B156" s="236" t="s">
        <v>163</v>
      </c>
      <c r="C156" s="210"/>
      <c r="D156" s="17"/>
      <c r="E156" s="10"/>
      <c r="F156" s="10"/>
      <c r="G156" s="169">
        <f t="shared" si="66"/>
        <v>0</v>
      </c>
      <c r="H156" s="11"/>
      <c r="I156" s="10"/>
      <c r="J156" s="10"/>
      <c r="K156" s="194"/>
      <c r="L156" s="12"/>
      <c r="M156" s="2"/>
      <c r="N156" s="289"/>
      <c r="O156" s="2"/>
      <c r="P156" s="356">
        <f t="shared" si="61"/>
        <v>0</v>
      </c>
      <c r="Q156" s="2"/>
      <c r="R156" s="394"/>
      <c r="S156" s="2"/>
    </row>
    <row r="157" spans="2:19" hidden="1" x14ac:dyDescent="0.25">
      <c r="B157" s="236" t="s">
        <v>164</v>
      </c>
      <c r="C157" s="210"/>
      <c r="D157" s="17"/>
      <c r="E157" s="10"/>
      <c r="F157" s="10"/>
      <c r="G157" s="169">
        <f t="shared" si="66"/>
        <v>0</v>
      </c>
      <c r="H157" s="11"/>
      <c r="I157" s="10"/>
      <c r="J157" s="10"/>
      <c r="K157" s="194"/>
      <c r="L157" s="12"/>
      <c r="M157" s="2"/>
      <c r="N157" s="289"/>
      <c r="O157" s="2"/>
      <c r="P157" s="356">
        <f t="shared" si="61"/>
        <v>0</v>
      </c>
      <c r="Q157" s="2"/>
      <c r="R157" s="394"/>
      <c r="S157" s="2"/>
    </row>
    <row r="158" spans="2:19" hidden="1" x14ac:dyDescent="0.25">
      <c r="B158" s="236" t="s">
        <v>165</v>
      </c>
      <c r="C158" s="210"/>
      <c r="D158" s="17"/>
      <c r="E158" s="10"/>
      <c r="F158" s="10"/>
      <c r="G158" s="169">
        <f t="shared" si="66"/>
        <v>0</v>
      </c>
      <c r="H158" s="11"/>
      <c r="I158" s="10"/>
      <c r="J158" s="10"/>
      <c r="K158" s="194"/>
      <c r="L158" s="12"/>
      <c r="M158" s="2"/>
      <c r="N158" s="289"/>
      <c r="O158" s="2"/>
      <c r="P158" s="356">
        <f t="shared" si="61"/>
        <v>0</v>
      </c>
      <c r="Q158" s="2"/>
      <c r="R158" s="394"/>
      <c r="S158" s="2"/>
    </row>
    <row r="159" spans="2:19" hidden="1" x14ac:dyDescent="0.25">
      <c r="B159" s="236" t="s">
        <v>166</v>
      </c>
      <c r="C159" s="210"/>
      <c r="D159" s="17"/>
      <c r="E159" s="10"/>
      <c r="F159" s="10"/>
      <c r="G159" s="169">
        <f t="shared" si="66"/>
        <v>0</v>
      </c>
      <c r="H159" s="11"/>
      <c r="I159" s="10"/>
      <c r="J159" s="10"/>
      <c r="K159" s="194"/>
      <c r="L159" s="12"/>
      <c r="M159" s="2"/>
      <c r="N159" s="289"/>
      <c r="O159" s="2"/>
      <c r="P159" s="356">
        <f t="shared" si="61"/>
        <v>0</v>
      </c>
      <c r="Q159" s="2"/>
      <c r="R159" s="394"/>
      <c r="S159" s="2"/>
    </row>
    <row r="160" spans="2:19" hidden="1" x14ac:dyDescent="0.25">
      <c r="B160" s="236" t="s">
        <v>167</v>
      </c>
      <c r="C160" s="211"/>
      <c r="D160" s="183"/>
      <c r="E160" s="13"/>
      <c r="F160" s="13"/>
      <c r="G160" s="169">
        <f t="shared" si="66"/>
        <v>0</v>
      </c>
      <c r="H160" s="14"/>
      <c r="I160" s="13"/>
      <c r="J160" s="13"/>
      <c r="K160" s="195"/>
      <c r="L160" s="12"/>
      <c r="M160" s="2"/>
      <c r="N160" s="289"/>
      <c r="O160" s="2"/>
      <c r="P160" s="356">
        <f t="shared" si="61"/>
        <v>0</v>
      </c>
      <c r="Q160" s="2"/>
      <c r="R160" s="394"/>
      <c r="S160" s="2"/>
    </row>
    <row r="161" spans="2:19" hidden="1" x14ac:dyDescent="0.25">
      <c r="B161" s="236" t="s">
        <v>168</v>
      </c>
      <c r="C161" s="211"/>
      <c r="D161" s="183"/>
      <c r="E161" s="13"/>
      <c r="F161" s="13"/>
      <c r="G161" s="169">
        <f t="shared" si="66"/>
        <v>0</v>
      </c>
      <c r="H161" s="14"/>
      <c r="I161" s="13"/>
      <c r="J161" s="13"/>
      <c r="K161" s="195"/>
      <c r="L161" s="12"/>
      <c r="M161" s="2"/>
      <c r="N161" s="289"/>
      <c r="O161" s="2"/>
      <c r="P161" s="356">
        <f t="shared" si="61"/>
        <v>0</v>
      </c>
      <c r="Q161" s="2"/>
      <c r="R161" s="394"/>
      <c r="S161" s="2"/>
    </row>
    <row r="162" spans="2:19" x14ac:dyDescent="0.25">
      <c r="B162" s="150"/>
      <c r="C162" s="212" t="s">
        <v>57</v>
      </c>
      <c r="D162" s="170">
        <f>SUM(D154:D161)</f>
        <v>0</v>
      </c>
      <c r="E162" s="4">
        <f t="shared" ref="E162:G162" si="67">SUM(E154:E161)</f>
        <v>0</v>
      </c>
      <c r="F162" s="4">
        <f t="shared" si="67"/>
        <v>0</v>
      </c>
      <c r="G162" s="170">
        <f t="shared" si="67"/>
        <v>0</v>
      </c>
      <c r="H162" s="4">
        <f>(H154*G154)+(H155*G155)+(H156*G156)+(H157*G157)+(H158*G158)+(H159*G159)+(H160*G160)+(H161*G161)</f>
        <v>0</v>
      </c>
      <c r="I162" s="4">
        <f>SUM(I154:I161)</f>
        <v>0</v>
      </c>
      <c r="J162" s="16"/>
      <c r="K162" s="195"/>
      <c r="L162" s="21"/>
      <c r="M162" s="2"/>
      <c r="N162" s="289"/>
      <c r="O162" s="2"/>
      <c r="P162" s="356">
        <f t="shared" si="61"/>
        <v>0</v>
      </c>
      <c r="Q162" s="2"/>
      <c r="R162" s="394"/>
      <c r="S162" s="2"/>
    </row>
    <row r="163" spans="2:19" ht="22.15" customHeight="1" x14ac:dyDescent="0.25">
      <c r="B163" s="235" t="s">
        <v>169</v>
      </c>
      <c r="C163" s="661"/>
      <c r="D163" s="659"/>
      <c r="E163" s="659"/>
      <c r="F163" s="659"/>
      <c r="G163" s="659"/>
      <c r="H163" s="659"/>
      <c r="I163" s="660"/>
      <c r="J163" s="660"/>
      <c r="K163" s="659"/>
      <c r="L163" s="19"/>
      <c r="M163" s="2"/>
      <c r="N163" s="289"/>
      <c r="O163" s="2"/>
      <c r="P163" s="356">
        <f t="shared" si="61"/>
        <v>0</v>
      </c>
      <c r="Q163" s="2"/>
      <c r="R163" s="394"/>
      <c r="S163" s="2"/>
    </row>
    <row r="164" spans="2:19" hidden="1" x14ac:dyDescent="0.25">
      <c r="B164" s="236" t="s">
        <v>170</v>
      </c>
      <c r="C164" s="210"/>
      <c r="D164" s="17"/>
      <c r="E164" s="10"/>
      <c r="F164" s="10"/>
      <c r="G164" s="169">
        <f>D164</f>
        <v>0</v>
      </c>
      <c r="H164" s="11"/>
      <c r="I164" s="10"/>
      <c r="J164" s="10"/>
      <c r="K164" s="194"/>
      <c r="L164" s="12"/>
      <c r="M164" s="2"/>
      <c r="N164" s="289"/>
      <c r="O164" s="2"/>
      <c r="P164" s="356">
        <f t="shared" si="61"/>
        <v>0</v>
      </c>
      <c r="Q164" s="2"/>
      <c r="R164" s="394"/>
      <c r="S164" s="2"/>
    </row>
    <row r="165" spans="2:19" hidden="1" x14ac:dyDescent="0.25">
      <c r="B165" s="236" t="s">
        <v>171</v>
      </c>
      <c r="C165" s="210"/>
      <c r="D165" s="17"/>
      <c r="E165" s="10"/>
      <c r="F165" s="10"/>
      <c r="G165" s="169">
        <f t="shared" ref="G165:G171" si="68">D165</f>
        <v>0</v>
      </c>
      <c r="H165" s="11"/>
      <c r="I165" s="10"/>
      <c r="J165" s="10"/>
      <c r="K165" s="194"/>
      <c r="L165" s="12"/>
      <c r="M165" s="2"/>
      <c r="N165" s="289"/>
      <c r="O165" s="2"/>
      <c r="P165" s="356">
        <f t="shared" si="61"/>
        <v>0</v>
      </c>
      <c r="Q165" s="2"/>
      <c r="R165" s="394"/>
      <c r="S165" s="2"/>
    </row>
    <row r="166" spans="2:19" hidden="1" x14ac:dyDescent="0.25">
      <c r="B166" s="236" t="s">
        <v>172</v>
      </c>
      <c r="C166" s="210"/>
      <c r="D166" s="17"/>
      <c r="E166" s="10"/>
      <c r="F166" s="10"/>
      <c r="G166" s="169">
        <f t="shared" si="68"/>
        <v>0</v>
      </c>
      <c r="H166" s="11"/>
      <c r="I166" s="10"/>
      <c r="J166" s="10"/>
      <c r="K166" s="194"/>
      <c r="L166" s="12"/>
      <c r="M166" s="2"/>
      <c r="N166" s="289"/>
      <c r="O166" s="2"/>
      <c r="P166" s="356">
        <f t="shared" si="61"/>
        <v>0</v>
      </c>
      <c r="Q166" s="2"/>
      <c r="R166" s="394"/>
      <c r="S166" s="2"/>
    </row>
    <row r="167" spans="2:19" hidden="1" x14ac:dyDescent="0.25">
      <c r="B167" s="236" t="s">
        <v>173</v>
      </c>
      <c r="C167" s="210"/>
      <c r="D167" s="17"/>
      <c r="E167" s="10"/>
      <c r="F167" s="10"/>
      <c r="G167" s="169">
        <f t="shared" si="68"/>
        <v>0</v>
      </c>
      <c r="H167" s="11"/>
      <c r="I167" s="10"/>
      <c r="J167" s="10"/>
      <c r="K167" s="194"/>
      <c r="L167" s="12"/>
      <c r="M167" s="2"/>
      <c r="N167" s="289"/>
      <c r="O167" s="2"/>
      <c r="P167" s="356">
        <f t="shared" si="61"/>
        <v>0</v>
      </c>
      <c r="Q167" s="2"/>
      <c r="R167" s="394"/>
      <c r="S167" s="2"/>
    </row>
    <row r="168" spans="2:19" hidden="1" x14ac:dyDescent="0.25">
      <c r="B168" s="236" t="s">
        <v>174</v>
      </c>
      <c r="C168" s="210"/>
      <c r="D168" s="17"/>
      <c r="E168" s="10"/>
      <c r="F168" s="10"/>
      <c r="G168" s="169">
        <f t="shared" si="68"/>
        <v>0</v>
      </c>
      <c r="H168" s="11"/>
      <c r="I168" s="10"/>
      <c r="J168" s="10"/>
      <c r="K168" s="194"/>
      <c r="L168" s="12"/>
      <c r="M168" s="2"/>
      <c r="N168" s="289"/>
      <c r="O168" s="2"/>
      <c r="P168" s="356">
        <f t="shared" si="61"/>
        <v>0</v>
      </c>
      <c r="Q168" s="2"/>
      <c r="R168" s="394"/>
      <c r="S168" s="2"/>
    </row>
    <row r="169" spans="2:19" hidden="1" x14ac:dyDescent="0.25">
      <c r="B169" s="236" t="s">
        <v>175</v>
      </c>
      <c r="C169" s="210"/>
      <c r="D169" s="17"/>
      <c r="E169" s="10"/>
      <c r="F169" s="10"/>
      <c r="G169" s="169">
        <f t="shared" si="68"/>
        <v>0</v>
      </c>
      <c r="H169" s="11"/>
      <c r="I169" s="10"/>
      <c r="J169" s="10"/>
      <c r="K169" s="194"/>
      <c r="L169" s="12"/>
      <c r="M169" s="2"/>
      <c r="N169" s="289"/>
      <c r="O169" s="2"/>
      <c r="P169" s="356">
        <f t="shared" si="61"/>
        <v>0</v>
      </c>
      <c r="Q169" s="2"/>
      <c r="R169" s="394"/>
      <c r="S169" s="2"/>
    </row>
    <row r="170" spans="2:19" hidden="1" x14ac:dyDescent="0.25">
      <c r="B170" s="236" t="s">
        <v>176</v>
      </c>
      <c r="C170" s="211"/>
      <c r="D170" s="183"/>
      <c r="E170" s="13"/>
      <c r="F170" s="13"/>
      <c r="G170" s="169">
        <f t="shared" si="68"/>
        <v>0</v>
      </c>
      <c r="H170" s="14"/>
      <c r="I170" s="13"/>
      <c r="J170" s="13"/>
      <c r="K170" s="195"/>
      <c r="L170" s="12"/>
      <c r="M170" s="2"/>
      <c r="N170" s="289"/>
      <c r="O170" s="2"/>
      <c r="P170" s="356">
        <f t="shared" si="61"/>
        <v>0</v>
      </c>
      <c r="Q170" s="2"/>
      <c r="R170" s="394"/>
      <c r="S170" s="2"/>
    </row>
    <row r="171" spans="2:19" hidden="1" x14ac:dyDescent="0.25">
      <c r="B171" s="236" t="s">
        <v>177</v>
      </c>
      <c r="C171" s="211"/>
      <c r="D171" s="183"/>
      <c r="E171" s="13"/>
      <c r="F171" s="13"/>
      <c r="G171" s="169">
        <f t="shared" si="68"/>
        <v>0</v>
      </c>
      <c r="H171" s="14"/>
      <c r="I171" s="13"/>
      <c r="J171" s="13"/>
      <c r="K171" s="195"/>
      <c r="L171" s="12"/>
      <c r="M171" s="2"/>
      <c r="N171" s="289"/>
      <c r="O171" s="2"/>
      <c r="P171" s="356">
        <f t="shared" si="61"/>
        <v>0</v>
      </c>
      <c r="Q171" s="2"/>
      <c r="R171" s="394"/>
      <c r="S171" s="2"/>
    </row>
    <row r="172" spans="2:19" x14ac:dyDescent="0.25">
      <c r="B172" s="239"/>
      <c r="C172" s="212" t="s">
        <v>57</v>
      </c>
      <c r="D172" s="170">
        <f>SUM(D164:D171)</f>
        <v>0</v>
      </c>
      <c r="E172" s="4">
        <f t="shared" ref="E172:G172" si="69">SUM(E164:E171)</f>
        <v>0</v>
      </c>
      <c r="F172" s="4">
        <f t="shared" si="69"/>
        <v>0</v>
      </c>
      <c r="G172" s="170">
        <f t="shared" si="69"/>
        <v>0</v>
      </c>
      <c r="H172" s="4">
        <f>(H164*G164)+(H165*G165)+(H166*G166)+(H167*G167)+(H168*G168)+(H169*G169)+(H170*G170)+(H171*G171)</f>
        <v>0</v>
      </c>
      <c r="I172" s="4">
        <f>SUM(I164:I171)</f>
        <v>0</v>
      </c>
      <c r="J172" s="16"/>
      <c r="K172" s="195"/>
      <c r="L172" s="21"/>
      <c r="M172" s="2"/>
      <c r="N172" s="289"/>
      <c r="O172" s="2"/>
      <c r="P172" s="356">
        <f t="shared" si="61"/>
        <v>0</v>
      </c>
      <c r="Q172" s="2"/>
      <c r="R172" s="394"/>
      <c r="S172" s="2"/>
    </row>
    <row r="173" spans="2:19" ht="15.75" customHeight="1" x14ac:dyDescent="0.25">
      <c r="B173" s="240"/>
      <c r="C173" s="225"/>
      <c r="D173" s="176"/>
      <c r="E173" s="24"/>
      <c r="F173" s="24"/>
      <c r="G173" s="176"/>
      <c r="H173" s="24"/>
      <c r="I173" s="24"/>
      <c r="J173" s="24"/>
      <c r="K173" s="206"/>
      <c r="L173" s="25"/>
      <c r="M173" s="2"/>
      <c r="N173" s="289"/>
      <c r="O173" s="2"/>
      <c r="P173" s="356">
        <f t="shared" si="61"/>
        <v>0</v>
      </c>
      <c r="Q173" s="2"/>
      <c r="R173" s="394"/>
      <c r="S173" s="2"/>
    </row>
    <row r="174" spans="2:19" ht="15.75" customHeight="1" thickBot="1" x14ac:dyDescent="0.3">
      <c r="B174" s="240"/>
      <c r="C174" s="225"/>
      <c r="D174" s="176"/>
      <c r="E174" s="24"/>
      <c r="F174" s="24"/>
      <c r="G174" s="176"/>
      <c r="H174" s="24"/>
      <c r="I174" s="24"/>
      <c r="J174" s="111"/>
      <c r="K174" s="202"/>
      <c r="L174" s="112"/>
      <c r="M174" s="102"/>
      <c r="N174" s="289"/>
      <c r="O174" s="2"/>
      <c r="P174" s="356">
        <f t="shared" si="61"/>
        <v>0</v>
      </c>
      <c r="Q174" s="2"/>
      <c r="R174" s="394"/>
      <c r="S174" s="2"/>
    </row>
    <row r="175" spans="2:19" ht="37.15" customHeight="1" thickBot="1" x14ac:dyDescent="0.3">
      <c r="B175" s="235" t="s">
        <v>30</v>
      </c>
      <c r="C175" s="225"/>
      <c r="D175" s="358"/>
      <c r="E175" s="358"/>
      <c r="F175" s="358"/>
      <c r="G175" s="359">
        <f>D175</f>
        <v>0</v>
      </c>
      <c r="H175" s="28"/>
      <c r="I175" s="357"/>
      <c r="J175" s="27"/>
      <c r="K175" s="207"/>
      <c r="L175" s="5"/>
      <c r="M175" s="81">
        <f>D175-L175</f>
        <v>0</v>
      </c>
      <c r="N175" s="85"/>
      <c r="O175" s="5"/>
      <c r="P175" s="356">
        <f t="shared" si="61"/>
        <v>0</v>
      </c>
      <c r="Q175" s="5"/>
      <c r="R175" s="394"/>
      <c r="S175" s="2"/>
    </row>
    <row r="176" spans="2:19" ht="34.5" customHeight="1" thickBot="1" x14ac:dyDescent="0.3">
      <c r="B176" s="235" t="s">
        <v>31</v>
      </c>
      <c r="C176" s="225"/>
      <c r="D176" s="358"/>
      <c r="E176" s="358"/>
      <c r="F176" s="358"/>
      <c r="G176" s="359">
        <f t="shared" ref="G176:G177" si="70">D176</f>
        <v>0</v>
      </c>
      <c r="H176" s="28"/>
      <c r="I176" s="357"/>
      <c r="J176" s="27"/>
      <c r="K176" s="207"/>
      <c r="L176" s="74"/>
      <c r="M176" s="81">
        <f>D176-L176</f>
        <v>0</v>
      </c>
      <c r="N176" s="85"/>
      <c r="O176" s="85"/>
      <c r="P176" s="356">
        <f t="shared" si="61"/>
        <v>0</v>
      </c>
      <c r="Q176" s="85"/>
      <c r="R176" s="397"/>
      <c r="S176" s="2"/>
    </row>
    <row r="177" spans="2:19" ht="37.5" customHeight="1" thickBot="1" x14ac:dyDescent="0.3">
      <c r="B177" s="235" t="s">
        <v>32</v>
      </c>
      <c r="C177" s="226" t="s">
        <v>178</v>
      </c>
      <c r="D177" s="360">
        <f>+Summary!I41</f>
        <v>129293.554599999</v>
      </c>
      <c r="E177" s="358"/>
      <c r="F177" s="358"/>
      <c r="G177" s="359">
        <f t="shared" si="70"/>
        <v>129293.554599999</v>
      </c>
      <c r="H177" s="11">
        <v>1</v>
      </c>
      <c r="I177" s="361">
        <f>SUMIF('6)Transaction List'!G:G,"M.4",'6)Transaction List'!M:M)</f>
        <v>38165.565761964346</v>
      </c>
      <c r="J177" s="27"/>
      <c r="K177" s="207"/>
      <c r="L177" s="74">
        <v>0</v>
      </c>
      <c r="M177" s="81">
        <f>D177-L177</f>
        <v>129293.554599999</v>
      </c>
      <c r="N177" s="81">
        <f t="shared" ref="N177:N179" si="71">M177</f>
        <v>129293.554599999</v>
      </c>
      <c r="O177" s="82">
        <f t="shared" ref="O177:O179" si="72">+N177-L177</f>
        <v>129293.554599999</v>
      </c>
      <c r="P177" s="356">
        <f t="shared" si="61"/>
        <v>38165.565761964346</v>
      </c>
      <c r="Q177" s="85"/>
      <c r="R177" s="384">
        <f>P177/G177</f>
        <v>0.29518537006766338</v>
      </c>
      <c r="S177" s="2"/>
    </row>
    <row r="178" spans="2:19" ht="29.65" customHeight="1" thickBot="1" x14ac:dyDescent="0.3">
      <c r="B178" s="241" t="s">
        <v>33</v>
      </c>
      <c r="C178" s="227" t="s">
        <v>179</v>
      </c>
      <c r="D178" s="360">
        <f>+Summary!I42</f>
        <v>20000</v>
      </c>
      <c r="E178" s="358"/>
      <c r="F178" s="358"/>
      <c r="G178" s="359">
        <f>D178</f>
        <v>20000</v>
      </c>
      <c r="H178" s="11">
        <v>1</v>
      </c>
      <c r="I178" s="357"/>
      <c r="J178" s="27"/>
      <c r="K178" s="207"/>
      <c r="L178" s="74">
        <v>0</v>
      </c>
      <c r="M178" s="81">
        <f>D178-L178</f>
        <v>20000</v>
      </c>
      <c r="N178" s="81">
        <f t="shared" si="71"/>
        <v>20000</v>
      </c>
      <c r="O178" s="82">
        <f t="shared" si="72"/>
        <v>20000</v>
      </c>
      <c r="P178" s="89"/>
      <c r="Q178" s="85"/>
      <c r="R178" s="384">
        <f>P178/G178</f>
        <v>0</v>
      </c>
      <c r="S178" s="2"/>
    </row>
    <row r="179" spans="2:19" ht="29.65" customHeight="1" thickBot="1" x14ac:dyDescent="0.3">
      <c r="B179" s="235" t="s">
        <v>34</v>
      </c>
      <c r="C179" s="227" t="s">
        <v>180</v>
      </c>
      <c r="D179" s="360">
        <f>+Summary!I43</f>
        <v>10000</v>
      </c>
      <c r="E179" s="358"/>
      <c r="F179" s="358"/>
      <c r="G179" s="359">
        <f>D179</f>
        <v>10000</v>
      </c>
      <c r="H179" s="11">
        <v>1</v>
      </c>
      <c r="I179" s="357"/>
      <c r="J179" s="27"/>
      <c r="K179" s="207"/>
      <c r="L179" s="74">
        <v>0</v>
      </c>
      <c r="M179" s="81">
        <f>D179-L179</f>
        <v>10000</v>
      </c>
      <c r="N179" s="81">
        <f t="shared" si="71"/>
        <v>10000</v>
      </c>
      <c r="O179" s="82">
        <f t="shared" si="72"/>
        <v>10000</v>
      </c>
      <c r="P179" s="89"/>
      <c r="Q179" s="85"/>
      <c r="R179" s="384">
        <f>P179/G179</f>
        <v>0</v>
      </c>
      <c r="S179" s="2"/>
    </row>
    <row r="180" spans="2:19" ht="21.75" customHeight="1" thickBot="1" x14ac:dyDescent="0.3">
      <c r="B180" s="242"/>
      <c r="C180" s="301" t="s">
        <v>181</v>
      </c>
      <c r="D180" s="302">
        <f>SUM(D175:D179)</f>
        <v>159293.55459999898</v>
      </c>
      <c r="E180" s="303">
        <f>SUM(E175:E178)</f>
        <v>0</v>
      </c>
      <c r="F180" s="303">
        <f>SUM(F175:F178)</f>
        <v>0</v>
      </c>
      <c r="G180" s="302">
        <f>SUM(G175:G179)</f>
        <v>159293.55459999898</v>
      </c>
      <c r="H180" s="18">
        <f>(H175*G175)+(H176*G176)+(H177*G177)+(H178*G178)+(H179*G179)</f>
        <v>159293.55459999898</v>
      </c>
      <c r="I180" s="18">
        <f>SUM(I175:I179)</f>
        <v>38165.565761964346</v>
      </c>
      <c r="J180" s="304"/>
      <c r="K180" s="305"/>
      <c r="L180" s="306">
        <f>SUM(L175:L179)</f>
        <v>0</v>
      </c>
      <c r="M180" s="306">
        <f>SUM(M175:M179)</f>
        <v>159293.55459999898</v>
      </c>
      <c r="N180" s="306">
        <f>SUM(N175:N179)</f>
        <v>159293.55459999898</v>
      </c>
      <c r="O180" s="306">
        <f t="shared" ref="O180" si="73">SUM(O175:O179)</f>
        <v>159293.55459999898</v>
      </c>
      <c r="P180" s="306">
        <f>SUM(P175:P179)</f>
        <v>38165.565761964346</v>
      </c>
      <c r="Q180" s="306">
        <f>SUM(Q175:Q179)</f>
        <v>0</v>
      </c>
      <c r="R180" s="405">
        <f>P180/G180</f>
        <v>0.23959265557104084</v>
      </c>
      <c r="S180" s="406"/>
    </row>
    <row r="181" spans="2:19" ht="15.75" customHeight="1" x14ac:dyDescent="0.25">
      <c r="B181" s="238"/>
      <c r="C181" s="315"/>
      <c r="D181" s="316"/>
      <c r="E181" s="317"/>
      <c r="F181" s="317"/>
      <c r="G181" s="316"/>
      <c r="H181" s="317"/>
      <c r="I181" s="317"/>
      <c r="J181" s="317"/>
      <c r="K181" s="318"/>
      <c r="L181" s="319"/>
      <c r="M181" s="320"/>
      <c r="N181" s="321"/>
      <c r="O181" s="320"/>
      <c r="P181" s="320"/>
      <c r="Q181" s="320"/>
      <c r="R181" s="398"/>
      <c r="S181" s="2"/>
    </row>
    <row r="182" spans="2:19" ht="15.75" customHeight="1" x14ac:dyDescent="0.25">
      <c r="B182" s="238"/>
      <c r="C182" s="322"/>
      <c r="D182" s="177"/>
      <c r="E182" s="29"/>
      <c r="F182" s="29"/>
      <c r="G182" s="177"/>
      <c r="H182" s="29"/>
      <c r="I182" s="29"/>
      <c r="J182" s="29"/>
      <c r="K182" s="323"/>
      <c r="L182" s="30"/>
      <c r="R182" s="389"/>
      <c r="S182" s="2"/>
    </row>
    <row r="183" spans="2:19" ht="15.75" customHeight="1" thickBot="1" x14ac:dyDescent="0.3">
      <c r="B183" s="238"/>
      <c r="C183" s="324"/>
      <c r="D183" s="325"/>
      <c r="E183" s="326"/>
      <c r="F183" s="326"/>
      <c r="G183" s="325"/>
      <c r="H183" s="326"/>
      <c r="I183" s="326"/>
      <c r="J183" s="326"/>
      <c r="K183" s="327"/>
      <c r="L183" s="328"/>
      <c r="M183" s="329"/>
      <c r="N183" s="330"/>
      <c r="O183" s="329"/>
      <c r="P183" s="329"/>
      <c r="Q183" s="329"/>
      <c r="R183" s="399"/>
      <c r="S183" s="2"/>
    </row>
    <row r="184" spans="2:19" x14ac:dyDescent="0.25">
      <c r="B184" s="238"/>
      <c r="C184" s="677" t="s">
        <v>182</v>
      </c>
      <c r="D184" s="678"/>
      <c r="E184" s="307"/>
      <c r="F184" s="307"/>
      <c r="G184" s="308"/>
      <c r="H184" s="309"/>
      <c r="I184" s="310"/>
      <c r="J184" s="310"/>
      <c r="K184" s="311"/>
      <c r="L184" s="312"/>
      <c r="M184" s="313"/>
      <c r="N184" s="314"/>
      <c r="O184" s="313"/>
      <c r="P184" s="313"/>
      <c r="Q184" s="313"/>
      <c r="R184" s="400"/>
      <c r="S184" s="2"/>
    </row>
    <row r="185" spans="2:19" ht="27" customHeight="1" x14ac:dyDescent="0.25">
      <c r="B185" s="238"/>
      <c r="C185" s="667"/>
      <c r="D185" s="669" t="str">
        <f>D5</f>
        <v>Original Budget</v>
      </c>
      <c r="E185" s="32" t="s">
        <v>183</v>
      </c>
      <c r="F185" s="4" t="s">
        <v>184</v>
      </c>
      <c r="G185" s="671" t="s">
        <v>0</v>
      </c>
      <c r="H185" s="673" t="s">
        <v>46</v>
      </c>
      <c r="I185" s="24"/>
      <c r="J185" s="24"/>
      <c r="K185" s="299"/>
      <c r="L185" s="300"/>
      <c r="M185" s="2"/>
      <c r="N185" s="289"/>
      <c r="O185" s="2"/>
      <c r="P185" s="2"/>
      <c r="Q185" s="2"/>
      <c r="R185" s="394"/>
      <c r="S185" s="2"/>
    </row>
    <row r="186" spans="2:19" ht="20.65" customHeight="1" x14ac:dyDescent="0.25">
      <c r="B186" s="238"/>
      <c r="C186" s="668"/>
      <c r="D186" s="670"/>
      <c r="E186" s="33" t="e">
        <f>#REF!</f>
        <v>#REF!</v>
      </c>
      <c r="F186" s="34" t="e">
        <f>#REF!</f>
        <v>#REF!</v>
      </c>
      <c r="G186" s="672"/>
      <c r="H186" s="673"/>
      <c r="I186" s="24"/>
      <c r="J186" s="24"/>
      <c r="K186" s="299"/>
      <c r="L186" s="300"/>
      <c r="M186" s="2"/>
      <c r="N186" s="289"/>
      <c r="O186" s="2"/>
      <c r="P186" s="2"/>
      <c r="Q186" s="2"/>
      <c r="R186" s="394"/>
      <c r="S186" s="2"/>
    </row>
    <row r="187" spans="2:19" ht="28.15" customHeight="1" x14ac:dyDescent="0.25">
      <c r="B187" s="243"/>
      <c r="C187" s="228" t="s">
        <v>185</v>
      </c>
      <c r="D187" s="332">
        <f>SUM(D16,D26,D36,D46,D58,D68,D78,D88,D100,D110,D120,D130,D142,D152,D162,D172,D175,D176,D177,D178,D179)</f>
        <v>1775701.3445999993</v>
      </c>
      <c r="E187" s="332">
        <f>SUM(E16,E26,E36,E46,E58,E68,E78,E88,E100,E110,E120,E130,E142,E152,E162,E172,E175,E176,E177,E178,E179)</f>
        <v>0</v>
      </c>
      <c r="F187" s="332">
        <f>SUM(F16,F26,F36,F46,F58,F68,F78,F88,F100,F110,F120,F130,F142,F152,F162,F172,F175,F176,F177,F178,F179)</f>
        <v>0</v>
      </c>
      <c r="G187" s="332">
        <f>SUM(G16,G26,G36,G46,G58,G68,G78,G88,G100,G110,G120,G130,G142,G152,G162,G172,G175,G176,G177,G178,G179)</f>
        <v>1775701.3445999993</v>
      </c>
      <c r="H187" s="35">
        <f>SUM(L16,L26,L36,L46,L58,L68,L78,L88,L100,L110,L120,L130,L142,L152,L162,L172,L175,L176,L177,L178,L179)</f>
        <v>0</v>
      </c>
      <c r="I187" s="332">
        <f>SUM(I16,I26,I36,I46,I58,I68,I78,I88,I100,I110,I120,I130,I142,I152,I162,I172,I175,I176,I177,I178,I179)</f>
        <v>250370.01390963793</v>
      </c>
      <c r="J187" s="332">
        <f t="shared" ref="J187:O187" si="74">SUM(J16,J26,J36,J46,J58,J68,J78,J88,J100,J110,J120,J130,J142,J152,J162,J172,J175,J176,J177,J178,J179)</f>
        <v>0</v>
      </c>
      <c r="K187" s="332">
        <f t="shared" si="74"/>
        <v>0</v>
      </c>
      <c r="L187" s="332">
        <f t="shared" si="74"/>
        <v>0</v>
      </c>
      <c r="M187" s="332">
        <f t="shared" si="74"/>
        <v>1775701.3445999993</v>
      </c>
      <c r="N187" s="332">
        <f t="shared" si="74"/>
        <v>1775701.3445999993</v>
      </c>
      <c r="O187" s="332">
        <f t="shared" si="74"/>
        <v>1775701.3445999993</v>
      </c>
      <c r="P187" s="332">
        <f>SUM(P16,P26,P36,P46,P58,P68,P78,P88,P100,P110,P120,P130,P142,P152,P162,P172,P175,P176,P177,P178,P179)</f>
        <v>250370.01390963793</v>
      </c>
      <c r="Q187" s="35">
        <f>SUM(Q16,Q26,Q36,Q46,Q58,Q68,Q78,Q88,Q100,Q110,Q120,Q130,Q142,Q152,Q162,Q172,Q175,Q176,Q177,Q178,Q179)</f>
        <v>0</v>
      </c>
      <c r="R187" s="401">
        <f>P187/G187</f>
        <v>0.14099781738129907</v>
      </c>
      <c r="S187" s="406"/>
    </row>
    <row r="188" spans="2:19" ht="26.1" customHeight="1" thickBot="1" x14ac:dyDescent="0.3">
      <c r="B188" s="244"/>
      <c r="C188" s="36" t="s">
        <v>186</v>
      </c>
      <c r="D188" s="333">
        <f>D187*0.07</f>
        <v>124299.09412199997</v>
      </c>
      <c r="E188" s="333">
        <f t="shared" ref="E188:I188" si="75">E187*0.07</f>
        <v>0</v>
      </c>
      <c r="F188" s="333">
        <f t="shared" si="75"/>
        <v>0</v>
      </c>
      <c r="G188" s="333">
        <f t="shared" si="75"/>
        <v>124299.09412199997</v>
      </c>
      <c r="H188" s="333">
        <f t="shared" si="75"/>
        <v>0</v>
      </c>
      <c r="I188" s="333">
        <f t="shared" si="75"/>
        <v>17525.900973674656</v>
      </c>
      <c r="J188" s="287"/>
      <c r="K188" s="287"/>
      <c r="L188" s="287"/>
      <c r="M188" s="333">
        <f t="shared" ref="M188:Q188" si="76">M187*0.07</f>
        <v>124299.09412199997</v>
      </c>
      <c r="N188" s="333">
        <f t="shared" si="76"/>
        <v>124299.09412199997</v>
      </c>
      <c r="O188" s="333">
        <f t="shared" si="76"/>
        <v>124299.09412199997</v>
      </c>
      <c r="P188" s="333">
        <f>'2) By Category'!L210</f>
        <v>25795.091681161153</v>
      </c>
      <c r="Q188" s="333">
        <f t="shared" si="76"/>
        <v>0</v>
      </c>
      <c r="R188" s="402">
        <f>P188/G188</f>
        <v>0.20752437387711922</v>
      </c>
      <c r="S188" s="408"/>
    </row>
    <row r="189" spans="2:19" ht="21.6" customHeight="1" thickBot="1" x14ac:dyDescent="0.3">
      <c r="B189" s="337"/>
      <c r="C189" s="229" t="s">
        <v>0</v>
      </c>
      <c r="D189" s="334">
        <f>SUM(D187:D188)</f>
        <v>1900000.4387219993</v>
      </c>
      <c r="E189" s="334">
        <f t="shared" ref="E189:G189" si="77">SUM(E187:E188)</f>
        <v>0</v>
      </c>
      <c r="F189" s="334">
        <f t="shared" si="77"/>
        <v>0</v>
      </c>
      <c r="G189" s="334">
        <f t="shared" si="77"/>
        <v>1900000.4387219993</v>
      </c>
      <c r="H189" s="288">
        <f t="shared" ref="H189:O189" si="78">SUM(H187:H188)</f>
        <v>0</v>
      </c>
      <c r="I189" s="331">
        <f>SUM(I187:I188)</f>
        <v>267895.91488331259</v>
      </c>
      <c r="J189" s="288">
        <f t="shared" si="78"/>
        <v>0</v>
      </c>
      <c r="K189" s="288">
        <f t="shared" si="78"/>
        <v>0</v>
      </c>
      <c r="L189" s="288">
        <f t="shared" si="78"/>
        <v>0</v>
      </c>
      <c r="M189" s="331">
        <f t="shared" si="78"/>
        <v>1900000.4387219993</v>
      </c>
      <c r="N189" s="331">
        <f t="shared" si="78"/>
        <v>1900000.4387219993</v>
      </c>
      <c r="O189" s="331">
        <f t="shared" si="78"/>
        <v>1900000.4387219993</v>
      </c>
      <c r="P189" s="331">
        <f>SUM(P187:P188)</f>
        <v>276165.10559079907</v>
      </c>
      <c r="Q189" s="288">
        <f>SUM(Q187:Q188)</f>
        <v>0</v>
      </c>
      <c r="R189" s="403">
        <f>P189/G189</f>
        <v>0.14535002201186675</v>
      </c>
      <c r="S189" s="406"/>
    </row>
    <row r="190" spans="2:19" ht="42" customHeight="1" x14ac:dyDescent="0.25">
      <c r="B190" s="244"/>
      <c r="K190" s="208"/>
      <c r="L190" s="38"/>
      <c r="P190" s="558"/>
    </row>
    <row r="191" spans="2:19" s="15" customFormat="1" ht="29.25" customHeight="1" thickBot="1" x14ac:dyDescent="0.3">
      <c r="B191" s="237"/>
      <c r="C191" s="23"/>
      <c r="D191" s="178"/>
      <c r="E191" s="39"/>
      <c r="F191" s="39"/>
      <c r="G191" s="178"/>
      <c r="H191" s="39"/>
      <c r="I191" s="40"/>
      <c r="J191" s="40"/>
      <c r="K191" s="30"/>
      <c r="L191" s="41"/>
      <c r="N191" s="76"/>
      <c r="P191" s="3"/>
      <c r="R191" s="78"/>
    </row>
    <row r="192" spans="2:19" ht="23.25" customHeight="1" x14ac:dyDescent="0.25">
      <c r="B192" s="245"/>
      <c r="C192" s="644" t="s">
        <v>187</v>
      </c>
      <c r="D192" s="645"/>
      <c r="E192" s="646"/>
      <c r="F192" s="646"/>
      <c r="G192" s="646"/>
      <c r="H192" s="647"/>
      <c r="I192" s="42"/>
      <c r="J192" s="42"/>
      <c r="K192" s="38"/>
    </row>
    <row r="193" spans="2:16" ht="41.25" customHeight="1" x14ac:dyDescent="0.25">
      <c r="B193" s="245"/>
      <c r="C193" s="230"/>
      <c r="D193" s="648" t="str">
        <f>D5</f>
        <v>Original Budget</v>
      </c>
      <c r="E193" s="44" t="s">
        <v>183</v>
      </c>
      <c r="F193" s="44" t="s">
        <v>184</v>
      </c>
      <c r="G193" s="650" t="s">
        <v>0</v>
      </c>
      <c r="H193" s="652" t="s">
        <v>188</v>
      </c>
      <c r="I193" s="42"/>
      <c r="J193" s="274"/>
      <c r="K193" s="590"/>
    </row>
    <row r="194" spans="2:16" ht="27.75" customHeight="1" x14ac:dyDescent="0.25">
      <c r="B194" s="245"/>
      <c r="C194" s="230"/>
      <c r="D194" s="649"/>
      <c r="E194" s="44" t="e">
        <f>#REF!</f>
        <v>#REF!</v>
      </c>
      <c r="F194" s="44" t="e">
        <f>#REF!</f>
        <v>#REF!</v>
      </c>
      <c r="G194" s="651"/>
      <c r="H194" s="653"/>
      <c r="I194" s="42"/>
      <c r="J194" s="42"/>
      <c r="K194" s="38"/>
    </row>
    <row r="195" spans="2:16" ht="55.5" customHeight="1" x14ac:dyDescent="0.25">
      <c r="B195" s="245"/>
      <c r="C195" s="212" t="s">
        <v>189</v>
      </c>
      <c r="D195" s="186">
        <f>D189*H195</f>
        <v>665000.15355269972</v>
      </c>
      <c r="E195" s="46">
        <f>SUM(E187:E188)*0.7</f>
        <v>0</v>
      </c>
      <c r="F195" s="46">
        <f>SUM(F187:F188)*0.7</f>
        <v>0</v>
      </c>
      <c r="G195" s="179"/>
      <c r="H195" s="47">
        <v>0.35</v>
      </c>
      <c r="I195" s="31" t="s">
        <v>1777</v>
      </c>
      <c r="J195" s="31"/>
      <c r="K195" s="590"/>
    </row>
    <row r="196" spans="2:16" ht="57.75" customHeight="1" x14ac:dyDescent="0.25">
      <c r="B196" s="246"/>
      <c r="C196" s="231" t="s">
        <v>190</v>
      </c>
      <c r="D196" s="187">
        <f>D189*H196</f>
        <v>665000.15355269972</v>
      </c>
      <c r="E196" s="48">
        <f>SUM(E187:E188)*0.3</f>
        <v>0</v>
      </c>
      <c r="F196" s="48">
        <f>SUM(F187:F188)*0.3</f>
        <v>0</v>
      </c>
      <c r="G196" s="180"/>
      <c r="H196" s="49">
        <v>0.35</v>
      </c>
      <c r="I196" s="31"/>
      <c r="J196" s="31"/>
    </row>
    <row r="197" spans="2:16" ht="57.75" customHeight="1" x14ac:dyDescent="0.25">
      <c r="B197" s="246"/>
      <c r="C197" s="231" t="s">
        <v>191</v>
      </c>
      <c r="D197" s="187">
        <f>D189*H197</f>
        <v>570000.13161659974</v>
      </c>
      <c r="E197" s="48"/>
      <c r="F197" s="48"/>
      <c r="G197" s="180"/>
      <c r="H197" s="49">
        <v>0.3</v>
      </c>
      <c r="I197" s="31"/>
      <c r="J197" s="31"/>
    </row>
    <row r="198" spans="2:16" ht="38.25" customHeight="1" thickBot="1" x14ac:dyDescent="0.3">
      <c r="B198" s="246"/>
      <c r="C198" s="229" t="s">
        <v>192</v>
      </c>
      <c r="D198" s="188">
        <f>SUM(D195:D197)</f>
        <v>1900000.4387219991</v>
      </c>
      <c r="E198" s="50">
        <f t="shared" ref="E198:F198" si="79">SUM(E195:E196)</f>
        <v>0</v>
      </c>
      <c r="F198" s="50">
        <f t="shared" si="79"/>
        <v>0</v>
      </c>
      <c r="G198" s="181"/>
      <c r="H198" s="51"/>
      <c r="I198" s="52"/>
      <c r="J198" s="52"/>
      <c r="P198" s="79"/>
    </row>
    <row r="199" spans="2:16" ht="21.75" customHeight="1" thickBot="1" x14ac:dyDescent="0.3">
      <c r="B199" s="246"/>
      <c r="C199" s="53"/>
      <c r="D199" s="182"/>
      <c r="E199" s="54"/>
      <c r="F199" s="54"/>
      <c r="G199" s="250"/>
      <c r="H199" s="251"/>
      <c r="I199" s="55"/>
      <c r="J199" s="55"/>
    </row>
    <row r="200" spans="2:16" ht="49.5" customHeight="1" x14ac:dyDescent="0.25">
      <c r="B200" s="246"/>
      <c r="C200" s="232" t="s">
        <v>193</v>
      </c>
      <c r="D200" s="189">
        <f>SUM(H16,H26,H36,H46,H58,H68,H78,H88,H100,H110,H120,H130,H142,H152,H162,H172,H180)*1.07</f>
        <v>1869140.4510219991</v>
      </c>
      <c r="E200" s="39"/>
      <c r="F200" s="39"/>
      <c r="G200" s="252"/>
      <c r="H200" s="253" t="s">
        <v>194</v>
      </c>
      <c r="I200" s="248">
        <f>P189</f>
        <v>276165.10559079907</v>
      </c>
      <c r="J200" s="56"/>
    </row>
    <row r="201" spans="2:16" ht="28.5" customHeight="1" thickBot="1" x14ac:dyDescent="0.3">
      <c r="B201" s="246"/>
      <c r="C201" s="233" t="s">
        <v>195</v>
      </c>
      <c r="D201" s="190">
        <f>D200/D189</f>
        <v>0.98375790496092852</v>
      </c>
      <c r="E201" s="57"/>
      <c r="F201" s="57"/>
      <c r="G201" s="254"/>
      <c r="H201" s="255" t="s">
        <v>196</v>
      </c>
      <c r="I201" s="249">
        <f>I200/D187</f>
        <v>0.15552452355269741</v>
      </c>
      <c r="J201" s="58"/>
    </row>
    <row r="202" spans="2:16" ht="28.5" customHeight="1" x14ac:dyDescent="0.25">
      <c r="B202" s="246"/>
      <c r="C202" s="654"/>
      <c r="D202" s="655"/>
      <c r="E202" s="59"/>
      <c r="F202" s="59"/>
      <c r="G202" s="256"/>
      <c r="H202" s="257"/>
      <c r="I202" s="261"/>
    </row>
    <row r="203" spans="2:16" ht="28.5" customHeight="1" x14ac:dyDescent="0.25">
      <c r="B203" s="246"/>
      <c r="C203" s="233" t="s">
        <v>197</v>
      </c>
      <c r="D203" s="191">
        <f>SUM(D177:D178)*1.07</f>
        <v>159744.10342199891</v>
      </c>
      <c r="E203" s="60"/>
      <c r="F203" s="60"/>
      <c r="G203" s="258"/>
      <c r="H203" s="257"/>
      <c r="I203" s="262"/>
    </row>
    <row r="204" spans="2:16" ht="23.25" customHeight="1" x14ac:dyDescent="0.25">
      <c r="B204" s="246"/>
      <c r="C204" s="233" t="s">
        <v>198</v>
      </c>
      <c r="D204" s="190">
        <f>D203/D189</f>
        <v>8.4075824492676365E-2</v>
      </c>
      <c r="E204" s="60"/>
      <c r="F204" s="60"/>
      <c r="G204" s="258"/>
      <c r="H204" s="257"/>
      <c r="I204" s="262"/>
    </row>
    <row r="205" spans="2:16" ht="68.25" customHeight="1" thickBot="1" x14ac:dyDescent="0.3">
      <c r="B205" s="247"/>
      <c r="C205" s="642" t="s">
        <v>199</v>
      </c>
      <c r="D205" s="643"/>
      <c r="E205" s="61"/>
      <c r="F205" s="61"/>
      <c r="G205" s="259"/>
      <c r="H205" s="260"/>
      <c r="I205" s="263"/>
      <c r="J205" s="62"/>
    </row>
    <row r="206" spans="2:16" ht="55.5" customHeight="1" x14ac:dyDescent="0.25">
      <c r="B206" s="53"/>
      <c r="L206" s="63"/>
    </row>
    <row r="207" spans="2:16" ht="42.75" customHeight="1" x14ac:dyDescent="0.25">
      <c r="B207" s="53"/>
    </row>
    <row r="208" spans="2:16" ht="21.75" customHeight="1" x14ac:dyDescent="0.25">
      <c r="B208" s="53"/>
    </row>
    <row r="209" spans="2:2" ht="21.75" customHeight="1" x14ac:dyDescent="0.25">
      <c r="B209" s="53"/>
    </row>
    <row r="210" spans="2:2" ht="23.25" customHeight="1" x14ac:dyDescent="0.25">
      <c r="B210" s="53"/>
    </row>
    <row r="211" spans="2:2" ht="23.25" customHeight="1" x14ac:dyDescent="0.25">
      <c r="B211" s="268"/>
    </row>
    <row r="212" spans="2:2" ht="21.75" customHeight="1" x14ac:dyDescent="0.25">
      <c r="B212" s="268"/>
    </row>
    <row r="213" spans="2:2" ht="16.5" customHeight="1" x14ac:dyDescent="0.25">
      <c r="B213" s="268"/>
    </row>
    <row r="214" spans="2:2" ht="29.25" customHeight="1" x14ac:dyDescent="0.25">
      <c r="B214" s="268"/>
    </row>
    <row r="215" spans="2:2" ht="24.75" customHeight="1" x14ac:dyDescent="0.25"/>
    <row r="216" spans="2:2" ht="33" customHeight="1" x14ac:dyDescent="0.25"/>
    <row r="218" spans="2:2" ht="15" customHeight="1" x14ac:dyDescent="0.25"/>
    <row r="219" spans="2:2" ht="25.5" customHeight="1" x14ac:dyDescent="0.25"/>
  </sheetData>
  <mergeCells count="32">
    <mergeCell ref="B1:R1"/>
    <mergeCell ref="C185:C186"/>
    <mergeCell ref="D185:D186"/>
    <mergeCell ref="G185:G186"/>
    <mergeCell ref="H185:H186"/>
    <mergeCell ref="C111:K111"/>
    <mergeCell ref="C121:K121"/>
    <mergeCell ref="C132:K132"/>
    <mergeCell ref="C133:K133"/>
    <mergeCell ref="C143:K143"/>
    <mergeCell ref="C153:K153"/>
    <mergeCell ref="C163:K163"/>
    <mergeCell ref="C184:D184"/>
    <mergeCell ref="C101:R101"/>
    <mergeCell ref="B3:E3"/>
    <mergeCell ref="C27:K27"/>
    <mergeCell ref="C7:R7"/>
    <mergeCell ref="C17:R17"/>
    <mergeCell ref="C48:R48"/>
    <mergeCell ref="C205:D205"/>
    <mergeCell ref="C192:H192"/>
    <mergeCell ref="D193:D194"/>
    <mergeCell ref="G193:G194"/>
    <mergeCell ref="H193:H194"/>
    <mergeCell ref="C202:D202"/>
    <mergeCell ref="C49:R49"/>
    <mergeCell ref="C90:R90"/>
    <mergeCell ref="C91:R91"/>
    <mergeCell ref="C79:K79"/>
    <mergeCell ref="C37:K37"/>
    <mergeCell ref="C69:K69"/>
    <mergeCell ref="C59:R59"/>
  </mergeCells>
  <phoneticPr fontId="21" type="noConversion"/>
  <conditionalFormatting sqref="D201">
    <cfRule type="cellIs" dxfId="17" priority="2" operator="lessThan">
      <formula>0.15</formula>
    </cfRule>
  </conditionalFormatting>
  <conditionalFormatting sqref="D204">
    <cfRule type="cellIs" dxfId="16" priority="1" operator="lessThan">
      <formula>0.05</formula>
    </cfRule>
  </conditionalFormatting>
  <dataValidations count="6">
    <dataValidation allowBlank="1" showErrorMessage="1" prompt="% Towards Gender Equality and Women's Empowerment Must be Higher than 15%_x000a_" sqref="D203:G203" xr:uid="{F99D41DF-74AD-4648-8771-8CD726910170}"/>
    <dataValidation allowBlank="1" showInputMessage="1" showErrorMessage="1" prompt="Insert *text* description of Activity here" sqref="C164 C8 C28 C38 C18 C50 C70 C80 C60 C92 C112 C122 C134 C144 C154 C102" xr:uid="{F0F4BFE5-0BAE-4E7A-B729-3E90411D6382}"/>
    <dataValidation allowBlank="1" showInputMessage="1" showErrorMessage="1" prompt="Insert *text* description of Output here" sqref="C7 C17 C27 C37 C49 C59 C69 C79 C91 C101 C111 C121 C133 C143 C153 C163" xr:uid="{0EA38CE8-B33D-4842-B0DF-A0B459652A3C}"/>
    <dataValidation allowBlank="1" showInputMessage="1" showErrorMessage="1" prompt="Insert *text* description of Outcome here" sqref="C132:K132 C6 C48 C90" xr:uid="{1C66064D-2662-439B-AD7A-D8CCB63A8C7F}"/>
    <dataValidation allowBlank="1" showInputMessage="1" showErrorMessage="1" prompt="M&amp;E Budget Cannot be Less than 5%_x000a_" sqref="D204:G204" xr:uid="{F91DB68D-24A8-4380-9A2D-745F20A267FA}"/>
    <dataValidation allowBlank="1" showInputMessage="1" showErrorMessage="1" prompt="% Towards Gender Equality and Women's Empowerment Must be Higher than 15%_x000a_" sqref="D201:G201" xr:uid="{FCD3E519-D33A-4737-9FD7-CDD59A215026}"/>
  </dataValidations>
  <pageMargins left="0.7" right="0.7" top="0.75" bottom="0.75" header="0.3" footer="0.3"/>
  <pageSetup orientation="portrait" horizontalDpi="4294967295" verticalDpi="4294967295" r:id="rId1"/>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ACF1B-11EC-40A1-925C-98C2DE13DEB4}">
  <sheetPr codeName="Sheet10"/>
  <dimension ref="A2:I57"/>
  <sheetViews>
    <sheetView topLeftCell="A40" workbookViewId="0">
      <selection activeCell="E56" sqref="E56"/>
    </sheetView>
  </sheetViews>
  <sheetFormatPr baseColWidth="10" defaultColWidth="9.140625" defaultRowHeight="15" x14ac:dyDescent="0.25"/>
  <cols>
    <col min="1" max="1" width="12" customWidth="1"/>
    <col min="2" max="2" width="43.42578125" customWidth="1"/>
    <col min="3" max="3" width="18.42578125" bestFit="1" customWidth="1"/>
    <col min="4" max="4" width="11.28515625" customWidth="1"/>
    <col min="5" max="5" width="11.5703125" customWidth="1"/>
    <col min="6" max="6" width="12.7109375" bestFit="1" customWidth="1"/>
    <col min="7" max="7" width="11.42578125" customWidth="1"/>
    <col min="8" max="8" width="11.7109375" bestFit="1" customWidth="1"/>
    <col min="9" max="9" width="14" customWidth="1"/>
  </cols>
  <sheetData>
    <row r="2" spans="1:9" x14ac:dyDescent="0.25">
      <c r="A2" s="2"/>
    </row>
    <row r="3" spans="1:9" x14ac:dyDescent="0.25">
      <c r="A3" s="2"/>
      <c r="C3" s="266"/>
      <c r="D3" s="266"/>
      <c r="E3" s="266"/>
      <c r="F3" s="266"/>
      <c r="G3" s="266"/>
      <c r="H3" s="266"/>
      <c r="I3" s="265"/>
    </row>
    <row r="4" spans="1:9" ht="27" customHeight="1" x14ac:dyDescent="0.25">
      <c r="C4" s="283" t="s">
        <v>367</v>
      </c>
      <c r="D4" s="283" t="s">
        <v>368</v>
      </c>
      <c r="E4" s="283" t="s">
        <v>369</v>
      </c>
      <c r="F4" s="283" t="s">
        <v>370</v>
      </c>
      <c r="G4" s="283" t="s">
        <v>371</v>
      </c>
      <c r="H4" s="283" t="s">
        <v>356</v>
      </c>
      <c r="I4" s="284" t="s">
        <v>0</v>
      </c>
    </row>
    <row r="5" spans="1:9" x14ac:dyDescent="0.25">
      <c r="A5" s="266"/>
      <c r="B5" s="276"/>
      <c r="C5" s="266"/>
      <c r="D5" s="266"/>
      <c r="E5" s="266"/>
      <c r="F5" s="266"/>
      <c r="G5" s="266"/>
      <c r="H5" s="266"/>
      <c r="I5" s="285"/>
    </row>
    <row r="6" spans="1:9" ht="26.1" customHeight="1" x14ac:dyDescent="0.25">
      <c r="A6" s="266" t="s">
        <v>372</v>
      </c>
      <c r="B6" s="276" t="s">
        <v>357</v>
      </c>
      <c r="C6" s="277">
        <f>'[3]UNPBF Total Budget'!D4</f>
        <v>5917.5957964885301</v>
      </c>
      <c r="D6" s="277">
        <f>'[3]UNPBF Total Budget'!J4</f>
        <v>1183.3053269662241</v>
      </c>
      <c r="E6" s="277">
        <f>'[3]UNPBF Total Budget'!Q4</f>
        <v>352.17676044673999</v>
      </c>
      <c r="F6" s="277">
        <f>'[3]UNPBF Total Budget'!T4</f>
        <v>1256.6626583490468</v>
      </c>
      <c r="G6" s="277">
        <f>'[3]UNPBF Total Budget'!U4</f>
        <v>170.13495822693812</v>
      </c>
      <c r="H6" s="277">
        <f>'[3]UNPBF Total Budget'!V4</f>
        <v>84.264499522518122</v>
      </c>
      <c r="I6" s="281">
        <f>SUM(C6:H6)</f>
        <v>8964.1399999999976</v>
      </c>
    </row>
    <row r="7" spans="1:9" ht="51" customHeight="1" x14ac:dyDescent="0.25">
      <c r="A7" s="266" t="s">
        <v>11</v>
      </c>
      <c r="B7" s="276" t="s">
        <v>245</v>
      </c>
      <c r="C7" s="277">
        <f>'[3]UNPBF Total Budget'!D5</f>
        <v>10997.003125030807</v>
      </c>
      <c r="D7" s="277">
        <f>'[3]UNPBF Total Budget'!J5</f>
        <v>2199.0032482845318</v>
      </c>
      <c r="E7" s="277">
        <f>'[3]UNPBF Total Budget'!Q5</f>
        <v>654.47000241114438</v>
      </c>
      <c r="F7" s="277">
        <f>'[3]UNPBF Total Budget'!T5</f>
        <v>2335.3387163463753</v>
      </c>
      <c r="G7" s="277">
        <f>'[3]UNPBF Total Budget'!U5</f>
        <v>316.17142022590508</v>
      </c>
      <c r="H7" s="277">
        <f>'[3]UNPBF Total Budget'!V5</f>
        <v>156.59348770123202</v>
      </c>
      <c r="I7" s="281">
        <f t="shared" ref="I7:I37" si="0">SUM(C7:H7)</f>
        <v>16658.579999999998</v>
      </c>
    </row>
    <row r="8" spans="1:9" ht="56.65" customHeight="1" x14ac:dyDescent="0.25">
      <c r="A8" s="266" t="s">
        <v>51</v>
      </c>
      <c r="B8" s="276" t="s">
        <v>246</v>
      </c>
      <c r="C8" s="277">
        <f>'[3]UNPBF Total Budget'!D6</f>
        <v>8701.3870404873869</v>
      </c>
      <c r="D8" s="277">
        <f>'[3]UNPBF Total Budget'!J6</f>
        <v>1739.962983465924</v>
      </c>
      <c r="E8" s="277">
        <f>'[3]UNPBF Total Budget'!Q6</f>
        <v>517.84988442950248</v>
      </c>
      <c r="F8" s="277">
        <f>'[3]UNPBF Total Budget'!T6</f>
        <v>1847.8345006344966</v>
      </c>
      <c r="G8" s="277">
        <f>'[3]UNPBF Total Budget'!U6</f>
        <v>250.17087539642534</v>
      </c>
      <c r="H8" s="277">
        <f>'[3]UNPBF Total Budget'!V6</f>
        <v>123.90471558626606</v>
      </c>
      <c r="I8" s="281">
        <f t="shared" si="0"/>
        <v>13181.110000000002</v>
      </c>
    </row>
    <row r="9" spans="1:9" ht="74.650000000000006" customHeight="1" x14ac:dyDescent="0.25">
      <c r="A9" s="266" t="s">
        <v>52</v>
      </c>
      <c r="B9" s="276" t="s">
        <v>247</v>
      </c>
      <c r="C9" s="277">
        <f>'[3]UNPBF Total Budget'!D7</f>
        <v>41617.252733169691</v>
      </c>
      <c r="D9" s="277">
        <f>'[3]UNPBF Total Budget'!J7</f>
        <v>8321.9467071545532</v>
      </c>
      <c r="E9" s="277">
        <f>'[3]UNPBF Total Budget'!Q7</f>
        <v>2476.7878290974359</v>
      </c>
      <c r="F9" s="277">
        <f>'[3]UNPBF Total Budget'!T7</f>
        <v>8837.8828683013271</v>
      </c>
      <c r="G9" s="277">
        <f>'[3]UNPBF Total Budget'!U7</f>
        <v>1196.5247034073045</v>
      </c>
      <c r="H9" s="277">
        <f>'[3]UNPBF Total Budget'!V7</f>
        <v>592.61515886969562</v>
      </c>
      <c r="I9" s="281">
        <f t="shared" si="0"/>
        <v>63043.01</v>
      </c>
    </row>
    <row r="10" spans="1:9" ht="17.649999999999999" customHeight="1" x14ac:dyDescent="0.25">
      <c r="A10" s="720" t="s">
        <v>358</v>
      </c>
      <c r="B10" s="721"/>
      <c r="C10" s="278">
        <f t="shared" ref="C10:H10" si="1">SUM(C6:C9)</f>
        <v>67233.238695176406</v>
      </c>
      <c r="D10" s="278">
        <f t="shared" si="1"/>
        <v>13444.218265871234</v>
      </c>
      <c r="E10" s="278">
        <f t="shared" si="1"/>
        <v>4001.2844763848225</v>
      </c>
      <c r="F10" s="278">
        <f t="shared" si="1"/>
        <v>14277.718743631245</v>
      </c>
      <c r="G10" s="278">
        <f t="shared" si="1"/>
        <v>1933.001957256573</v>
      </c>
      <c r="H10" s="278">
        <f t="shared" si="1"/>
        <v>957.37786167971183</v>
      </c>
      <c r="I10" s="279">
        <f>SUM(I6:I9)</f>
        <v>101846.84</v>
      </c>
    </row>
    <row r="11" spans="1:9" ht="57.6" customHeight="1" x14ac:dyDescent="0.25">
      <c r="A11" s="266" t="s">
        <v>13</v>
      </c>
      <c r="B11" s="276" t="s">
        <v>249</v>
      </c>
      <c r="C11" s="277">
        <f>'[3]UNPBF Total Budget'!D10</f>
        <v>8340.2340322755554</v>
      </c>
      <c r="D11" s="277">
        <f>'[3]UNPBF Total Budget'!J10</f>
        <v>412.12387848813438</v>
      </c>
      <c r="E11" s="277">
        <f>'[3]UNPBF Total Budget'!Q10</f>
        <v>151.91913793296325</v>
      </c>
      <c r="F11" s="277">
        <f>'[3]UNPBF Total Budget'!T10</f>
        <v>1602.2078040331119</v>
      </c>
      <c r="G11" s="277">
        <f>'[3]UNPBF Total Budget'!U10</f>
        <v>209.70325056582664</v>
      </c>
      <c r="H11" s="277">
        <f>'[3]UNPBF Total Budget'!V10</f>
        <v>103.86189670440552</v>
      </c>
      <c r="I11" s="281">
        <f t="shared" si="0"/>
        <v>10820.05</v>
      </c>
    </row>
    <row r="12" spans="1:9" ht="76.150000000000006" customHeight="1" x14ac:dyDescent="0.25">
      <c r="A12" s="266" t="s">
        <v>14</v>
      </c>
      <c r="B12" s="276" t="s">
        <v>250</v>
      </c>
      <c r="C12" s="277">
        <f>'[3]UNPBF Total Budget'!D11</f>
        <v>284502.65676909278</v>
      </c>
      <c r="D12" s="277">
        <f>'[3]UNPBF Total Budget'!J11</f>
        <v>14058.399068193334</v>
      </c>
      <c r="E12" s="277">
        <f>'[3]UNPBF Total Budget'!Q11</f>
        <v>5182.2764431714331</v>
      </c>
      <c r="F12" s="277">
        <f>'[3]UNPBF Total Budget'!T11</f>
        <v>54654.711103727881</v>
      </c>
      <c r="G12" s="277">
        <f>'[3]UNPBF Total Budget'!U11</f>
        <v>7153.4122050067272</v>
      </c>
      <c r="H12" s="277">
        <f>'[3]UNPBF Total Budget'!V11</f>
        <v>3542.9444108078924</v>
      </c>
      <c r="I12" s="281">
        <f t="shared" si="0"/>
        <v>369094.40000000008</v>
      </c>
    </row>
    <row r="13" spans="1:9" ht="55.15" customHeight="1" x14ac:dyDescent="0.25">
      <c r="A13" s="266" t="s">
        <v>58</v>
      </c>
      <c r="B13" s="276" t="s">
        <v>251</v>
      </c>
      <c r="C13" s="277">
        <f>'[3]UNPBF Total Budget'!D12</f>
        <v>22231.094549433648</v>
      </c>
      <c r="D13" s="277">
        <f>'[3]UNPBF Total Budget'!J12</f>
        <v>1098.5261172880137</v>
      </c>
      <c r="E13" s="277">
        <f>'[3]UNPBF Total Budget'!Q12</f>
        <v>404.94411861661922</v>
      </c>
      <c r="F13" s="277">
        <f>'[3]UNPBF Total Budget'!T12</f>
        <v>4270.7297675897025</v>
      </c>
      <c r="G13" s="277">
        <f>'[3]UNPBF Total Budget'!U12</f>
        <v>558.96906161283107</v>
      </c>
      <c r="H13" s="277">
        <f>'[3]UNPBF Total Budget'!V12</f>
        <v>276.84638545918244</v>
      </c>
      <c r="I13" s="281">
        <f t="shared" si="0"/>
        <v>28841.109999999997</v>
      </c>
    </row>
    <row r="14" spans="1:9" ht="19.149999999999999" customHeight="1" x14ac:dyDescent="0.25">
      <c r="A14" s="716" t="s">
        <v>359</v>
      </c>
      <c r="B14" s="717"/>
      <c r="C14" s="280">
        <f t="shared" ref="C14:H14" si="2">SUM(C11:C13)</f>
        <v>315073.98535080196</v>
      </c>
      <c r="D14" s="280">
        <f t="shared" si="2"/>
        <v>15569.049063969484</v>
      </c>
      <c r="E14" s="280">
        <f t="shared" si="2"/>
        <v>5739.1396997210159</v>
      </c>
      <c r="F14" s="280">
        <f t="shared" si="2"/>
        <v>60527.648675350691</v>
      </c>
      <c r="G14" s="280">
        <f t="shared" si="2"/>
        <v>7922.0845171853844</v>
      </c>
      <c r="H14" s="280">
        <f t="shared" si="2"/>
        <v>3923.6526929714801</v>
      </c>
      <c r="I14" s="281">
        <f>SUM(I11:I13)</f>
        <v>408755.56000000006</v>
      </c>
    </row>
    <row r="15" spans="1:9" x14ac:dyDescent="0.25">
      <c r="A15" s="266" t="s">
        <v>15</v>
      </c>
      <c r="B15" s="276"/>
      <c r="C15" s="277"/>
      <c r="D15" s="277"/>
      <c r="E15" s="277"/>
      <c r="F15" s="277"/>
      <c r="G15" s="277"/>
      <c r="H15" s="277"/>
      <c r="I15" s="281"/>
    </row>
    <row r="16" spans="1:9" ht="57.6" customHeight="1" x14ac:dyDescent="0.25">
      <c r="A16" s="266" t="s">
        <v>16</v>
      </c>
      <c r="B16" s="276" t="s">
        <v>254</v>
      </c>
      <c r="C16" s="277">
        <f>'[3]UNPBF Total Budget'!D16</f>
        <v>19575.311270813003</v>
      </c>
      <c r="D16" s="277">
        <f>'[3]UNPBF Total Budget'!J16</f>
        <v>4616.8218001642363</v>
      </c>
      <c r="E16" s="277">
        <f>'[3]UNPBF Total Budget'!Q16</f>
        <v>1477.5181462702694</v>
      </c>
      <c r="F16" s="277">
        <f>'[3]UNPBF Total Budget'!T16</f>
        <v>4322.122653621971</v>
      </c>
      <c r="G16" s="277">
        <f>'[3]UNPBF Total Budget'!U16</f>
        <v>579.63453903844061</v>
      </c>
      <c r="H16" s="277">
        <f>'[3]UNPBF Total Budget'!V16</f>
        <v>287.08159009208401</v>
      </c>
      <c r="I16" s="281">
        <f t="shared" si="0"/>
        <v>30858.489999999998</v>
      </c>
    </row>
    <row r="17" spans="1:9" ht="48.6" customHeight="1" x14ac:dyDescent="0.25">
      <c r="A17" s="266" t="s">
        <v>17</v>
      </c>
      <c r="B17" s="276" t="s">
        <v>255</v>
      </c>
      <c r="C17" s="277">
        <f>'[3]UNPBF Total Budget'!D17</f>
        <v>18371.63221246266</v>
      </c>
      <c r="D17" s="277">
        <f>'[3]UNPBF Total Budget'!J17</f>
        <v>4421.1166549176842</v>
      </c>
      <c r="E17" s="277">
        <f>'[3]UNPBF Total Budget'!Q17</f>
        <v>1392.0517035902376</v>
      </c>
      <c r="F17" s="277">
        <f>'[3]UNPBF Total Budget'!T17</f>
        <v>4063.0681456584425</v>
      </c>
      <c r="G17" s="277">
        <f>'[3]UNPBF Total Budget'!U17</f>
        <v>546.10581234824815</v>
      </c>
      <c r="H17" s="277">
        <f>'[3]UNPBF Total Budget'!V17</f>
        <v>270.47547102272847</v>
      </c>
      <c r="I17" s="281">
        <f t="shared" si="0"/>
        <v>29064.45</v>
      </c>
    </row>
    <row r="18" spans="1:9" x14ac:dyDescent="0.25">
      <c r="A18" s="716" t="s">
        <v>360</v>
      </c>
      <c r="B18" s="717"/>
      <c r="C18" s="280">
        <f t="shared" ref="C18:H18" si="3">SUM(C16:C17)</f>
        <v>37946.943483275667</v>
      </c>
      <c r="D18" s="280">
        <f t="shared" si="3"/>
        <v>9037.9384550819195</v>
      </c>
      <c r="E18" s="280">
        <f t="shared" si="3"/>
        <v>2869.569849860507</v>
      </c>
      <c r="F18" s="280">
        <f t="shared" si="3"/>
        <v>8385.1907992804136</v>
      </c>
      <c r="G18" s="280">
        <f t="shared" si="3"/>
        <v>1125.7403513866889</v>
      </c>
      <c r="H18" s="280">
        <f t="shared" si="3"/>
        <v>557.55706111481254</v>
      </c>
      <c r="I18" s="281">
        <f>SUM(I16:I17)</f>
        <v>59922.94</v>
      </c>
    </row>
    <row r="19" spans="1:9" ht="58.5" customHeight="1" x14ac:dyDescent="0.25">
      <c r="A19" s="266" t="s">
        <v>19</v>
      </c>
      <c r="B19" s="276" t="s">
        <v>257</v>
      </c>
      <c r="C19" s="277">
        <f>'[3]UNPBF Total Budget'!D20</f>
        <v>69938.830232947876</v>
      </c>
      <c r="D19" s="277">
        <f>'[3]UNPBF Total Budget'!J20</f>
        <v>5074.0744683157327</v>
      </c>
      <c r="E19" s="277">
        <f>'[3]UNPBF Total Budget'!Q20</f>
        <v>1427.4051123125944</v>
      </c>
      <c r="F19" s="277">
        <f>'[3]UNPBF Total Budget'!T20</f>
        <v>13780.970670165774</v>
      </c>
      <c r="G19" s="277">
        <f>'[3]UNPBF Total Budget'!U20</f>
        <v>1797.2813852703825</v>
      </c>
      <c r="H19" s="277">
        <f>'[3]UNPBF Total Budget'!V20</f>
        <v>890.15813098761305</v>
      </c>
      <c r="I19" s="281">
        <f t="shared" si="0"/>
        <v>92908.719999999987</v>
      </c>
    </row>
    <row r="20" spans="1:9" ht="56.65" customHeight="1" x14ac:dyDescent="0.25">
      <c r="A20" s="266" t="s">
        <v>20</v>
      </c>
      <c r="B20" s="276" t="s">
        <v>361</v>
      </c>
      <c r="C20" s="277">
        <f>'[3]UNPBF Total Budget'!D21</f>
        <v>152241.29772572679</v>
      </c>
      <c r="D20" s="277">
        <f>'[3]UNPBF Total Budget'!J21</f>
        <v>11045.13300037224</v>
      </c>
      <c r="E20" s="277">
        <f>'[3]UNPBF Total Budget'!Q21</f>
        <v>3107.14385635281</v>
      </c>
      <c r="F20" s="277">
        <f>'[3]UNPBF Total Budget'!T21</f>
        <v>29998.366558473976</v>
      </c>
      <c r="G20" s="277">
        <f>'[3]UNPBF Total Budget'!U21</f>
        <v>3912.2823410185315</v>
      </c>
      <c r="H20" s="277">
        <f>'[3]UNPBF Total Budget'!V21</f>
        <v>1937.676518055622</v>
      </c>
      <c r="I20" s="281">
        <f t="shared" si="0"/>
        <v>202241.89999999994</v>
      </c>
    </row>
    <row r="21" spans="1:9" ht="32.65" customHeight="1" x14ac:dyDescent="0.25">
      <c r="A21" s="266" t="s">
        <v>21</v>
      </c>
      <c r="B21" s="276" t="s">
        <v>259</v>
      </c>
      <c r="C21" s="277">
        <f>'[3]UNPBF Total Budget'!D22</f>
        <v>24263.350387917861</v>
      </c>
      <c r="D21" s="277">
        <f>'[3]UNPBF Total Budget'!J22</f>
        <v>1760.3103499025087</v>
      </c>
      <c r="E21" s="277">
        <f>'[3]UNPBF Total Budget'!Q22</f>
        <v>495.19887979524663</v>
      </c>
      <c r="F21" s="277">
        <f>'[3]UNPBF Total Budget'!T22</f>
        <v>4780.9272791265885</v>
      </c>
      <c r="G21" s="277">
        <f>'[3]UNPBF Total Budget'!U22</f>
        <v>623.5172628888796</v>
      </c>
      <c r="H21" s="277">
        <f>'[3]UNPBF Total Budget'!V22</f>
        <v>308.81584036891297</v>
      </c>
      <c r="I21" s="281">
        <f t="shared" si="0"/>
        <v>32232.119999999995</v>
      </c>
    </row>
    <row r="22" spans="1:9" ht="16.149999999999999" customHeight="1" x14ac:dyDescent="0.25">
      <c r="A22" s="716" t="s">
        <v>362</v>
      </c>
      <c r="B22" s="717"/>
      <c r="C22" s="280">
        <f t="shared" ref="C22:H22" si="4">SUM(C19:C21)</f>
        <v>246443.47834659254</v>
      </c>
      <c r="D22" s="280">
        <f t="shared" si="4"/>
        <v>17879.517818590481</v>
      </c>
      <c r="E22" s="280">
        <f t="shared" si="4"/>
        <v>5029.7478484606509</v>
      </c>
      <c r="F22" s="280">
        <f t="shared" si="4"/>
        <v>48560.26450776634</v>
      </c>
      <c r="G22" s="280">
        <f t="shared" si="4"/>
        <v>6333.0809891777935</v>
      </c>
      <c r="H22" s="280">
        <f t="shared" si="4"/>
        <v>3136.6504894121481</v>
      </c>
      <c r="I22" s="281">
        <f>SUM(I19:I21)</f>
        <v>327382.73999999993</v>
      </c>
    </row>
    <row r="23" spans="1:9" ht="43.5" customHeight="1" x14ac:dyDescent="0.25">
      <c r="A23" s="266" t="s">
        <v>95</v>
      </c>
      <c r="B23" s="276" t="s">
        <v>261</v>
      </c>
      <c r="C23" s="277">
        <f>'[3]UNPBF Total Budget'!D25</f>
        <v>6890.8408008754031</v>
      </c>
      <c r="D23" s="277">
        <f>'[3]UNPBF Total Budget'!J25</f>
        <v>866.5864979868046</v>
      </c>
      <c r="E23" s="277">
        <f>'[3]UNPBF Total Budget'!Q25</f>
        <v>120.33584759981619</v>
      </c>
      <c r="F23" s="277">
        <f>'[3]UNPBF Total Budget'!T25</f>
        <v>1415.0964510354197</v>
      </c>
      <c r="G23" s="277">
        <f>'[3]UNPBF Total Budget'!U25</f>
        <v>185.86508197966754</v>
      </c>
      <c r="H23" s="277">
        <f>'[3]UNPBF Total Budget'!V25</f>
        <v>92.055320522885282</v>
      </c>
      <c r="I23" s="281">
        <f t="shared" si="0"/>
        <v>9570.7799999999988</v>
      </c>
    </row>
    <row r="24" spans="1:9" ht="36" customHeight="1" x14ac:dyDescent="0.25">
      <c r="A24" s="266" t="s">
        <v>96</v>
      </c>
      <c r="B24" s="276" t="s">
        <v>262</v>
      </c>
      <c r="C24" s="277">
        <f>'[3]UNPBF Total Budget'!D26</f>
        <v>34670.590206922388</v>
      </c>
      <c r="D24" s="277">
        <f>'[3]UNPBF Total Budget'!J26</f>
        <v>4360.1450416233074</v>
      </c>
      <c r="E24" s="277">
        <f>'[3]UNPBF Total Budget'!Q26</f>
        <v>605.45802462971903</v>
      </c>
      <c r="F24" s="277">
        <f>'[3]UNPBF Total Budget'!T26</f>
        <v>7103.1274570372434</v>
      </c>
      <c r="G24" s="277">
        <f>'[3]UNPBF Total Budget'!U26</f>
        <v>935.16194573446603</v>
      </c>
      <c r="H24" s="277">
        <f>'[3]UNPBF Total Budget'!V26</f>
        <v>463.16732405287752</v>
      </c>
      <c r="I24" s="281">
        <f t="shared" si="0"/>
        <v>48137.649999999994</v>
      </c>
    </row>
    <row r="25" spans="1:9" ht="86.65" customHeight="1" x14ac:dyDescent="0.25">
      <c r="A25" s="266" t="s">
        <v>97</v>
      </c>
      <c r="B25" s="276" t="s">
        <v>263</v>
      </c>
      <c r="C25" s="277">
        <f>'[3]UNPBF Total Budget'!D27</f>
        <v>91504.436163605715</v>
      </c>
      <c r="D25" s="277">
        <f>'[3]UNPBF Total Budget'!J27</f>
        <v>0</v>
      </c>
      <c r="E25" s="277">
        <f>'[3]UNPBF Total Budget'!Q27</f>
        <v>1419.4478994995936</v>
      </c>
      <c r="F25" s="277">
        <f>'[3]UNPBF Total Budget'!T27</f>
        <v>16912.35483623117</v>
      </c>
      <c r="G25" s="277">
        <f>'[3]UNPBF Total Budget'!U27</f>
        <v>2192.4123647986157</v>
      </c>
      <c r="H25" s="277">
        <f>'[3]UNPBF Total Budget'!V27</f>
        <v>1085.8587358649304</v>
      </c>
      <c r="I25" s="281">
        <f t="shared" si="0"/>
        <v>113114.51000000001</v>
      </c>
    </row>
    <row r="26" spans="1:9" ht="49.5" customHeight="1" x14ac:dyDescent="0.25">
      <c r="A26" s="266" t="s">
        <v>98</v>
      </c>
      <c r="B26" s="276" t="s">
        <v>363</v>
      </c>
      <c r="C26" s="277">
        <f>'[3]UNPBF Total Budget'!D28</f>
        <v>65661.136249371542</v>
      </c>
      <c r="D26" s="277">
        <f>'[3]UNPBF Total Budget'!J28</f>
        <v>8257.4907417609593</v>
      </c>
      <c r="E26" s="277">
        <f>'[3]UNPBF Total Budget'!Q28</f>
        <v>1146.6508533953302</v>
      </c>
      <c r="F26" s="277">
        <f>'[3]UNPBF Total Budget'!T28</f>
        <v>13484.066629136732</v>
      </c>
      <c r="G26" s="277">
        <f>'[3]UNPBF Total Budget'!U28</f>
        <v>1771.0628970440252</v>
      </c>
      <c r="H26" s="277">
        <f>'[3]UNPBF Total Budget'!V28</f>
        <v>877.17262929145886</v>
      </c>
      <c r="I26" s="281">
        <f t="shared" si="0"/>
        <v>91197.58000000006</v>
      </c>
    </row>
    <row r="27" spans="1:9" x14ac:dyDescent="0.25">
      <c r="A27" s="716" t="s">
        <v>353</v>
      </c>
      <c r="B27" s="717"/>
      <c r="C27" s="280">
        <f t="shared" ref="C27:H27" si="5">SUM(C23:C26)</f>
        <v>198727.00342077506</v>
      </c>
      <c r="D27" s="280">
        <f t="shared" si="5"/>
        <v>13484.222281371072</v>
      </c>
      <c r="E27" s="280">
        <f t="shared" si="5"/>
        <v>3291.8926251244593</v>
      </c>
      <c r="F27" s="280">
        <f t="shared" si="5"/>
        <v>38914.645373440566</v>
      </c>
      <c r="G27" s="280">
        <f t="shared" si="5"/>
        <v>5084.5022895567745</v>
      </c>
      <c r="H27" s="280">
        <f t="shared" si="5"/>
        <v>2518.2540097321521</v>
      </c>
      <c r="I27" s="281">
        <f>SUM(I23:I26)</f>
        <v>262020.52000000008</v>
      </c>
    </row>
    <row r="28" spans="1:9" x14ac:dyDescent="0.25">
      <c r="A28" s="266" t="s">
        <v>22</v>
      </c>
      <c r="B28" s="276"/>
      <c r="C28" s="277"/>
      <c r="D28" s="277"/>
      <c r="E28" s="277"/>
      <c r="F28" s="277"/>
      <c r="G28" s="277"/>
      <c r="H28" s="277"/>
      <c r="I28" s="281"/>
    </row>
    <row r="29" spans="1:9" ht="42" customHeight="1" x14ac:dyDescent="0.25">
      <c r="A29" s="266" t="s">
        <v>24</v>
      </c>
      <c r="B29" s="276" t="s">
        <v>267</v>
      </c>
      <c r="C29" s="277">
        <f>'[3]UNPBF Total Budget'!D32</f>
        <v>31416.900797523635</v>
      </c>
      <c r="D29" s="277">
        <f>'[3]UNPBF Total Budget'!J32</f>
        <v>9366.2471143756356</v>
      </c>
      <c r="E29" s="277">
        <f>'[3]UNPBF Total Budget'!Q32</f>
        <v>1911.6305738380563</v>
      </c>
      <c r="F29" s="277">
        <f>'[3]UNPBF Total Budget'!T32</f>
        <v>7413.099673142533</v>
      </c>
      <c r="G29" s="277">
        <f>'[3]UNPBF Total Budget'!U32</f>
        <v>977.1491034335387</v>
      </c>
      <c r="H29" s="277">
        <f>'[3]UNPBF Total Budget'!V32</f>
        <v>483.9627376866008</v>
      </c>
      <c r="I29" s="281">
        <f t="shared" si="0"/>
        <v>51568.99</v>
      </c>
    </row>
    <row r="30" spans="1:9" ht="47.1" customHeight="1" x14ac:dyDescent="0.25">
      <c r="A30" s="266" t="s">
        <v>25</v>
      </c>
      <c r="B30" s="276" t="s">
        <v>268</v>
      </c>
      <c r="C30" s="277">
        <f>'[3]UNPBF Total Budget'!D33</f>
        <v>74098.719427439151</v>
      </c>
      <c r="D30" s="277">
        <f>'[3]UNPBF Total Budget'!J33</f>
        <v>15971.613639216199</v>
      </c>
      <c r="E30" s="277">
        <f>'[3]UNPBF Total Budget'!Q33</f>
        <v>4221.8713194465799</v>
      </c>
      <c r="F30" s="277">
        <f>'[3]UNPBF Total Budget'!T33</f>
        <v>16352.633210653119</v>
      </c>
      <c r="G30" s="277">
        <f>'[3]UNPBF Total Budget'!U33</f>
        <v>2158.05178629586</v>
      </c>
      <c r="H30" s="277">
        <f>'[3]UNPBF Total Budget'!V33</f>
        <v>1068.8406169491411</v>
      </c>
      <c r="I30" s="281">
        <f t="shared" si="0"/>
        <v>113871.73000000005</v>
      </c>
    </row>
    <row r="31" spans="1:9" ht="47.1" customHeight="1" x14ac:dyDescent="0.25">
      <c r="A31" s="266" t="s">
        <v>26</v>
      </c>
      <c r="B31" s="276" t="s">
        <v>269</v>
      </c>
      <c r="C31" s="277">
        <f>'[3]UNPBF Total Budget'!D34</f>
        <v>4139.4335511982572</v>
      </c>
      <c r="D31" s="277">
        <f>'[3]UNPBF Total Budget'!J34</f>
        <v>1886.7745050365038</v>
      </c>
      <c r="E31" s="277">
        <f>'[3]UNPBF Total Budget'!Q34</f>
        <v>282.46675782588193</v>
      </c>
      <c r="F31" s="277">
        <f>'[3]UNPBF Total Budget'!T34</f>
        <v>1097.438071595983</v>
      </c>
      <c r="G31" s="277">
        <f>'[3]UNPBF Total Budget'!U34</f>
        <v>144.38571078363668</v>
      </c>
      <c r="H31" s="277">
        <f>'[3]UNPBF Total Budget'!V34</f>
        <v>71.511403559740671</v>
      </c>
      <c r="I31" s="281">
        <f t="shared" si="0"/>
        <v>7622.0100000000039</v>
      </c>
    </row>
    <row r="32" spans="1:9" ht="18" customHeight="1" x14ac:dyDescent="0.25">
      <c r="A32" s="716" t="s">
        <v>364</v>
      </c>
      <c r="B32" s="717"/>
      <c r="C32" s="280">
        <f t="shared" ref="C32:H32" si="6">SUM(C29:C31)</f>
        <v>109655.05377616105</v>
      </c>
      <c r="D32" s="280">
        <f t="shared" si="6"/>
        <v>27224.635258628339</v>
      </c>
      <c r="E32" s="280">
        <f t="shared" si="6"/>
        <v>6415.9686511105183</v>
      </c>
      <c r="F32" s="280">
        <f t="shared" si="6"/>
        <v>24863.170955391633</v>
      </c>
      <c r="G32" s="280">
        <f t="shared" si="6"/>
        <v>3279.5866005130351</v>
      </c>
      <c r="H32" s="280">
        <f t="shared" si="6"/>
        <v>1624.3147581954827</v>
      </c>
      <c r="I32" s="281">
        <f>SUM(I29:I31)</f>
        <v>173062.73000000007</v>
      </c>
    </row>
    <row r="33" spans="1:9" ht="42.6" customHeight="1" x14ac:dyDescent="0.25">
      <c r="A33" s="266" t="s">
        <v>28</v>
      </c>
      <c r="B33" s="276" t="s">
        <v>271</v>
      </c>
      <c r="C33" s="277">
        <f>'[3]UNPBF Total Budget'!D37</f>
        <v>16844.113210895219</v>
      </c>
      <c r="D33" s="277">
        <f>'[3]UNPBF Total Budget'!J37</f>
        <v>2291.9307514244952</v>
      </c>
      <c r="E33" s="277">
        <f>'[3]UNPBF Total Budget'!Q37</f>
        <v>542.11072426692726</v>
      </c>
      <c r="F33" s="277">
        <f>'[3]UNPBF Total Budget'!T37</f>
        <v>3503.400465538929</v>
      </c>
      <c r="G33" s="277">
        <f>'[3]UNPBF Total Budget'!U37</f>
        <v>458.49251856279005</v>
      </c>
      <c r="H33" s="277">
        <f>'[3]UNPBF Total Budget'!V37</f>
        <v>227.08232931164397</v>
      </c>
      <c r="I33" s="281">
        <f t="shared" si="0"/>
        <v>23867.130000000005</v>
      </c>
    </row>
    <row r="34" spans="1:9" ht="51" customHeight="1" x14ac:dyDescent="0.25">
      <c r="A34" s="266" t="s">
        <v>29</v>
      </c>
      <c r="B34" s="276" t="s">
        <v>272</v>
      </c>
      <c r="C34" s="277">
        <f>'[3]UNPBF Total Budget'!D38</f>
        <v>56611.362493715438</v>
      </c>
      <c r="D34" s="277">
        <f>'[3]UNPBF Total Budget'!J38</f>
        <v>4714.5357909164723</v>
      </c>
      <c r="E34" s="277">
        <f>'[3]UNPBF Total Budget'!Q38</f>
        <v>1737.3197511912299</v>
      </c>
      <c r="F34" s="277">
        <f>'[3]UNPBF Total Budget'!T38</f>
        <v>11222.158101387038</v>
      </c>
      <c r="G34" s="277">
        <f>'[3]UNPBF Total Budget'!U38</f>
        <v>1469.3457860470924</v>
      </c>
      <c r="H34" s="277">
        <f>'[3]UNPBF Total Budget'!V38</f>
        <v>727.73807674274508</v>
      </c>
      <c r="I34" s="281">
        <f t="shared" si="0"/>
        <v>76482.460000000006</v>
      </c>
    </row>
    <row r="35" spans="1:9" x14ac:dyDescent="0.25">
      <c r="A35" s="716" t="s">
        <v>365</v>
      </c>
      <c r="B35" s="717"/>
      <c r="C35" s="280">
        <f t="shared" ref="C35:H35" si="7">SUM(C33:C34)</f>
        <v>73455.475704610653</v>
      </c>
      <c r="D35" s="280">
        <f t="shared" si="7"/>
        <v>7006.4665423409679</v>
      </c>
      <c r="E35" s="280">
        <f t="shared" si="7"/>
        <v>2279.4304754581572</v>
      </c>
      <c r="F35" s="280">
        <f t="shared" si="7"/>
        <v>14725.558566925967</v>
      </c>
      <c r="G35" s="280">
        <f t="shared" si="7"/>
        <v>1927.8383046098825</v>
      </c>
      <c r="H35" s="280">
        <f t="shared" si="7"/>
        <v>954.82040605438908</v>
      </c>
      <c r="I35" s="281">
        <f>SUM(I33:I34)</f>
        <v>100349.59000000001</v>
      </c>
    </row>
    <row r="36" spans="1:9" ht="55.15" customHeight="1" x14ac:dyDescent="0.25">
      <c r="A36" s="266" t="s">
        <v>124</v>
      </c>
      <c r="B36" s="276" t="s">
        <v>274</v>
      </c>
      <c r="C36" s="277">
        <f>'[3]UNPBF Total Budget'!D41</f>
        <v>59829.552736127131</v>
      </c>
      <c r="D36" s="277">
        <f>'[3]UNPBF Total Budget'!J41</f>
        <v>5074.2351627280932</v>
      </c>
      <c r="E36" s="277">
        <f>'[3]UNPBF Total Budget'!Q41</f>
        <v>1426.4888280665837</v>
      </c>
      <c r="F36" s="277">
        <f>'[3]UNPBF Total Budget'!T41</f>
        <v>10673.546639972181</v>
      </c>
      <c r="G36" s="277">
        <f>'[3]UNPBF Total Budget'!U41</f>
        <v>1555.0706946852119</v>
      </c>
      <c r="H36" s="277">
        <f>'[3]UNPBF Total Budget'!V41</f>
        <v>770.19593842082213</v>
      </c>
      <c r="I36" s="281">
        <f t="shared" si="0"/>
        <v>79329.090000000026</v>
      </c>
    </row>
    <row r="37" spans="1:9" ht="47.65" customHeight="1" x14ac:dyDescent="0.25">
      <c r="A37" s="266" t="s">
        <v>125</v>
      </c>
      <c r="B37" s="276" t="s">
        <v>275</v>
      </c>
      <c r="C37" s="277">
        <f>'[3]UNPBF Total Budget'!D42</f>
        <v>78238.45</v>
      </c>
      <c r="D37" s="277">
        <f>'[3]UNPBF Total Budget'!J42</f>
        <v>6635.5216763574672</v>
      </c>
      <c r="E37" s="277">
        <f>'[3]UNPBF Total Budget'!Q42</f>
        <v>1865.4037970578761</v>
      </c>
      <c r="F37" s="277">
        <f>'[3]UNPBF Total Budget'!T42</f>
        <v>13957.67885020699</v>
      </c>
      <c r="G37" s="277">
        <f>'[3]UNPBF Total Budget'!U42</f>
        <v>2033.5488939586862</v>
      </c>
      <c r="H37" s="277">
        <f>'[3]UNPBF Total Budget'!V42</f>
        <v>1007.1767824190028</v>
      </c>
      <c r="I37" s="281">
        <f t="shared" si="0"/>
        <v>103737.78000000003</v>
      </c>
    </row>
    <row r="38" spans="1:9" x14ac:dyDescent="0.25">
      <c r="A38" s="718" t="s">
        <v>354</v>
      </c>
      <c r="B38" s="719"/>
      <c r="C38" s="280">
        <f t="shared" ref="C38:H38" si="8">SUM(C36:C37)</f>
        <v>138068.00273612712</v>
      </c>
      <c r="D38" s="280">
        <f t="shared" si="8"/>
        <v>11709.756839085559</v>
      </c>
      <c r="E38" s="280">
        <f t="shared" si="8"/>
        <v>3291.8926251244598</v>
      </c>
      <c r="F38" s="280">
        <f t="shared" si="8"/>
        <v>24631.225490179171</v>
      </c>
      <c r="G38" s="280">
        <f t="shared" si="8"/>
        <v>3588.6195886438982</v>
      </c>
      <c r="H38" s="280">
        <f t="shared" si="8"/>
        <v>1777.372720839825</v>
      </c>
      <c r="I38" s="281">
        <f>SUM(I36:I37)</f>
        <v>183066.87000000005</v>
      </c>
    </row>
    <row r="39" spans="1:9" x14ac:dyDescent="0.25">
      <c r="B39" s="3" t="s">
        <v>373</v>
      </c>
      <c r="C39" s="282">
        <f t="shared" ref="C39:H39" si="9">C38+C35+C32+C27+C22+C18+C14+C10</f>
        <v>1186603.1815135204</v>
      </c>
      <c r="D39" s="282">
        <f t="shared" si="9"/>
        <v>115355.80452493904</v>
      </c>
      <c r="E39" s="282">
        <f t="shared" si="9"/>
        <v>32918.926251244586</v>
      </c>
      <c r="F39" s="282">
        <f t="shared" si="9"/>
        <v>234885.42311196603</v>
      </c>
      <c r="G39" s="282">
        <f t="shared" si="9"/>
        <v>31194.45459833003</v>
      </c>
      <c r="H39" s="282">
        <f t="shared" si="9"/>
        <v>15450.000000000002</v>
      </c>
      <c r="I39" s="275">
        <f>I38+I35+I32+I27+I22+I18+I14+I10</f>
        <v>1616407.7900000003</v>
      </c>
    </row>
    <row r="40" spans="1:9" x14ac:dyDescent="0.25">
      <c r="H40" s="267"/>
      <c r="I40" s="273"/>
    </row>
    <row r="41" spans="1:9" x14ac:dyDescent="0.25">
      <c r="B41" s="264" t="s">
        <v>32</v>
      </c>
      <c r="C41" s="264"/>
      <c r="D41" s="264"/>
      <c r="E41" s="264"/>
      <c r="F41" s="264"/>
      <c r="G41" s="264"/>
      <c r="H41" s="264"/>
      <c r="I41" s="273">
        <v>129293.554599999</v>
      </c>
    </row>
    <row r="42" spans="1:9" x14ac:dyDescent="0.25">
      <c r="B42" s="264" t="s">
        <v>33</v>
      </c>
      <c r="C42" s="264"/>
      <c r="D42" s="264"/>
      <c r="E42" s="264"/>
      <c r="F42" s="264"/>
      <c r="G42" s="264"/>
      <c r="H42" s="264"/>
      <c r="I42" s="273">
        <v>20000</v>
      </c>
    </row>
    <row r="43" spans="1:9" x14ac:dyDescent="0.25">
      <c r="B43" s="264" t="s">
        <v>34</v>
      </c>
      <c r="C43" s="264"/>
      <c r="D43" s="264"/>
      <c r="E43" s="264"/>
      <c r="F43" s="264"/>
      <c r="G43" s="264"/>
      <c r="H43" s="264"/>
      <c r="I43" s="273">
        <v>10000</v>
      </c>
    </row>
    <row r="44" spans="1:9" x14ac:dyDescent="0.25">
      <c r="B44" s="264"/>
      <c r="C44" s="264"/>
      <c r="D44" s="264"/>
      <c r="E44" s="264"/>
      <c r="F44" s="264"/>
      <c r="G44" s="264"/>
      <c r="H44" s="264"/>
      <c r="I44" s="273">
        <f>SUM(I41:I43)</f>
        <v>159293.55459999898</v>
      </c>
    </row>
    <row r="45" spans="1:9" x14ac:dyDescent="0.25">
      <c r="B45" s="264"/>
      <c r="C45" s="264"/>
      <c r="D45" s="264"/>
      <c r="E45" s="264"/>
      <c r="F45" s="264"/>
      <c r="G45" s="264"/>
      <c r="H45" s="264"/>
      <c r="I45" s="275">
        <f>I39+I44</f>
        <v>1775701.3445999993</v>
      </c>
    </row>
    <row r="46" spans="1:9" x14ac:dyDescent="0.25">
      <c r="B46" s="264" t="s">
        <v>366</v>
      </c>
      <c r="I46" s="274">
        <f>I45*7%</f>
        <v>124299.09412199997</v>
      </c>
    </row>
    <row r="47" spans="1:9" x14ac:dyDescent="0.25">
      <c r="B47" s="264" t="s">
        <v>0</v>
      </c>
      <c r="I47" s="274">
        <f>I45+I46</f>
        <v>1900000.4387219993</v>
      </c>
    </row>
    <row r="49" spans="1:4" x14ac:dyDescent="0.25">
      <c r="C49" t="s">
        <v>355</v>
      </c>
    </row>
    <row r="50" spans="1:4" x14ac:dyDescent="0.25">
      <c r="A50" t="s">
        <v>619</v>
      </c>
      <c r="B50" s="269">
        <v>1616407.7900000003</v>
      </c>
      <c r="C50" s="269">
        <v>6.3008134846962091E-2</v>
      </c>
      <c r="D50" t="s">
        <v>206</v>
      </c>
    </row>
    <row r="51" spans="1:4" x14ac:dyDescent="0.25">
      <c r="C51" s="269">
        <v>0.25287898420732058</v>
      </c>
      <c r="D51" t="s">
        <v>210</v>
      </c>
    </row>
    <row r="52" spans="1:4" x14ac:dyDescent="0.25">
      <c r="C52" s="269">
        <v>3.7071672365548293E-2</v>
      </c>
      <c r="D52" t="s">
        <v>214</v>
      </c>
    </row>
    <row r="53" spans="1:4" x14ac:dyDescent="0.25">
      <c r="C53" s="269">
        <v>0.20253721989300724</v>
      </c>
      <c r="D53" t="s">
        <v>18</v>
      </c>
    </row>
    <row r="54" spans="1:4" x14ac:dyDescent="0.25">
      <c r="C54" s="269">
        <v>0.16210050559085715</v>
      </c>
      <c r="D54" t="s">
        <v>94</v>
      </c>
    </row>
    <row r="55" spans="1:4" x14ac:dyDescent="0.25">
      <c r="C55" s="269">
        <v>0.10706625584871751</v>
      </c>
      <c r="D55" t="s">
        <v>23</v>
      </c>
    </row>
    <row r="56" spans="1:4" x14ac:dyDescent="0.25">
      <c r="C56" s="269">
        <v>6.2081852500846954E-2</v>
      </c>
      <c r="D56" t="s">
        <v>216</v>
      </c>
    </row>
    <row r="57" spans="1:4" x14ac:dyDescent="0.25">
      <c r="C57" s="269">
        <v>0.11325537474674013</v>
      </c>
      <c r="D57" t="s">
        <v>123</v>
      </c>
    </row>
  </sheetData>
  <mergeCells count="8">
    <mergeCell ref="A35:B35"/>
    <mergeCell ref="A38:B38"/>
    <mergeCell ref="A10:B10"/>
    <mergeCell ref="A14:B14"/>
    <mergeCell ref="A18:B18"/>
    <mergeCell ref="A22:B22"/>
    <mergeCell ref="A27:B27"/>
    <mergeCell ref="A32:B32"/>
  </mergeCells>
  <pageMargins left="0.7" right="0.7" top="0.75" bottom="0.75" header="0.3" footer="0.3"/>
  <pageSetup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386C6-4671-44D4-A972-0F5318E20B08}">
  <sheetPr codeName="Sheet2"/>
  <dimension ref="B1:O250"/>
  <sheetViews>
    <sheetView tabSelected="1" topLeftCell="H6" workbookViewId="0">
      <pane ySplit="1" topLeftCell="A191" activePane="bottomLeft" state="frozen"/>
      <selection activeCell="D6" sqref="D6"/>
      <selection pane="bottomLeft" activeCell="L215" sqref="L215"/>
    </sheetView>
  </sheetViews>
  <sheetFormatPr baseColWidth="10" defaultColWidth="9.28515625" defaultRowHeight="15.75" x14ac:dyDescent="0.25"/>
  <cols>
    <col min="1" max="1" width="4.42578125" style="443" customWidth="1"/>
    <col min="2" max="2" width="3.28515625" style="443" customWidth="1"/>
    <col min="3" max="3" width="51.42578125" style="443" customWidth="1"/>
    <col min="4" max="4" width="34.28515625" style="444" customWidth="1"/>
    <col min="5" max="5" width="35" style="444" hidden="1" customWidth="1"/>
    <col min="6" max="6" width="34" style="444" hidden="1" customWidth="1"/>
    <col min="7" max="7" width="25.7109375" style="443" customWidth="1"/>
    <col min="8" max="8" width="21.42578125" style="445" customWidth="1"/>
    <col min="9" max="9" width="16.7109375" style="445" customWidth="1"/>
    <col min="10" max="10" width="19.42578125" style="446" customWidth="1"/>
    <col min="11" max="11" width="24.28515625" style="443" customWidth="1"/>
    <col min="12" max="12" width="27.7109375" style="443" customWidth="1"/>
    <col min="13" max="13" width="30.28515625" style="443" customWidth="1"/>
    <col min="14" max="14" width="33" style="443" customWidth="1"/>
    <col min="15" max="15" width="22.7109375" style="443" customWidth="1"/>
    <col min="16" max="16" width="35.42578125" style="443" customWidth="1"/>
    <col min="17" max="17" width="23.42578125" style="443" customWidth="1"/>
    <col min="18" max="18" width="32.28515625" style="443" customWidth="1"/>
    <col min="19" max="19" width="9.28515625" style="443"/>
    <col min="20" max="20" width="17.7109375" style="443" customWidth="1"/>
    <col min="21" max="21" width="26.42578125" style="443" customWidth="1"/>
    <col min="22" max="22" width="22.42578125" style="443" customWidth="1"/>
    <col min="23" max="23" width="29.7109375" style="443" customWidth="1"/>
    <col min="24" max="24" width="23.42578125" style="443" customWidth="1"/>
    <col min="25" max="25" width="18.42578125" style="443" customWidth="1"/>
    <col min="26" max="26" width="17.42578125" style="443" customWidth="1"/>
    <col min="27" max="27" width="25.28515625" style="443" customWidth="1"/>
    <col min="28" max="16384" width="9.28515625" style="443"/>
  </cols>
  <sheetData>
    <row r="1" spans="3:15" ht="24" hidden="1" customHeight="1" x14ac:dyDescent="0.25">
      <c r="L1" s="447"/>
    </row>
    <row r="2" spans="3:15" ht="26.25" hidden="1" customHeight="1" x14ac:dyDescent="0.7">
      <c r="C2" s="702" t="s">
        <v>200</v>
      </c>
      <c r="D2" s="702"/>
      <c r="E2" s="702"/>
      <c r="F2" s="702"/>
      <c r="G2" s="448"/>
      <c r="H2" s="449"/>
      <c r="I2" s="449"/>
      <c r="L2" s="447"/>
    </row>
    <row r="3" spans="3:15" ht="15" hidden="1" customHeight="1" x14ac:dyDescent="0.25">
      <c r="C3" s="450" t="s">
        <v>36</v>
      </c>
      <c r="D3" s="432"/>
      <c r="E3" s="432"/>
      <c r="F3" s="432"/>
      <c r="G3" s="432"/>
      <c r="H3" s="451"/>
      <c r="I3" s="451"/>
      <c r="L3" s="447"/>
    </row>
    <row r="4" spans="3:15" ht="17.25" hidden="1" customHeight="1" x14ac:dyDescent="0.3">
      <c r="C4" s="703" t="s">
        <v>201</v>
      </c>
      <c r="D4" s="703"/>
      <c r="E4" s="703"/>
      <c r="F4" s="432"/>
      <c r="G4" s="432"/>
      <c r="H4" s="451"/>
      <c r="I4" s="451"/>
      <c r="L4" s="447"/>
    </row>
    <row r="5" spans="3:15" ht="13.5" hidden="1" customHeight="1" x14ac:dyDescent="0.25">
      <c r="C5" s="452"/>
      <c r="D5" s="452"/>
      <c r="E5" s="452"/>
      <c r="F5" s="452"/>
      <c r="L5" s="447"/>
    </row>
    <row r="6" spans="3:15" ht="31.5" x14ac:dyDescent="0.25">
      <c r="C6" s="452"/>
      <c r="D6" s="270" t="s">
        <v>40</v>
      </c>
      <c r="E6" s="270" t="s">
        <v>202</v>
      </c>
      <c r="F6" s="270" t="s">
        <v>203</v>
      </c>
      <c r="G6" s="453" t="s">
        <v>0</v>
      </c>
      <c r="H6" s="454" t="s">
        <v>227</v>
      </c>
      <c r="I6" s="454" t="s">
        <v>204</v>
      </c>
      <c r="J6" s="64" t="s">
        <v>48</v>
      </c>
      <c r="K6" s="64" t="s">
        <v>46</v>
      </c>
      <c r="L6" s="455" t="s">
        <v>814</v>
      </c>
      <c r="M6" s="455" t="s">
        <v>228</v>
      </c>
    </row>
    <row r="7" spans="3:15" ht="24" customHeight="1" x14ac:dyDescent="0.25">
      <c r="C7" s="680" t="s">
        <v>205</v>
      </c>
      <c r="D7" s="680"/>
      <c r="E7" s="680"/>
      <c r="F7" s="680"/>
      <c r="G7" s="680"/>
      <c r="H7" s="680"/>
      <c r="I7" s="680"/>
      <c r="J7" s="680"/>
      <c r="K7" s="680"/>
      <c r="L7" s="681"/>
      <c r="M7" s="456"/>
    </row>
    <row r="8" spans="3:15" ht="22.5" customHeight="1" x14ac:dyDescent="0.25">
      <c r="C8" s="680" t="s">
        <v>206</v>
      </c>
      <c r="D8" s="680"/>
      <c r="E8" s="680"/>
      <c r="F8" s="680"/>
      <c r="G8" s="680"/>
      <c r="H8" s="680"/>
      <c r="I8" s="680"/>
      <c r="J8" s="680"/>
      <c r="K8" s="680"/>
      <c r="L8" s="681"/>
      <c r="M8" s="456"/>
    </row>
    <row r="9" spans="3:15" ht="24.75" customHeight="1" x14ac:dyDescent="0.25">
      <c r="C9" s="137" t="s">
        <v>207</v>
      </c>
      <c r="D9" s="138">
        <f>+'1) Budget Tables'!D16</f>
        <v>101846.84</v>
      </c>
      <c r="E9" s="138">
        <v>0</v>
      </c>
      <c r="F9" s="138">
        <v>0</v>
      </c>
      <c r="G9" s="118">
        <f>D9</f>
        <v>101846.84</v>
      </c>
      <c r="H9" s="118"/>
      <c r="I9" s="118"/>
      <c r="J9" s="119"/>
      <c r="K9" s="118"/>
      <c r="L9" s="363">
        <f>SUM(L10:L16)</f>
        <v>28706.292458541302</v>
      </c>
      <c r="M9" s="456"/>
      <c r="N9" s="548"/>
    </row>
    <row r="10" spans="3:15" ht="21.75" customHeight="1" x14ac:dyDescent="0.25">
      <c r="C10" s="139" t="s">
        <v>2</v>
      </c>
      <c r="D10" s="140">
        <v>14504.665250021</v>
      </c>
      <c r="E10" s="98"/>
      <c r="F10" s="98"/>
      <c r="G10" s="120">
        <f>D10</f>
        <v>14504.665250021</v>
      </c>
      <c r="H10" s="120"/>
      <c r="I10" s="120"/>
      <c r="J10" s="121"/>
      <c r="K10" s="122"/>
      <c r="L10" s="613">
        <f>2383.38470838827+317.27</f>
        <v>2700.6547083882701</v>
      </c>
      <c r="M10" s="598"/>
    </row>
    <row r="11" spans="3:15" x14ac:dyDescent="0.25">
      <c r="C11" s="139" t="s">
        <v>208</v>
      </c>
      <c r="D11" s="140"/>
      <c r="E11" s="98"/>
      <c r="F11" s="98"/>
      <c r="G11" s="120">
        <f t="shared" ref="G11:G15" si="0">D11</f>
        <v>0</v>
      </c>
      <c r="H11" s="120"/>
      <c r="I11" s="120"/>
      <c r="J11" s="121"/>
      <c r="K11" s="123"/>
      <c r="L11" s="365"/>
      <c r="M11" s="456"/>
      <c r="N11" s="546"/>
      <c r="O11" s="602"/>
    </row>
    <row r="12" spans="3:15" ht="15.75" customHeight="1" x14ac:dyDescent="0.25">
      <c r="C12" s="139" t="s">
        <v>3</v>
      </c>
      <c r="D12" s="140"/>
      <c r="E12" s="140"/>
      <c r="F12" s="140"/>
      <c r="G12" s="120">
        <f t="shared" si="0"/>
        <v>0</v>
      </c>
      <c r="H12" s="120"/>
      <c r="I12" s="120"/>
      <c r="J12" s="121"/>
      <c r="K12" s="123"/>
      <c r="L12" s="365"/>
      <c r="M12" s="456"/>
      <c r="N12" s="600"/>
    </row>
    <row r="13" spans="3:15" x14ac:dyDescent="0.25">
      <c r="C13" s="141" t="s">
        <v>4</v>
      </c>
      <c r="D13" s="140"/>
      <c r="E13" s="140"/>
      <c r="F13" s="140"/>
      <c r="G13" s="120">
        <f t="shared" si="0"/>
        <v>0</v>
      </c>
      <c r="H13" s="120"/>
      <c r="I13" s="120"/>
      <c r="J13" s="121"/>
      <c r="K13" s="122"/>
      <c r="L13" s="365"/>
      <c r="M13" s="456"/>
      <c r="N13" s="612"/>
      <c r="O13" s="546"/>
    </row>
    <row r="14" spans="3:15" x14ac:dyDescent="0.25">
      <c r="C14" s="139" t="s">
        <v>5</v>
      </c>
      <c r="D14" s="140">
        <v>953.01184227014403</v>
      </c>
      <c r="E14" s="140"/>
      <c r="F14" s="140"/>
      <c r="G14" s="120">
        <f t="shared" si="0"/>
        <v>953.01184227014403</v>
      </c>
      <c r="H14" s="120"/>
      <c r="I14" s="120"/>
      <c r="J14" s="121"/>
      <c r="K14" s="122"/>
      <c r="L14" s="614">
        <f>606.690525898093+74.44</f>
        <v>681.13052589809308</v>
      </c>
      <c r="M14" s="456"/>
      <c r="N14" s="612"/>
      <c r="O14" s="546"/>
    </row>
    <row r="15" spans="3:15" ht="21.75" customHeight="1" x14ac:dyDescent="0.25">
      <c r="C15" s="139" t="s">
        <v>6</v>
      </c>
      <c r="D15" s="140">
        <v>84160.931843302431</v>
      </c>
      <c r="E15" s="140"/>
      <c r="F15" s="140"/>
      <c r="G15" s="120">
        <f t="shared" si="0"/>
        <v>84160.931843302431</v>
      </c>
      <c r="H15" s="120"/>
      <c r="I15" s="120"/>
      <c r="J15" s="121"/>
      <c r="K15" s="122"/>
      <c r="L15" s="372">
        <f>+Output!D2</f>
        <v>24486.918415683347</v>
      </c>
      <c r="M15" s="457"/>
      <c r="N15" s="612"/>
      <c r="O15" s="546"/>
    </row>
    <row r="16" spans="3:15" ht="21.75" customHeight="1" x14ac:dyDescent="0.25">
      <c r="C16" s="139" t="s">
        <v>7</v>
      </c>
      <c r="D16" s="140">
        <v>2228.22959843947</v>
      </c>
      <c r="E16" s="140"/>
      <c r="F16" s="140"/>
      <c r="G16" s="120">
        <f>D16</f>
        <v>2228.22959843947</v>
      </c>
      <c r="H16" s="120"/>
      <c r="I16" s="120"/>
      <c r="J16" s="121"/>
      <c r="K16" s="122"/>
      <c r="L16" s="615">
        <f>747.518808571592+90.07</f>
        <v>837.58880857159193</v>
      </c>
      <c r="M16" s="599"/>
    </row>
    <row r="17" spans="3:15" ht="15.75" customHeight="1" x14ac:dyDescent="0.25">
      <c r="C17" s="142" t="s">
        <v>209</v>
      </c>
      <c r="D17" s="118">
        <f t="shared" ref="D17:I17" si="1">SUM(D10:D16)</f>
        <v>101846.83853403304</v>
      </c>
      <c r="E17" s="118">
        <f t="shared" si="1"/>
        <v>0</v>
      </c>
      <c r="F17" s="118">
        <f t="shared" si="1"/>
        <v>0</v>
      </c>
      <c r="G17" s="118">
        <f t="shared" si="1"/>
        <v>101846.83853403304</v>
      </c>
      <c r="H17" s="118">
        <f t="shared" si="1"/>
        <v>0</v>
      </c>
      <c r="I17" s="118">
        <f t="shared" si="1"/>
        <v>0</v>
      </c>
      <c r="J17" s="119"/>
      <c r="K17" s="118">
        <f>SUM(K10:K16)</f>
        <v>0</v>
      </c>
      <c r="L17" s="363">
        <f>SUM(L10:L16)</f>
        <v>28706.292458541302</v>
      </c>
      <c r="M17" s="456"/>
    </row>
    <row r="18" spans="3:15" s="444" customFormat="1" x14ac:dyDescent="0.25">
      <c r="C18" s="458"/>
      <c r="D18" s="459"/>
      <c r="E18" s="459"/>
      <c r="F18" s="459"/>
      <c r="G18" s="460"/>
      <c r="H18" s="461"/>
      <c r="I18" s="461"/>
      <c r="J18" s="462"/>
      <c r="K18" s="443"/>
      <c r="M18" s="463"/>
    </row>
    <row r="19" spans="3:15" ht="16.5" thickBot="1" x14ac:dyDescent="0.3">
      <c r="C19" s="680" t="s">
        <v>210</v>
      </c>
      <c r="D19" s="680"/>
      <c r="E19" s="680"/>
      <c r="F19" s="680"/>
      <c r="G19" s="680"/>
      <c r="H19" s="680"/>
      <c r="I19" s="680"/>
      <c r="J19" s="680"/>
      <c r="K19" s="680"/>
      <c r="L19" s="681"/>
      <c r="M19" s="456"/>
    </row>
    <row r="20" spans="3:15" ht="27" customHeight="1" thickBot="1" x14ac:dyDescent="0.3">
      <c r="C20" s="464" t="s">
        <v>207</v>
      </c>
      <c r="D20" s="465">
        <f>+'1) Budget Tables'!D26</f>
        <v>408755.56000000006</v>
      </c>
      <c r="E20" s="465">
        <v>0</v>
      </c>
      <c r="F20" s="466">
        <v>0</v>
      </c>
      <c r="G20" s="118">
        <f>D20</f>
        <v>408755.56000000006</v>
      </c>
      <c r="H20" s="118"/>
      <c r="I20" s="118"/>
      <c r="J20" s="118"/>
      <c r="K20" s="118">
        <f>SUM(K21:K27)</f>
        <v>0</v>
      </c>
      <c r="L20" s="363">
        <f>SUM(L21:L27)</f>
        <v>33729.418668416525</v>
      </c>
      <c r="M20" s="456"/>
      <c r="N20" s="600"/>
      <c r="O20" s="546"/>
    </row>
    <row r="21" spans="3:15" x14ac:dyDescent="0.25">
      <c r="C21" s="467" t="s">
        <v>2</v>
      </c>
      <c r="D21" s="468">
        <v>59743.356121376404</v>
      </c>
      <c r="E21" s="469"/>
      <c r="F21" s="470"/>
      <c r="G21" s="120">
        <f>D21</f>
        <v>59743.356121376404</v>
      </c>
      <c r="H21" s="120"/>
      <c r="I21" s="120"/>
      <c r="J21" s="120"/>
      <c r="K21" s="122"/>
      <c r="L21" s="613">
        <f>11305.7028841753+1504.97+529.27</f>
        <v>13339.9428841753</v>
      </c>
      <c r="M21" s="456"/>
      <c r="N21" s="600"/>
      <c r="O21" s="546"/>
    </row>
    <row r="22" spans="3:15" x14ac:dyDescent="0.25">
      <c r="C22" s="139" t="s">
        <v>208</v>
      </c>
      <c r="D22" s="140"/>
      <c r="E22" s="98"/>
      <c r="F22" s="471"/>
      <c r="G22" s="120">
        <f t="shared" ref="G22:G27" si="2">D22</f>
        <v>0</v>
      </c>
      <c r="H22" s="120"/>
      <c r="I22" s="120"/>
      <c r="J22" s="120"/>
      <c r="K22" s="123"/>
      <c r="L22" s="365"/>
      <c r="M22" s="456"/>
      <c r="N22" s="600"/>
      <c r="O22" s="546"/>
    </row>
    <row r="23" spans="3:15" ht="31.5" x14ac:dyDescent="0.25">
      <c r="C23" s="139" t="s">
        <v>3</v>
      </c>
      <c r="D23" s="140"/>
      <c r="E23" s="140"/>
      <c r="F23" s="472"/>
      <c r="G23" s="120">
        <f t="shared" si="2"/>
        <v>0</v>
      </c>
      <c r="H23" s="120"/>
      <c r="I23" s="120"/>
      <c r="J23" s="120"/>
      <c r="K23" s="123"/>
      <c r="L23" s="365"/>
      <c r="M23" s="456"/>
      <c r="N23" s="546"/>
      <c r="O23" s="546"/>
    </row>
    <row r="24" spans="3:15" x14ac:dyDescent="0.25">
      <c r="C24" s="141" t="s">
        <v>4</v>
      </c>
      <c r="D24" s="140"/>
      <c r="E24" s="140"/>
      <c r="F24" s="472"/>
      <c r="G24" s="120">
        <f t="shared" si="2"/>
        <v>0</v>
      </c>
      <c r="H24" s="120"/>
      <c r="I24" s="120"/>
      <c r="J24" s="120"/>
      <c r="K24" s="122"/>
      <c r="L24" s="366"/>
      <c r="M24" s="456"/>
    </row>
    <row r="25" spans="3:15" x14ac:dyDescent="0.25">
      <c r="C25" s="139" t="s">
        <v>5</v>
      </c>
      <c r="D25" s="140">
        <v>3925.3637037523517</v>
      </c>
      <c r="E25" s="140"/>
      <c r="F25" s="472"/>
      <c r="G25" s="120">
        <f t="shared" si="2"/>
        <v>3925.3637037523517</v>
      </c>
      <c r="H25" s="120"/>
      <c r="I25" s="120"/>
      <c r="J25" s="120"/>
      <c r="K25" s="122"/>
      <c r="L25" s="616">
        <f>1260.04927661428+118.31+56.95</f>
        <v>1435.30927661428</v>
      </c>
      <c r="M25" s="456"/>
    </row>
    <row r="26" spans="3:15" x14ac:dyDescent="0.25">
      <c r="C26" s="139" t="s">
        <v>6</v>
      </c>
      <c r="D26" s="140">
        <v>335908.98552988301</v>
      </c>
      <c r="E26" s="140"/>
      <c r="F26" s="472"/>
      <c r="G26" s="120">
        <f t="shared" si="2"/>
        <v>335908.98552988301</v>
      </c>
      <c r="H26" s="120"/>
      <c r="I26" s="120"/>
      <c r="J26" s="120"/>
      <c r="K26" s="122"/>
      <c r="L26" s="372">
        <f>+Output!D3</f>
        <v>16399.272042056065</v>
      </c>
      <c r="M26" s="456"/>
    </row>
    <row r="27" spans="3:15" x14ac:dyDescent="0.25">
      <c r="C27" s="139" t="s">
        <v>7</v>
      </c>
      <c r="D27" s="140">
        <v>9177.8524564219897</v>
      </c>
      <c r="E27" s="140"/>
      <c r="F27" s="472"/>
      <c r="G27" s="120">
        <f t="shared" si="2"/>
        <v>9177.8524564219897</v>
      </c>
      <c r="H27" s="120"/>
      <c r="I27" s="120"/>
      <c r="J27" s="120"/>
      <c r="K27" s="122">
        <v>0</v>
      </c>
      <c r="L27" s="615">
        <f>2434.83446557088+18.69+101.37</f>
        <v>2554.8944655708801</v>
      </c>
      <c r="M27" s="456"/>
      <c r="N27" s="600"/>
      <c r="O27" s="600"/>
    </row>
    <row r="28" spans="3:15" x14ac:dyDescent="0.25">
      <c r="C28" s="142" t="s">
        <v>209</v>
      </c>
      <c r="D28" s="118">
        <f>SUM(D21:D27)</f>
        <v>408755.55781143374</v>
      </c>
      <c r="E28" s="143">
        <v>0</v>
      </c>
      <c r="F28" s="473">
        <v>0</v>
      </c>
      <c r="G28" s="118">
        <f>SUM(G21:G27)</f>
        <v>408755.55781143374</v>
      </c>
      <c r="H28" s="118">
        <f t="shared" ref="H28:I28" si="3">SUM(H21:H27)</f>
        <v>0</v>
      </c>
      <c r="I28" s="118">
        <f t="shared" si="3"/>
        <v>0</v>
      </c>
      <c r="J28" s="118"/>
      <c r="K28" s="118">
        <f>SUM(K21:K27)</f>
        <v>0</v>
      </c>
      <c r="L28" s="363">
        <f>SUM(L21:L27)</f>
        <v>33729.418668416525</v>
      </c>
      <c r="M28" s="456"/>
    </row>
    <row r="29" spans="3:15" x14ac:dyDescent="0.25">
      <c r="C29" s="474"/>
      <c r="D29" s="140"/>
      <c r="E29" s="475"/>
      <c r="F29" s="475"/>
      <c r="G29" s="475"/>
      <c r="H29" s="475"/>
      <c r="I29" s="475"/>
      <c r="J29" s="476"/>
      <c r="K29" s="123"/>
      <c r="L29" s="365"/>
      <c r="M29" s="456"/>
    </row>
    <row r="30" spans="3:15" s="444" customFormat="1" x14ac:dyDescent="0.25">
      <c r="C30" s="477"/>
      <c r="D30" s="478"/>
      <c r="E30" s="478"/>
      <c r="F30" s="478"/>
      <c r="G30" s="479"/>
      <c r="H30" s="461"/>
      <c r="I30" s="461"/>
      <c r="J30" s="480"/>
      <c r="K30" s="123"/>
      <c r="L30" s="369"/>
      <c r="M30" s="463"/>
      <c r="O30" s="601"/>
    </row>
    <row r="31" spans="3:15" x14ac:dyDescent="0.25">
      <c r="C31" s="681" t="s">
        <v>211</v>
      </c>
      <c r="D31" s="692"/>
      <c r="E31" s="692"/>
      <c r="F31" s="692"/>
      <c r="G31" s="698"/>
      <c r="H31" s="681"/>
      <c r="I31" s="692"/>
      <c r="J31" s="692"/>
      <c r="K31" s="692"/>
      <c r="L31" s="692"/>
      <c r="M31" s="456"/>
      <c r="O31" s="600"/>
    </row>
    <row r="32" spans="3:15" ht="21.75" customHeight="1" thickBot="1" x14ac:dyDescent="0.3">
      <c r="C32" s="481" t="s">
        <v>207</v>
      </c>
      <c r="D32" s="482">
        <v>0</v>
      </c>
      <c r="E32" s="482">
        <v>0</v>
      </c>
      <c r="F32" s="482">
        <v>0</v>
      </c>
      <c r="G32" s="483">
        <v>0</v>
      </c>
      <c r="H32" s="127"/>
      <c r="I32" s="127"/>
      <c r="J32" s="128"/>
      <c r="K32" s="123"/>
      <c r="L32" s="365"/>
      <c r="M32" s="456"/>
    </row>
    <row r="33" spans="3:15" x14ac:dyDescent="0.25">
      <c r="C33" s="467" t="s">
        <v>2</v>
      </c>
      <c r="D33" s="468"/>
      <c r="E33" s="469"/>
      <c r="F33" s="469"/>
      <c r="G33" s="484">
        <v>0</v>
      </c>
      <c r="H33" s="127"/>
      <c r="I33" s="127"/>
      <c r="J33" s="128"/>
      <c r="K33" s="123"/>
      <c r="L33" s="365"/>
      <c r="M33" s="456"/>
    </row>
    <row r="34" spans="3:15" s="444" customFormat="1" ht="15.75" customHeight="1" x14ac:dyDescent="0.25">
      <c r="C34" s="139" t="s">
        <v>208</v>
      </c>
      <c r="D34" s="140"/>
      <c r="E34" s="98"/>
      <c r="F34" s="98"/>
      <c r="G34" s="118">
        <v>0</v>
      </c>
      <c r="H34" s="485"/>
      <c r="I34" s="485"/>
      <c r="J34" s="480"/>
      <c r="K34" s="123"/>
      <c r="L34" s="369"/>
      <c r="M34" s="463"/>
    </row>
    <row r="35" spans="3:15" s="444" customFormat="1" ht="31.5" x14ac:dyDescent="0.25">
      <c r="C35" s="139" t="s">
        <v>3</v>
      </c>
      <c r="D35" s="140"/>
      <c r="E35" s="140"/>
      <c r="F35" s="140"/>
      <c r="G35" s="118">
        <v>0</v>
      </c>
      <c r="H35" s="485"/>
      <c r="I35" s="485"/>
      <c r="J35" s="480"/>
      <c r="K35" s="123"/>
      <c r="L35" s="369"/>
      <c r="M35" s="463"/>
      <c r="O35" s="545"/>
    </row>
    <row r="36" spans="3:15" s="444" customFormat="1" x14ac:dyDescent="0.25">
      <c r="C36" s="141" t="s">
        <v>4</v>
      </c>
      <c r="D36" s="140"/>
      <c r="E36" s="140"/>
      <c r="F36" s="140"/>
      <c r="G36" s="118">
        <v>0</v>
      </c>
      <c r="H36" s="485"/>
      <c r="I36" s="485"/>
      <c r="J36" s="480"/>
      <c r="K36" s="123"/>
      <c r="L36" s="369"/>
      <c r="M36" s="463"/>
      <c r="O36" s="545"/>
    </row>
    <row r="37" spans="3:15" x14ac:dyDescent="0.25">
      <c r="C37" s="139" t="s">
        <v>5</v>
      </c>
      <c r="D37" s="140"/>
      <c r="E37" s="140"/>
      <c r="F37" s="140"/>
      <c r="G37" s="118">
        <v>0</v>
      </c>
      <c r="H37" s="127"/>
      <c r="I37" s="127"/>
      <c r="J37" s="128"/>
      <c r="K37" s="123"/>
      <c r="L37" s="365"/>
      <c r="M37" s="456"/>
      <c r="O37" s="546"/>
    </row>
    <row r="38" spans="3:15" x14ac:dyDescent="0.25">
      <c r="C38" s="139" t="s">
        <v>6</v>
      </c>
      <c r="D38" s="140"/>
      <c r="E38" s="140"/>
      <c r="F38" s="140"/>
      <c r="G38" s="118">
        <v>0</v>
      </c>
      <c r="H38" s="127"/>
      <c r="I38" s="127"/>
      <c r="J38" s="128"/>
      <c r="K38" s="123"/>
      <c r="L38" s="365"/>
      <c r="M38" s="456"/>
    </row>
    <row r="39" spans="3:15" x14ac:dyDescent="0.25">
      <c r="C39" s="139" t="s">
        <v>7</v>
      </c>
      <c r="D39" s="140"/>
      <c r="E39" s="140"/>
      <c r="F39" s="140"/>
      <c r="G39" s="118">
        <v>0</v>
      </c>
      <c r="H39" s="127"/>
      <c r="I39" s="127"/>
      <c r="J39" s="128"/>
      <c r="K39" s="123"/>
      <c r="L39" s="365"/>
      <c r="M39" s="456"/>
    </row>
    <row r="40" spans="3:15" x14ac:dyDescent="0.25">
      <c r="C40" s="142" t="s">
        <v>209</v>
      </c>
      <c r="D40" s="143">
        <v>0</v>
      </c>
      <c r="E40" s="143">
        <v>0</v>
      </c>
      <c r="F40" s="143">
        <v>0</v>
      </c>
      <c r="G40" s="118">
        <v>0</v>
      </c>
      <c r="H40" s="127"/>
      <c r="I40" s="127"/>
      <c r="J40" s="128"/>
      <c r="K40" s="123"/>
      <c r="L40" s="365"/>
      <c r="M40" s="456"/>
    </row>
    <row r="41" spans="3:15" s="444" customFormat="1" x14ac:dyDescent="0.25">
      <c r="C41" s="477"/>
      <c r="D41" s="478"/>
      <c r="E41" s="478"/>
      <c r="F41" s="478"/>
      <c r="G41" s="486"/>
      <c r="H41" s="485"/>
      <c r="I41" s="485"/>
      <c r="J41" s="480"/>
      <c r="K41" s="123"/>
      <c r="L41" s="369"/>
      <c r="M41" s="463"/>
    </row>
    <row r="42" spans="3:15" x14ac:dyDescent="0.25">
      <c r="C42" s="681" t="s">
        <v>212</v>
      </c>
      <c r="D42" s="692"/>
      <c r="E42" s="692"/>
      <c r="F42" s="692"/>
      <c r="G42" s="698"/>
      <c r="H42" s="127"/>
      <c r="I42" s="127"/>
      <c r="J42" s="128"/>
      <c r="K42" s="123"/>
      <c r="L42" s="365"/>
      <c r="M42" s="456"/>
    </row>
    <row r="43" spans="3:15" ht="20.25" customHeight="1" thickBot="1" x14ac:dyDescent="0.3">
      <c r="C43" s="481" t="s">
        <v>207</v>
      </c>
      <c r="D43" s="482">
        <v>0</v>
      </c>
      <c r="E43" s="482">
        <v>0</v>
      </c>
      <c r="F43" s="482">
        <v>0</v>
      </c>
      <c r="G43" s="483">
        <v>0</v>
      </c>
      <c r="H43" s="127"/>
      <c r="I43" s="127"/>
      <c r="J43" s="128"/>
      <c r="K43" s="123"/>
      <c r="L43" s="365"/>
      <c r="M43" s="456"/>
    </row>
    <row r="44" spans="3:15" x14ac:dyDescent="0.25">
      <c r="C44" s="467" t="s">
        <v>2</v>
      </c>
      <c r="D44" s="468"/>
      <c r="E44" s="469"/>
      <c r="F44" s="469"/>
      <c r="G44" s="484">
        <v>0</v>
      </c>
      <c r="H44" s="127"/>
      <c r="I44" s="127"/>
      <c r="J44" s="128"/>
      <c r="K44" s="123"/>
      <c r="L44" s="365"/>
      <c r="M44" s="456"/>
    </row>
    <row r="45" spans="3:15" ht="15.75" customHeight="1" x14ac:dyDescent="0.25">
      <c r="C45" s="139" t="s">
        <v>208</v>
      </c>
      <c r="D45" s="140"/>
      <c r="E45" s="98"/>
      <c r="F45" s="98"/>
      <c r="G45" s="118">
        <v>0</v>
      </c>
      <c r="H45" s="127"/>
      <c r="I45" s="127"/>
      <c r="J45" s="128"/>
      <c r="K45" s="123"/>
      <c r="L45" s="365"/>
      <c r="M45" s="456"/>
    </row>
    <row r="46" spans="3:15" ht="32.25" customHeight="1" x14ac:dyDescent="0.25">
      <c r="C46" s="139" t="s">
        <v>3</v>
      </c>
      <c r="D46" s="140"/>
      <c r="E46" s="140"/>
      <c r="F46" s="140"/>
      <c r="G46" s="118">
        <v>0</v>
      </c>
      <c r="H46" s="127"/>
      <c r="I46" s="127"/>
      <c r="J46" s="128"/>
      <c r="K46" s="123"/>
      <c r="L46" s="365"/>
      <c r="M46" s="456"/>
    </row>
    <row r="47" spans="3:15" s="444" customFormat="1" x14ac:dyDescent="0.25">
      <c r="C47" s="141" t="s">
        <v>4</v>
      </c>
      <c r="D47" s="140"/>
      <c r="E47" s="140"/>
      <c r="F47" s="140"/>
      <c r="G47" s="118">
        <v>0</v>
      </c>
      <c r="H47" s="485"/>
      <c r="I47" s="485"/>
      <c r="J47" s="480"/>
      <c r="K47" s="123"/>
      <c r="L47" s="369"/>
      <c r="M47" s="463"/>
    </row>
    <row r="48" spans="3:15" x14ac:dyDescent="0.25">
      <c r="C48" s="139" t="s">
        <v>5</v>
      </c>
      <c r="D48" s="140"/>
      <c r="E48" s="140"/>
      <c r="F48" s="140"/>
      <c r="G48" s="118">
        <v>0</v>
      </c>
      <c r="H48" s="127"/>
      <c r="I48" s="127"/>
      <c r="J48" s="128"/>
      <c r="K48" s="123"/>
      <c r="L48" s="365"/>
      <c r="M48" s="456"/>
    </row>
    <row r="49" spans="2:15" x14ac:dyDescent="0.25">
      <c r="C49" s="139" t="s">
        <v>6</v>
      </c>
      <c r="D49" s="140"/>
      <c r="E49" s="140"/>
      <c r="F49" s="140"/>
      <c r="G49" s="118">
        <v>0</v>
      </c>
      <c r="H49" s="127"/>
      <c r="I49" s="127"/>
      <c r="J49" s="128"/>
      <c r="K49" s="123"/>
      <c r="L49" s="365"/>
      <c r="M49" s="456"/>
    </row>
    <row r="50" spans="2:15" x14ac:dyDescent="0.25">
      <c r="C50" s="139" t="s">
        <v>7</v>
      </c>
      <c r="D50" s="140"/>
      <c r="E50" s="140"/>
      <c r="F50" s="140"/>
      <c r="G50" s="118">
        <v>0</v>
      </c>
      <c r="H50" s="127"/>
      <c r="I50" s="127"/>
      <c r="J50" s="128"/>
      <c r="K50" s="123"/>
      <c r="L50" s="365"/>
      <c r="M50" s="456"/>
    </row>
    <row r="51" spans="2:15" ht="21" customHeight="1" x14ac:dyDescent="0.25">
      <c r="C51" s="142" t="s">
        <v>209</v>
      </c>
      <c r="D51" s="143">
        <v>0</v>
      </c>
      <c r="E51" s="143">
        <v>0</v>
      </c>
      <c r="F51" s="143">
        <v>0</v>
      </c>
      <c r="G51" s="118">
        <v>0</v>
      </c>
      <c r="H51" s="127"/>
      <c r="I51" s="127"/>
      <c r="J51" s="128"/>
      <c r="K51" s="123"/>
      <c r="L51" s="365"/>
      <c r="M51" s="456"/>
    </row>
    <row r="52" spans="2:15" s="444" customFormat="1" ht="22.5" customHeight="1" thickBot="1" x14ac:dyDescent="0.3">
      <c r="C52" s="487"/>
      <c r="D52" s="488"/>
      <c r="E52" s="488"/>
      <c r="F52" s="488"/>
      <c r="G52" s="489"/>
      <c r="H52" s="485"/>
      <c r="I52" s="485"/>
      <c r="J52" s="480"/>
      <c r="K52" s="123"/>
      <c r="L52" s="369"/>
      <c r="M52" s="463"/>
    </row>
    <row r="53" spans="2:15" ht="15.75" customHeight="1" x14ac:dyDescent="0.25">
      <c r="B53" s="699" t="s">
        <v>213</v>
      </c>
      <c r="C53" s="700"/>
      <c r="D53" s="700"/>
      <c r="E53" s="700"/>
      <c r="F53" s="700"/>
      <c r="G53" s="700"/>
      <c r="H53" s="701"/>
      <c r="I53" s="701"/>
      <c r="J53" s="701"/>
      <c r="K53" s="701"/>
      <c r="L53" s="701"/>
      <c r="M53" s="456"/>
    </row>
    <row r="54" spans="2:15" ht="16.5" thickBot="1" x14ac:dyDescent="0.3">
      <c r="B54" s="690" t="s">
        <v>214</v>
      </c>
      <c r="C54" s="691"/>
      <c r="D54" s="691"/>
      <c r="E54" s="691"/>
      <c r="F54" s="691"/>
      <c r="G54" s="691"/>
      <c r="H54" s="691"/>
      <c r="I54" s="691"/>
      <c r="J54" s="691"/>
      <c r="K54" s="691"/>
      <c r="L54" s="691"/>
      <c r="M54" s="456"/>
    </row>
    <row r="55" spans="2:15" ht="24" customHeight="1" x14ac:dyDescent="0.25">
      <c r="B55" s="490"/>
      <c r="C55" s="491" t="s">
        <v>207</v>
      </c>
      <c r="D55" s="492">
        <f>+'1) Budget Tables'!D58</f>
        <v>59922.94</v>
      </c>
      <c r="E55" s="492">
        <v>0</v>
      </c>
      <c r="F55" s="492">
        <v>0</v>
      </c>
      <c r="G55" s="125">
        <f>D55</f>
        <v>59922.94</v>
      </c>
      <c r="H55" s="130"/>
      <c r="I55" s="130"/>
      <c r="J55" s="131"/>
      <c r="K55" s="125">
        <f>SUM(K56:K62)</f>
        <v>0</v>
      </c>
      <c r="L55" s="368">
        <f>SUM(L56:L62)</f>
        <v>18036.137133101263</v>
      </c>
      <c r="M55" s="456"/>
    </row>
    <row r="56" spans="2:15" ht="15.75" customHeight="1" x14ac:dyDescent="0.25">
      <c r="B56" s="123"/>
      <c r="C56" s="139" t="s">
        <v>2</v>
      </c>
      <c r="D56" s="140">
        <v>8457.620288531476</v>
      </c>
      <c r="E56" s="98"/>
      <c r="F56" s="98"/>
      <c r="G56" s="118">
        <f>D56</f>
        <v>8457.620288531476</v>
      </c>
      <c r="H56" s="126"/>
      <c r="I56" s="127"/>
      <c r="J56" s="128"/>
      <c r="K56" s="122"/>
      <c r="L56" s="613">
        <f>1520.86168526681+117.09</f>
        <v>1637.9516852668098</v>
      </c>
      <c r="M56" s="456"/>
      <c r="N56" s="546"/>
    </row>
    <row r="57" spans="2:15" ht="15.75" customHeight="1" x14ac:dyDescent="0.25">
      <c r="B57" s="123"/>
      <c r="C57" s="139" t="s">
        <v>208</v>
      </c>
      <c r="D57" s="140"/>
      <c r="E57" s="98"/>
      <c r="F57" s="98"/>
      <c r="G57" s="118">
        <f t="shared" ref="G57:G62" si="4">D57</f>
        <v>0</v>
      </c>
      <c r="H57" s="126"/>
      <c r="I57" s="127"/>
      <c r="J57" s="128"/>
      <c r="K57" s="123"/>
      <c r="L57" s="365"/>
      <c r="M57" s="456"/>
      <c r="N57" s="600"/>
    </row>
    <row r="58" spans="2:15" ht="15.75" customHeight="1" x14ac:dyDescent="0.25">
      <c r="B58" s="123"/>
      <c r="C58" s="139" t="s">
        <v>3</v>
      </c>
      <c r="D58" s="140"/>
      <c r="E58" s="140"/>
      <c r="F58" s="140"/>
      <c r="G58" s="118">
        <f t="shared" si="4"/>
        <v>0</v>
      </c>
      <c r="H58" s="126"/>
      <c r="I58" s="127"/>
      <c r="J58" s="128"/>
      <c r="K58" s="123"/>
      <c r="L58" s="365"/>
      <c r="M58" s="456"/>
      <c r="N58" s="600"/>
    </row>
    <row r="59" spans="2:15" ht="18.75" customHeight="1" x14ac:dyDescent="0.25">
      <c r="B59" s="123"/>
      <c r="C59" s="141" t="s">
        <v>4</v>
      </c>
      <c r="D59" s="140"/>
      <c r="E59" s="140"/>
      <c r="F59" s="140"/>
      <c r="G59" s="118">
        <f t="shared" si="4"/>
        <v>0</v>
      </c>
      <c r="H59" s="126"/>
      <c r="I59" s="127"/>
      <c r="J59" s="128"/>
      <c r="K59" s="122"/>
      <c r="L59" s="366"/>
      <c r="M59" s="456"/>
      <c r="N59" s="546"/>
      <c r="O59" s="546"/>
    </row>
    <row r="60" spans="2:15" x14ac:dyDescent="0.25">
      <c r="B60" s="123"/>
      <c r="C60" s="139" t="s">
        <v>5</v>
      </c>
      <c r="D60" s="140">
        <v>555.6975345220377</v>
      </c>
      <c r="E60" s="140"/>
      <c r="F60" s="140"/>
      <c r="G60" s="118">
        <f t="shared" si="4"/>
        <v>555.6975345220377</v>
      </c>
      <c r="H60" s="126"/>
      <c r="I60" s="127"/>
      <c r="J60" s="128"/>
      <c r="K60" s="122"/>
      <c r="L60" s="366">
        <v>109.95315297683021</v>
      </c>
      <c r="M60" s="456"/>
    </row>
    <row r="61" spans="2:15" s="444" customFormat="1" ht="21.75" customHeight="1" x14ac:dyDescent="0.25">
      <c r="B61" s="123"/>
      <c r="C61" s="139" t="s">
        <v>6</v>
      </c>
      <c r="D61" s="140">
        <v>49610.351577530688</v>
      </c>
      <c r="E61" s="140"/>
      <c r="F61" s="140"/>
      <c r="G61" s="118">
        <f t="shared" si="4"/>
        <v>49610.351577530688</v>
      </c>
      <c r="H61" s="126"/>
      <c r="I61" s="127"/>
      <c r="J61" s="128"/>
      <c r="K61" s="123"/>
      <c r="L61" s="559">
        <f>+Output!D4</f>
        <v>15544.344073564658</v>
      </c>
      <c r="M61" s="463"/>
      <c r="O61" s="601"/>
    </row>
    <row r="62" spans="2:15" s="444" customFormat="1" x14ac:dyDescent="0.25">
      <c r="B62" s="123"/>
      <c r="C62" s="139" t="s">
        <v>7</v>
      </c>
      <c r="D62" s="140">
        <v>1299.2750591282299</v>
      </c>
      <c r="E62" s="140"/>
      <c r="F62" s="140"/>
      <c r="G62" s="118">
        <f t="shared" si="4"/>
        <v>1299.2750591282299</v>
      </c>
      <c r="H62" s="126"/>
      <c r="I62" s="127"/>
      <c r="J62" s="128"/>
      <c r="K62" s="122"/>
      <c r="L62" s="617">
        <f>568.248221292963+175.64</f>
        <v>743.88822129296295</v>
      </c>
      <c r="M62" s="463"/>
      <c r="N62" s="601"/>
    </row>
    <row r="63" spans="2:15" x14ac:dyDescent="0.25">
      <c r="B63" s="123"/>
      <c r="C63" s="142" t="s">
        <v>209</v>
      </c>
      <c r="D63" s="118">
        <f>SUM(D56:D62)</f>
        <v>59922.944459712431</v>
      </c>
      <c r="E63" s="143">
        <v>0</v>
      </c>
      <c r="F63" s="143">
        <v>0</v>
      </c>
      <c r="G63" s="118">
        <f>SUM(G56:G62)</f>
        <v>59922.944459712431</v>
      </c>
      <c r="H63" s="118">
        <f t="shared" ref="H63:I63" si="5">SUM(H56:H62)</f>
        <v>0</v>
      </c>
      <c r="I63" s="118">
        <f t="shared" si="5"/>
        <v>0</v>
      </c>
      <c r="J63" s="129"/>
      <c r="K63" s="125">
        <f>SUM(K56:K62)</f>
        <v>0</v>
      </c>
      <c r="L63" s="368">
        <f>SUM(L56:L62)</f>
        <v>18036.137133101263</v>
      </c>
      <c r="M63" s="456"/>
    </row>
    <row r="64" spans="2:15" s="444" customFormat="1" x14ac:dyDescent="0.25">
      <c r="C64" s="493"/>
      <c r="D64" s="494"/>
      <c r="E64" s="494"/>
      <c r="F64" s="494"/>
      <c r="G64" s="495"/>
      <c r="H64" s="461"/>
      <c r="I64" s="461"/>
      <c r="J64" s="462"/>
      <c r="K64" s="443"/>
      <c r="L64" s="369"/>
      <c r="M64" s="463"/>
      <c r="O64" s="601"/>
    </row>
    <row r="65" spans="2:15" x14ac:dyDescent="0.25">
      <c r="B65" s="444"/>
      <c r="C65" s="680" t="s">
        <v>18</v>
      </c>
      <c r="D65" s="680"/>
      <c r="E65" s="680"/>
      <c r="F65" s="680"/>
      <c r="G65" s="680"/>
      <c r="H65" s="680"/>
      <c r="I65" s="680"/>
      <c r="J65" s="680"/>
      <c r="K65" s="680"/>
      <c r="L65" s="681"/>
      <c r="M65" s="456"/>
      <c r="N65" s="546"/>
    </row>
    <row r="66" spans="2:15" ht="21.75" customHeight="1" x14ac:dyDescent="0.25">
      <c r="C66" s="137" t="s">
        <v>207</v>
      </c>
      <c r="D66" s="138">
        <f>+'1) Budget Tables'!D68</f>
        <v>327382.73999999993</v>
      </c>
      <c r="E66" s="138">
        <v>0</v>
      </c>
      <c r="F66" s="138">
        <v>0</v>
      </c>
      <c r="G66" s="118">
        <f>D66</f>
        <v>327382.73999999993</v>
      </c>
      <c r="H66" s="134"/>
      <c r="I66" s="134"/>
      <c r="J66" s="135"/>
      <c r="K66" s="118">
        <f>SUM(K67:K73)</f>
        <v>0</v>
      </c>
      <c r="L66" s="363">
        <f>SUM(L67:L73)</f>
        <v>22630.372877202557</v>
      </c>
      <c r="M66" s="456"/>
    </row>
    <row r="67" spans="2:15" ht="15.75" customHeight="1" x14ac:dyDescent="0.25">
      <c r="C67" s="139" t="s">
        <v>2</v>
      </c>
      <c r="D67" s="140">
        <v>47785.768360567119</v>
      </c>
      <c r="E67" s="98"/>
      <c r="F67" s="98"/>
      <c r="G67" s="118">
        <f>D67</f>
        <v>47785.768360567119</v>
      </c>
      <c r="H67" s="132"/>
      <c r="I67" s="132"/>
      <c r="J67" s="128"/>
      <c r="K67" s="122"/>
      <c r="L67" s="613">
        <f>8661.9812846825+1153.05</f>
        <v>9815.0312846825</v>
      </c>
      <c r="M67" s="456"/>
      <c r="N67" s="546"/>
    </row>
    <row r="68" spans="2:15" ht="15.75" customHeight="1" x14ac:dyDescent="0.25">
      <c r="C68" s="139" t="s">
        <v>208</v>
      </c>
      <c r="D68" s="140"/>
      <c r="E68" s="98"/>
      <c r="F68" s="98"/>
      <c r="G68" s="118">
        <f t="shared" ref="G68:G73" si="6">D68</f>
        <v>0</v>
      </c>
      <c r="H68" s="132"/>
      <c r="I68" s="132"/>
      <c r="J68" s="128"/>
      <c r="K68" s="123"/>
      <c r="L68" s="365"/>
      <c r="M68" s="456"/>
      <c r="N68" s="600"/>
      <c r="O68" s="600"/>
    </row>
    <row r="69" spans="2:15" ht="15.75" customHeight="1" x14ac:dyDescent="0.25">
      <c r="C69" s="139" t="s">
        <v>3</v>
      </c>
      <c r="D69" s="140"/>
      <c r="E69" s="140"/>
      <c r="F69" s="140"/>
      <c r="G69" s="118">
        <f t="shared" si="6"/>
        <v>0</v>
      </c>
      <c r="H69" s="132"/>
      <c r="I69" s="132"/>
      <c r="J69" s="128"/>
      <c r="K69" s="123"/>
      <c r="L69" s="365"/>
      <c r="M69" s="456"/>
      <c r="O69" s="600"/>
    </row>
    <row r="70" spans="2:15" x14ac:dyDescent="0.25">
      <c r="C70" s="141" t="s">
        <v>4</v>
      </c>
      <c r="D70" s="140"/>
      <c r="E70" s="140"/>
      <c r="F70" s="140"/>
      <c r="G70" s="118">
        <f t="shared" si="6"/>
        <v>0</v>
      </c>
      <c r="H70" s="132"/>
      <c r="I70" s="132"/>
      <c r="J70" s="128"/>
      <c r="K70" s="122"/>
      <c r="L70" s="365"/>
      <c r="M70" s="456"/>
      <c r="N70" s="546"/>
      <c r="O70" s="600"/>
    </row>
    <row r="71" spans="2:15" x14ac:dyDescent="0.25">
      <c r="C71" s="139" t="s">
        <v>5</v>
      </c>
      <c r="D71" s="140">
        <v>3139.7051129401161</v>
      </c>
      <c r="E71" s="140"/>
      <c r="F71" s="140"/>
      <c r="G71" s="118">
        <f t="shared" si="6"/>
        <v>3139.7051129401161</v>
      </c>
      <c r="H71" s="132"/>
      <c r="I71" s="132"/>
      <c r="J71" s="128"/>
      <c r="K71" s="122"/>
      <c r="L71" s="559">
        <f>889.062042849147+80.49</f>
        <v>969.55204284914703</v>
      </c>
      <c r="M71" s="456"/>
    </row>
    <row r="72" spans="2:15" x14ac:dyDescent="0.25">
      <c r="C72" s="139" t="s">
        <v>6</v>
      </c>
      <c r="D72" s="140">
        <v>269116.34578416584</v>
      </c>
      <c r="E72" s="140"/>
      <c r="F72" s="140"/>
      <c r="G72" s="118">
        <f t="shared" si="6"/>
        <v>269116.34578416584</v>
      </c>
      <c r="H72" s="126"/>
      <c r="I72" s="132"/>
      <c r="J72" s="128"/>
      <c r="K72" s="122"/>
      <c r="L72" s="372">
        <f>+Output!D5</f>
        <v>9366.3609468086797</v>
      </c>
      <c r="M72" s="456"/>
    </row>
    <row r="73" spans="2:15" x14ac:dyDescent="0.25">
      <c r="C73" s="139" t="s">
        <v>7</v>
      </c>
      <c r="D73" s="140">
        <v>7340.9201936481841</v>
      </c>
      <c r="E73" s="140"/>
      <c r="F73" s="140"/>
      <c r="G73" s="118">
        <f t="shared" si="6"/>
        <v>7340.9201936481841</v>
      </c>
      <c r="H73" s="133"/>
      <c r="I73" s="132"/>
      <c r="J73" s="128"/>
      <c r="K73" s="122">
        <v>0</v>
      </c>
      <c r="L73" s="615">
        <f>2463.30860286223+16.12</f>
        <v>2479.42860286223</v>
      </c>
      <c r="M73" s="456"/>
    </row>
    <row r="74" spans="2:15" x14ac:dyDescent="0.25">
      <c r="C74" s="142" t="s">
        <v>209</v>
      </c>
      <c r="D74" s="118">
        <f>SUM(D67:D73)</f>
        <v>327382.73945132125</v>
      </c>
      <c r="E74" s="143">
        <v>0</v>
      </c>
      <c r="F74" s="143">
        <v>0</v>
      </c>
      <c r="G74" s="118">
        <f>SUM(G67:G73)</f>
        <v>327382.73945132125</v>
      </c>
      <c r="H74" s="118">
        <f t="shared" ref="H74:I74" si="7">SUM(H67:H73)</f>
        <v>0</v>
      </c>
      <c r="I74" s="118">
        <f t="shared" si="7"/>
        <v>0</v>
      </c>
      <c r="J74" s="135"/>
      <c r="K74" s="134">
        <f>SUM(K67:K73)</f>
        <v>0</v>
      </c>
      <c r="L74" s="370">
        <f>SUM(L67:L73)</f>
        <v>22630.372877202557</v>
      </c>
      <c r="M74" s="456"/>
      <c r="N74" s="600"/>
    </row>
    <row r="75" spans="2:15" s="444" customFormat="1" x14ac:dyDescent="0.25">
      <c r="C75" s="458"/>
      <c r="D75" s="459"/>
      <c r="E75" s="459"/>
      <c r="F75" s="459"/>
      <c r="G75" s="479"/>
      <c r="H75" s="461"/>
      <c r="I75" s="461"/>
      <c r="J75" s="462"/>
      <c r="K75" s="443"/>
      <c r="L75" s="369"/>
      <c r="M75" s="463"/>
    </row>
    <row r="76" spans="2:15" x14ac:dyDescent="0.25">
      <c r="C76" s="681" t="s">
        <v>94</v>
      </c>
      <c r="D76" s="692"/>
      <c r="E76" s="692"/>
      <c r="F76" s="692"/>
      <c r="G76" s="698"/>
      <c r="H76" s="127"/>
      <c r="I76" s="127"/>
      <c r="J76" s="128"/>
      <c r="K76" s="123"/>
      <c r="L76" s="365"/>
      <c r="M76" s="456"/>
    </row>
    <row r="77" spans="2:15" ht="21.75" customHeight="1" thickBot="1" x14ac:dyDescent="0.3">
      <c r="B77" s="444"/>
      <c r="C77" s="481" t="s">
        <v>207</v>
      </c>
      <c r="D77" s="482">
        <f>+'1) Budget Tables'!D78</f>
        <v>262020.52000000008</v>
      </c>
      <c r="E77" s="482">
        <v>0</v>
      </c>
      <c r="F77" s="482">
        <v>0</v>
      </c>
      <c r="G77" s="483">
        <f>D77</f>
        <v>262020.52000000008</v>
      </c>
      <c r="H77" s="484"/>
      <c r="I77" s="484"/>
      <c r="J77" s="484"/>
      <c r="K77" s="484"/>
      <c r="L77" s="363">
        <f>SUM(L78:L84)</f>
        <v>17019.276429405887</v>
      </c>
      <c r="M77" s="456"/>
      <c r="N77" s="546"/>
    </row>
    <row r="78" spans="2:15" ht="18" customHeight="1" x14ac:dyDescent="0.25">
      <c r="C78" s="467" t="s">
        <v>2</v>
      </c>
      <c r="D78" s="468">
        <v>38354.06</v>
      </c>
      <c r="E78" s="469"/>
      <c r="F78" s="469"/>
      <c r="G78" s="484">
        <f>D78</f>
        <v>38354.06</v>
      </c>
      <c r="H78" s="127"/>
      <c r="I78" s="127"/>
      <c r="J78" s="128"/>
      <c r="K78" s="123"/>
      <c r="L78" s="367">
        <f>7583.28013253847+753.46</f>
        <v>8336.7401325384708</v>
      </c>
      <c r="M78" s="456"/>
      <c r="N78" s="600"/>
    </row>
    <row r="79" spans="2:15" ht="15.75" customHeight="1" x14ac:dyDescent="0.25">
      <c r="C79" s="139" t="s">
        <v>208</v>
      </c>
      <c r="D79" s="140"/>
      <c r="E79" s="98"/>
      <c r="F79" s="98"/>
      <c r="G79" s="484">
        <f t="shared" ref="G79:G84" si="8">D79</f>
        <v>0</v>
      </c>
      <c r="H79" s="127"/>
      <c r="I79" s="127"/>
      <c r="J79" s="128"/>
      <c r="K79" s="123"/>
      <c r="L79" s="365"/>
      <c r="M79" s="456"/>
      <c r="N79" s="546"/>
      <c r="O79" s="600"/>
    </row>
    <row r="80" spans="2:15" s="444" customFormat="1" ht="15.75" customHeight="1" x14ac:dyDescent="0.25">
      <c r="B80" s="443"/>
      <c r="C80" s="139" t="s">
        <v>3</v>
      </c>
      <c r="D80" s="140"/>
      <c r="E80" s="140"/>
      <c r="F80" s="140"/>
      <c r="G80" s="484">
        <f t="shared" si="8"/>
        <v>0</v>
      </c>
      <c r="H80" s="485"/>
      <c r="I80" s="485"/>
      <c r="J80" s="480"/>
      <c r="K80" s="123"/>
      <c r="L80" s="369"/>
      <c r="M80" s="463"/>
      <c r="N80" s="545"/>
      <c r="O80" s="600"/>
    </row>
    <row r="81" spans="2:15" x14ac:dyDescent="0.25">
      <c r="B81" s="444"/>
      <c r="C81" s="141" t="s">
        <v>4</v>
      </c>
      <c r="D81" s="140">
        <v>91504.444900000002</v>
      </c>
      <c r="E81" s="140"/>
      <c r="F81" s="140"/>
      <c r="G81" s="484">
        <f t="shared" si="8"/>
        <v>91504.444900000002</v>
      </c>
      <c r="H81" s="127"/>
      <c r="I81" s="127"/>
      <c r="J81" s="128"/>
      <c r="K81" s="123"/>
      <c r="L81" s="365"/>
      <c r="M81" s="456"/>
      <c r="N81" s="545"/>
      <c r="O81" s="600"/>
    </row>
    <row r="82" spans="2:15" x14ac:dyDescent="0.25">
      <c r="B82" s="444"/>
      <c r="C82" s="139" t="s">
        <v>5</v>
      </c>
      <c r="D82" s="140">
        <v>2520</v>
      </c>
      <c r="E82" s="140"/>
      <c r="F82" s="140"/>
      <c r="G82" s="484">
        <f t="shared" si="8"/>
        <v>2520</v>
      </c>
      <c r="H82" s="127"/>
      <c r="I82" s="127"/>
      <c r="J82" s="128"/>
      <c r="K82" s="123"/>
      <c r="L82" s="615">
        <v>256</v>
      </c>
      <c r="M82" s="456"/>
    </row>
    <row r="83" spans="2:15" x14ac:dyDescent="0.25">
      <c r="B83" s="444"/>
      <c r="C83" s="139" t="s">
        <v>6</v>
      </c>
      <c r="D83" s="140">
        <v>123750.01</v>
      </c>
      <c r="E83" s="140"/>
      <c r="F83" s="140"/>
      <c r="G83" s="484">
        <f t="shared" si="8"/>
        <v>123750.01</v>
      </c>
      <c r="H83" s="127"/>
      <c r="I83" s="127"/>
      <c r="J83" s="128"/>
      <c r="K83" s="123"/>
      <c r="L83" s="559">
        <f>+Output!D6</f>
        <v>6143.2492551455452</v>
      </c>
      <c r="M83" s="456"/>
    </row>
    <row r="84" spans="2:15" x14ac:dyDescent="0.25">
      <c r="C84" s="139" t="s">
        <v>7</v>
      </c>
      <c r="D84" s="140">
        <v>5892.01</v>
      </c>
      <c r="E84" s="140"/>
      <c r="F84" s="140"/>
      <c r="G84" s="484">
        <f t="shared" si="8"/>
        <v>5892.01</v>
      </c>
      <c r="H84" s="127"/>
      <c r="I84" s="127"/>
      <c r="J84" s="128"/>
      <c r="K84" s="123"/>
      <c r="L84" s="367">
        <f>2032.39704172187+250.89</f>
        <v>2283.2870417218701</v>
      </c>
      <c r="M84" s="456"/>
    </row>
    <row r="85" spans="2:15" x14ac:dyDescent="0.25">
      <c r="C85" s="142" t="s">
        <v>209</v>
      </c>
      <c r="D85" s="118">
        <f>SUM(D78:D84)</f>
        <v>262020.52490000002</v>
      </c>
      <c r="E85" s="143">
        <v>0</v>
      </c>
      <c r="F85" s="143">
        <v>0</v>
      </c>
      <c r="G85" s="118">
        <f>SUM(G78:G84)</f>
        <v>262020.52490000002</v>
      </c>
      <c r="H85" s="143"/>
      <c r="I85" s="143"/>
      <c r="J85" s="143"/>
      <c r="K85" s="143"/>
      <c r="L85" s="363">
        <f>SUM(L78:L84)</f>
        <v>17019.276429405887</v>
      </c>
      <c r="M85" s="456"/>
    </row>
    <row r="86" spans="2:15" s="444" customFormat="1" x14ac:dyDescent="0.25">
      <c r="C86" s="477"/>
      <c r="D86" s="478"/>
      <c r="E86" s="478"/>
      <c r="F86" s="478"/>
      <c r="G86" s="496"/>
      <c r="H86" s="485"/>
      <c r="I86" s="485"/>
      <c r="J86" s="480"/>
      <c r="K86" s="123"/>
      <c r="L86" s="369"/>
      <c r="M86" s="463"/>
      <c r="N86" s="601"/>
    </row>
    <row r="87" spans="2:15" x14ac:dyDescent="0.25">
      <c r="C87" s="681" t="s">
        <v>103</v>
      </c>
      <c r="D87" s="692"/>
      <c r="E87" s="692"/>
      <c r="F87" s="692"/>
      <c r="G87" s="692"/>
      <c r="H87" s="681"/>
      <c r="I87" s="692"/>
      <c r="J87" s="692"/>
      <c r="K87" s="692"/>
      <c r="L87" s="692"/>
      <c r="M87" s="456"/>
    </row>
    <row r="88" spans="2:15" ht="21.75" customHeight="1" thickBot="1" x14ac:dyDescent="0.3">
      <c r="C88" s="481" t="s">
        <v>207</v>
      </c>
      <c r="D88" s="482"/>
      <c r="E88" s="482">
        <v>0</v>
      </c>
      <c r="F88" s="482">
        <v>0</v>
      </c>
      <c r="G88" s="497">
        <v>0</v>
      </c>
      <c r="H88" s="497"/>
      <c r="I88" s="497"/>
      <c r="J88" s="497"/>
      <c r="K88" s="497"/>
      <c r="L88" s="497"/>
      <c r="M88" s="456"/>
    </row>
    <row r="89" spans="2:15" ht="15.75" customHeight="1" x14ac:dyDescent="0.25">
      <c r="C89" s="467" t="s">
        <v>2</v>
      </c>
      <c r="D89" s="468"/>
      <c r="E89" s="469"/>
      <c r="F89" s="469"/>
      <c r="G89" s="498">
        <v>0</v>
      </c>
      <c r="H89" s="127"/>
      <c r="I89" s="127"/>
      <c r="J89" s="128"/>
      <c r="K89" s="123"/>
      <c r="L89" s="365"/>
      <c r="M89" s="456"/>
    </row>
    <row r="90" spans="2:15" ht="15.75" customHeight="1" x14ac:dyDescent="0.25">
      <c r="B90" s="444"/>
      <c r="C90" s="139" t="s">
        <v>208</v>
      </c>
      <c r="D90" s="140"/>
      <c r="E90" s="98"/>
      <c r="F90" s="98"/>
      <c r="G90" s="363">
        <v>0</v>
      </c>
      <c r="H90" s="127"/>
      <c r="I90" s="127"/>
      <c r="J90" s="128"/>
      <c r="K90" s="123"/>
      <c r="L90" s="365"/>
      <c r="M90" s="456"/>
    </row>
    <row r="91" spans="2:15" ht="15.75" customHeight="1" x14ac:dyDescent="0.25">
      <c r="C91" s="139" t="s">
        <v>3</v>
      </c>
      <c r="D91" s="140"/>
      <c r="E91" s="140"/>
      <c r="F91" s="140"/>
      <c r="G91" s="363">
        <v>0</v>
      </c>
      <c r="H91" s="127"/>
      <c r="I91" s="127"/>
      <c r="J91" s="128"/>
      <c r="K91" s="123"/>
      <c r="L91" s="365"/>
      <c r="M91" s="456"/>
    </row>
    <row r="92" spans="2:15" x14ac:dyDescent="0.25">
      <c r="C92" s="141" t="s">
        <v>4</v>
      </c>
      <c r="D92" s="140"/>
      <c r="E92" s="140"/>
      <c r="F92" s="140"/>
      <c r="G92" s="363">
        <v>0</v>
      </c>
      <c r="H92" s="127"/>
      <c r="I92" s="127"/>
      <c r="J92" s="128"/>
      <c r="K92" s="123"/>
      <c r="L92" s="365"/>
      <c r="M92" s="456"/>
    </row>
    <row r="93" spans="2:15" x14ac:dyDescent="0.25">
      <c r="C93" s="139" t="s">
        <v>5</v>
      </c>
      <c r="D93" s="140"/>
      <c r="E93" s="140"/>
      <c r="F93" s="140"/>
      <c r="G93" s="363">
        <v>0</v>
      </c>
      <c r="H93" s="127"/>
      <c r="I93" s="127"/>
      <c r="J93" s="128"/>
      <c r="K93" s="123"/>
      <c r="L93" s="365"/>
      <c r="M93" s="456"/>
    </row>
    <row r="94" spans="2:15" ht="25.5" customHeight="1" x14ac:dyDescent="0.25">
      <c r="C94" s="139" t="s">
        <v>6</v>
      </c>
      <c r="D94" s="140"/>
      <c r="E94" s="140"/>
      <c r="F94" s="140"/>
      <c r="G94" s="363">
        <v>0</v>
      </c>
      <c r="H94" s="127"/>
      <c r="I94" s="127"/>
      <c r="J94" s="128"/>
      <c r="K94" s="123"/>
      <c r="L94" s="365"/>
      <c r="M94" s="456"/>
    </row>
    <row r="95" spans="2:15" x14ac:dyDescent="0.25">
      <c r="B95" s="444"/>
      <c r="C95" s="139" t="s">
        <v>7</v>
      </c>
      <c r="D95" s="140"/>
      <c r="E95" s="140"/>
      <c r="F95" s="140"/>
      <c r="G95" s="363">
        <v>0</v>
      </c>
      <c r="H95" s="127"/>
      <c r="I95" s="127"/>
      <c r="J95" s="128"/>
      <c r="K95" s="123"/>
      <c r="L95" s="365"/>
      <c r="M95" s="456"/>
    </row>
    <row r="96" spans="2:15" ht="15.75" customHeight="1" x14ac:dyDescent="0.25">
      <c r="C96" s="142" t="s">
        <v>209</v>
      </c>
      <c r="D96" s="143">
        <v>0</v>
      </c>
      <c r="E96" s="143">
        <v>0</v>
      </c>
      <c r="F96" s="143">
        <v>0</v>
      </c>
      <c r="G96" s="363">
        <v>0</v>
      </c>
      <c r="H96" s="363"/>
      <c r="I96" s="363"/>
      <c r="J96" s="363"/>
      <c r="K96" s="363"/>
      <c r="L96" s="363"/>
      <c r="M96" s="456"/>
    </row>
    <row r="97" spans="2:15" ht="25.5" customHeight="1" x14ac:dyDescent="0.25">
      <c r="D97" s="443"/>
      <c r="E97" s="443"/>
      <c r="F97" s="443"/>
      <c r="H97" s="127"/>
      <c r="I97" s="127"/>
      <c r="J97" s="128"/>
      <c r="K97" s="123"/>
      <c r="L97" s="365"/>
      <c r="M97" s="456"/>
    </row>
    <row r="98" spans="2:15" ht="15.75" customHeight="1" x14ac:dyDescent="0.25">
      <c r="B98" s="680" t="s">
        <v>215</v>
      </c>
      <c r="C98" s="680"/>
      <c r="D98" s="680"/>
      <c r="E98" s="680"/>
      <c r="F98" s="680"/>
      <c r="G98" s="680"/>
      <c r="H98" s="680"/>
      <c r="I98" s="680"/>
      <c r="J98" s="680"/>
      <c r="K98" s="680"/>
      <c r="L98" s="681"/>
      <c r="M98" s="456"/>
    </row>
    <row r="99" spans="2:15" x14ac:dyDescent="0.25">
      <c r="B99" s="499"/>
      <c r="C99" s="680" t="s">
        <v>23</v>
      </c>
      <c r="D99" s="680"/>
      <c r="E99" s="680"/>
      <c r="F99" s="680"/>
      <c r="G99" s="680"/>
      <c r="H99" s="680"/>
      <c r="I99" s="680"/>
      <c r="J99" s="680"/>
      <c r="K99" s="680"/>
      <c r="L99" s="681"/>
      <c r="M99" s="456"/>
    </row>
    <row r="100" spans="2:15" ht="22.5" customHeight="1" x14ac:dyDescent="0.25">
      <c r="B100" s="123"/>
      <c r="C100" s="137" t="s">
        <v>207</v>
      </c>
      <c r="D100" s="138">
        <f>+'1) Budget Tables'!D100</f>
        <v>173062.73000000007</v>
      </c>
      <c r="E100" s="138">
        <v>0</v>
      </c>
      <c r="F100" s="138">
        <v>0</v>
      </c>
      <c r="G100" s="118">
        <f>D100</f>
        <v>173062.73000000007</v>
      </c>
      <c r="H100" s="136"/>
      <c r="I100" s="136"/>
      <c r="J100" s="135"/>
      <c r="K100" s="118">
        <f>SUM(K101:K107)</f>
        <v>0</v>
      </c>
      <c r="L100" s="363">
        <f>SUM(L101:L107)</f>
        <v>22539.341236692951</v>
      </c>
      <c r="M100" s="456"/>
    </row>
    <row r="101" spans="2:15" x14ac:dyDescent="0.25">
      <c r="B101" s="123"/>
      <c r="C101" s="139" t="s">
        <v>2</v>
      </c>
      <c r="D101" s="140">
        <v>24703.7999536149</v>
      </c>
      <c r="E101" s="98"/>
      <c r="F101" s="98"/>
      <c r="G101" s="118">
        <f t="shared" ref="G101:G107" si="9">D101</f>
        <v>24703.7999536149</v>
      </c>
      <c r="H101" s="132"/>
      <c r="I101" s="127"/>
      <c r="J101" s="128"/>
      <c r="K101" s="122"/>
      <c r="L101" s="613">
        <f>4648.24556780155+618.76</f>
        <v>5267.0055678015506</v>
      </c>
      <c r="M101" s="456"/>
    </row>
    <row r="102" spans="2:15" x14ac:dyDescent="0.25">
      <c r="B102" s="123"/>
      <c r="C102" s="139" t="s">
        <v>208</v>
      </c>
      <c r="D102" s="140"/>
      <c r="E102" s="98"/>
      <c r="F102" s="98"/>
      <c r="G102" s="118">
        <f t="shared" si="9"/>
        <v>0</v>
      </c>
      <c r="H102" s="132"/>
      <c r="I102" s="127"/>
      <c r="J102" s="128"/>
      <c r="K102" s="123"/>
      <c r="L102" s="365"/>
      <c r="M102" s="456"/>
    </row>
    <row r="103" spans="2:15" ht="15.75" customHeight="1" x14ac:dyDescent="0.25">
      <c r="B103" s="123"/>
      <c r="C103" s="139" t="s">
        <v>3</v>
      </c>
      <c r="D103" s="140"/>
      <c r="E103" s="140"/>
      <c r="F103" s="140"/>
      <c r="G103" s="118">
        <f t="shared" si="9"/>
        <v>0</v>
      </c>
      <c r="H103" s="132"/>
      <c r="I103" s="127"/>
      <c r="J103" s="128"/>
      <c r="K103" s="123"/>
      <c r="L103" s="365"/>
      <c r="M103" s="456"/>
    </row>
    <row r="104" spans="2:15" x14ac:dyDescent="0.25">
      <c r="B104" s="123"/>
      <c r="C104" s="141" t="s">
        <v>4</v>
      </c>
      <c r="D104" s="140">
        <v>36000</v>
      </c>
      <c r="E104" s="140"/>
      <c r="F104" s="140"/>
      <c r="G104" s="118">
        <f t="shared" si="9"/>
        <v>36000</v>
      </c>
      <c r="H104" s="132"/>
      <c r="I104" s="127"/>
      <c r="J104" s="128"/>
      <c r="K104" s="122"/>
      <c r="L104" s="365">
        <v>5977.73</v>
      </c>
      <c r="M104" s="456"/>
    </row>
    <row r="105" spans="2:15" x14ac:dyDescent="0.25">
      <c r="B105" s="123"/>
      <c r="C105" s="139" t="s">
        <v>5</v>
      </c>
      <c r="D105" s="140">
        <v>1623.13372701618</v>
      </c>
      <c r="E105" s="140"/>
      <c r="F105" s="140"/>
      <c r="G105" s="118">
        <f t="shared" si="9"/>
        <v>1623.13372701618</v>
      </c>
      <c r="H105" s="132"/>
      <c r="I105" s="127"/>
      <c r="J105" s="128"/>
      <c r="K105" s="122"/>
      <c r="L105" s="367">
        <f>438.72802116619+58.4</f>
        <v>497.12802116618997</v>
      </c>
      <c r="M105" s="456"/>
    </row>
    <row r="106" spans="2:15" x14ac:dyDescent="0.25">
      <c r="B106" s="123"/>
      <c r="C106" s="139" t="s">
        <v>6</v>
      </c>
      <c r="D106" s="140">
        <v>106940.76559744299</v>
      </c>
      <c r="E106" s="140"/>
      <c r="F106" s="140"/>
      <c r="G106" s="118">
        <f t="shared" si="9"/>
        <v>106940.76559744299</v>
      </c>
      <c r="H106" s="126"/>
      <c r="I106" s="127"/>
      <c r="J106" s="128"/>
      <c r="K106" s="122"/>
      <c r="L106" s="372">
        <f>+Output!D7</f>
        <v>9365.0933807640413</v>
      </c>
      <c r="M106" s="456"/>
    </row>
    <row r="107" spans="2:15" x14ac:dyDescent="0.25">
      <c r="B107" s="123"/>
      <c r="C107" s="139" t="s">
        <v>7</v>
      </c>
      <c r="D107" s="140">
        <v>3795.03435068715</v>
      </c>
      <c r="E107" s="140"/>
      <c r="F107" s="140"/>
      <c r="G107" s="118">
        <f t="shared" si="9"/>
        <v>3795.03435068715</v>
      </c>
      <c r="H107" s="133"/>
      <c r="I107" s="127"/>
      <c r="J107" s="128"/>
      <c r="K107" s="122"/>
      <c r="L107" s="367">
        <f>1264.11426696117+168.27</f>
        <v>1432.3842669611699</v>
      </c>
      <c r="M107" s="456"/>
      <c r="N107" s="600"/>
      <c r="O107" s="600"/>
    </row>
    <row r="108" spans="2:15" x14ac:dyDescent="0.25">
      <c r="B108" s="123"/>
      <c r="C108" s="142" t="s">
        <v>209</v>
      </c>
      <c r="D108" s="118">
        <f>SUM(D101:D107)</f>
        <v>173062.73362876123</v>
      </c>
      <c r="E108" s="143">
        <v>0</v>
      </c>
      <c r="F108" s="143">
        <v>0</v>
      </c>
      <c r="G108" s="118">
        <f>SUM(G101:G107)</f>
        <v>173062.73362876123</v>
      </c>
      <c r="H108" s="118">
        <f t="shared" ref="H108:I108" si="10">SUM(H101:H107)</f>
        <v>0</v>
      </c>
      <c r="I108" s="118">
        <f t="shared" si="10"/>
        <v>0</v>
      </c>
      <c r="J108" s="135"/>
      <c r="K108" s="136">
        <f>SUM(K101:K107)</f>
        <v>0</v>
      </c>
      <c r="L108" s="371">
        <f>SUM(L101:L107)</f>
        <v>22539.341236692951</v>
      </c>
      <c r="M108" s="456"/>
      <c r="N108" s="546"/>
      <c r="O108" s="600"/>
    </row>
    <row r="109" spans="2:15" s="444" customFormat="1" x14ac:dyDescent="0.25">
      <c r="C109" s="493"/>
      <c r="D109" s="494"/>
      <c r="E109" s="494"/>
      <c r="F109" s="494"/>
      <c r="G109" s="495"/>
      <c r="H109" s="461"/>
      <c r="I109" s="461"/>
      <c r="J109" s="462"/>
      <c r="K109" s="443"/>
      <c r="L109" s="369"/>
      <c r="M109" s="463"/>
      <c r="N109" s="545"/>
      <c r="O109" s="601"/>
    </row>
    <row r="110" spans="2:15" ht="15.75" customHeight="1" x14ac:dyDescent="0.25">
      <c r="C110" s="680" t="s">
        <v>216</v>
      </c>
      <c r="D110" s="680"/>
      <c r="E110" s="680"/>
      <c r="F110" s="680"/>
      <c r="G110" s="680"/>
      <c r="H110" s="680"/>
      <c r="I110" s="680"/>
      <c r="J110" s="680"/>
      <c r="K110" s="680"/>
      <c r="L110" s="681"/>
      <c r="M110" s="456"/>
      <c r="N110" s="546"/>
    </row>
    <row r="111" spans="2:15" ht="21.75" customHeight="1" x14ac:dyDescent="0.25">
      <c r="C111" s="137" t="s">
        <v>207</v>
      </c>
      <c r="D111" s="138">
        <f>+'1) Budget Tables'!D110</f>
        <v>100349.59000000001</v>
      </c>
      <c r="E111" s="138">
        <v>0</v>
      </c>
      <c r="F111" s="138">
        <v>0</v>
      </c>
      <c r="G111" s="118">
        <f>D111</f>
        <v>100349.59000000001</v>
      </c>
      <c r="H111" s="134"/>
      <c r="I111" s="136"/>
      <c r="J111" s="135"/>
      <c r="K111" s="134">
        <f>SUM(K112:K118)</f>
        <v>0</v>
      </c>
      <c r="L111" s="370">
        <f>SUM(L112:L118)</f>
        <v>6577.4420586854867</v>
      </c>
      <c r="M111" s="456"/>
      <c r="N111" s="546"/>
    </row>
    <row r="112" spans="2:15" x14ac:dyDescent="0.25">
      <c r="C112" s="139" t="s">
        <v>2</v>
      </c>
      <c r="D112" s="140">
        <v>14537.969051662927</v>
      </c>
      <c r="E112" s="98"/>
      <c r="F112" s="98"/>
      <c r="G112" s="118">
        <f t="shared" ref="G112:G118" si="11">D112</f>
        <v>14537.969051662927</v>
      </c>
      <c r="H112" s="132"/>
      <c r="I112" s="127"/>
      <c r="J112" s="128"/>
      <c r="K112" s="122"/>
      <c r="L112" s="364">
        <f>2946.11814985905+392.18</f>
        <v>3338.2981498590498</v>
      </c>
      <c r="M112" s="456"/>
    </row>
    <row r="113" spans="3:15" x14ac:dyDescent="0.25">
      <c r="C113" s="139" t="s">
        <v>208</v>
      </c>
      <c r="D113" s="140"/>
      <c r="E113" s="98"/>
      <c r="F113" s="98"/>
      <c r="G113" s="118">
        <f t="shared" si="11"/>
        <v>0</v>
      </c>
      <c r="H113" s="132"/>
      <c r="I113" s="127"/>
      <c r="J113" s="128"/>
      <c r="K113" s="123"/>
      <c r="L113" s="365"/>
      <c r="M113" s="456"/>
    </row>
    <row r="114" spans="3:15" ht="31.5" x14ac:dyDescent="0.25">
      <c r="C114" s="139" t="s">
        <v>3</v>
      </c>
      <c r="D114" s="140"/>
      <c r="E114" s="140"/>
      <c r="F114" s="140"/>
      <c r="G114" s="118">
        <f t="shared" si="11"/>
        <v>0</v>
      </c>
      <c r="H114" s="132"/>
      <c r="I114" s="127"/>
      <c r="J114" s="128"/>
      <c r="K114" s="123"/>
      <c r="L114" s="365"/>
      <c r="M114" s="456"/>
      <c r="N114" s="546"/>
    </row>
    <row r="115" spans="3:15" x14ac:dyDescent="0.25">
      <c r="C115" s="141" t="s">
        <v>4</v>
      </c>
      <c r="D115" s="140">
        <v>6000</v>
      </c>
      <c r="E115" s="140"/>
      <c r="F115" s="140"/>
      <c r="G115" s="118">
        <f t="shared" si="11"/>
        <v>6000</v>
      </c>
      <c r="H115" s="132"/>
      <c r="I115" s="127"/>
      <c r="J115" s="128"/>
      <c r="K115" s="122"/>
      <c r="L115" s="365"/>
      <c r="M115" s="456"/>
    </row>
    <row r="116" spans="3:15" x14ac:dyDescent="0.25">
      <c r="C116" s="139" t="s">
        <v>5</v>
      </c>
      <c r="D116" s="140">
        <v>955.19936854123159</v>
      </c>
      <c r="E116" s="140"/>
      <c r="F116" s="140"/>
      <c r="G116" s="118">
        <f t="shared" si="11"/>
        <v>955.19936854123159</v>
      </c>
      <c r="H116" s="132"/>
      <c r="I116" s="127"/>
      <c r="J116" s="128"/>
      <c r="K116" s="122"/>
      <c r="L116" s="365">
        <v>51.81</v>
      </c>
      <c r="M116" s="456"/>
      <c r="N116" s="600"/>
    </row>
    <row r="117" spans="3:15" x14ac:dyDescent="0.25">
      <c r="C117" s="139" t="s">
        <v>6</v>
      </c>
      <c r="D117" s="140">
        <v>76623.0750262574</v>
      </c>
      <c r="E117" s="140"/>
      <c r="F117" s="140"/>
      <c r="G117" s="118">
        <f t="shared" si="11"/>
        <v>76623.0750262574</v>
      </c>
      <c r="H117" s="126"/>
      <c r="I117" s="127"/>
      <c r="J117" s="128"/>
      <c r="K117" s="122"/>
      <c r="L117" s="372">
        <f>+Output!D8</f>
        <v>2352.7643713616735</v>
      </c>
      <c r="M117" s="456"/>
    </row>
    <row r="118" spans="3:15" x14ac:dyDescent="0.25">
      <c r="C118" s="139" t="s">
        <v>7</v>
      </c>
      <c r="D118" s="140">
        <v>2233.3443413380101</v>
      </c>
      <c r="E118" s="140"/>
      <c r="F118" s="140"/>
      <c r="G118" s="118">
        <f t="shared" si="11"/>
        <v>2233.3443413380101</v>
      </c>
      <c r="H118" s="133"/>
      <c r="I118" s="127"/>
      <c r="J118" s="128"/>
      <c r="K118" s="122"/>
      <c r="L118" s="615">
        <f>736.529537464764+98.04</f>
        <v>834.56953746476393</v>
      </c>
      <c r="M118" s="456"/>
      <c r="N118" s="600"/>
    </row>
    <row r="119" spans="3:15" x14ac:dyDescent="0.25">
      <c r="C119" s="142" t="s">
        <v>209</v>
      </c>
      <c r="D119" s="118">
        <f>SUM(D112:D118)</f>
        <v>100349.58778779958</v>
      </c>
      <c r="E119" s="143">
        <v>0</v>
      </c>
      <c r="F119" s="143">
        <v>0</v>
      </c>
      <c r="G119" s="118">
        <f>SUM(G112:G118)</f>
        <v>100349.58778779958</v>
      </c>
      <c r="H119" s="118">
        <f t="shared" ref="H119:I119" si="12">SUM(H112:H118)</f>
        <v>0</v>
      </c>
      <c r="I119" s="118">
        <f t="shared" si="12"/>
        <v>0</v>
      </c>
      <c r="J119" s="135"/>
      <c r="K119" s="124"/>
      <c r="L119" s="363">
        <f>SUM(L112:L118)</f>
        <v>6577.4420586854867</v>
      </c>
      <c r="M119" s="456"/>
      <c r="N119" s="602"/>
      <c r="O119" s="546"/>
    </row>
    <row r="120" spans="3:15" s="444" customFormat="1" x14ac:dyDescent="0.25">
      <c r="C120" s="458"/>
      <c r="D120" s="459"/>
      <c r="E120" s="459"/>
      <c r="F120" s="459"/>
      <c r="G120" s="479"/>
      <c r="H120" s="461"/>
      <c r="I120" s="461"/>
      <c r="J120" s="462"/>
      <c r="K120" s="443"/>
      <c r="L120" s="369"/>
      <c r="M120" s="463"/>
      <c r="N120" s="601"/>
      <c r="O120" s="545"/>
    </row>
    <row r="121" spans="3:15" x14ac:dyDescent="0.25">
      <c r="C121" s="681" t="s">
        <v>123</v>
      </c>
      <c r="D121" s="692"/>
      <c r="E121" s="692"/>
      <c r="F121" s="692"/>
      <c r="G121" s="698"/>
      <c r="H121" s="681"/>
      <c r="I121" s="692"/>
      <c r="J121" s="692"/>
      <c r="K121" s="692"/>
      <c r="L121" s="692"/>
      <c r="M121" s="456"/>
    </row>
    <row r="122" spans="3:15" ht="21" customHeight="1" thickBot="1" x14ac:dyDescent="0.3">
      <c r="C122" s="481" t="s">
        <v>207</v>
      </c>
      <c r="D122" s="482">
        <f>+'1) Budget Tables'!D120</f>
        <v>183066.87000000005</v>
      </c>
      <c r="E122" s="482">
        <v>0</v>
      </c>
      <c r="F122" s="482">
        <v>0</v>
      </c>
      <c r="G122" s="483">
        <f>D122</f>
        <v>183066.87000000005</v>
      </c>
      <c r="H122" s="484"/>
      <c r="I122" s="484"/>
      <c r="J122" s="484"/>
      <c r="K122" s="484"/>
      <c r="L122" s="370">
        <f>SUM(L123:L129)</f>
        <v>62966.158868827581</v>
      </c>
      <c r="M122" s="456"/>
    </row>
    <row r="123" spans="3:15" x14ac:dyDescent="0.25">
      <c r="C123" s="467" t="s">
        <v>2</v>
      </c>
      <c r="D123" s="468">
        <v>27059.076408541307</v>
      </c>
      <c r="E123" s="469"/>
      <c r="F123" s="469"/>
      <c r="G123" s="484">
        <f>D123</f>
        <v>27059.076408541307</v>
      </c>
      <c r="H123" s="127"/>
      <c r="I123" s="127"/>
      <c r="J123" s="128"/>
      <c r="K123" s="123"/>
      <c r="L123" s="367">
        <f>4769.93735257003+635</f>
        <v>5404.9373525700303</v>
      </c>
      <c r="M123" s="456"/>
    </row>
    <row r="124" spans="3:15" x14ac:dyDescent="0.25">
      <c r="C124" s="139" t="s">
        <v>208</v>
      </c>
      <c r="D124" s="140"/>
      <c r="E124" s="98"/>
      <c r="F124" s="98"/>
      <c r="G124" s="484">
        <f t="shared" ref="G124:G129" si="13">D124</f>
        <v>0</v>
      </c>
      <c r="H124" s="127"/>
      <c r="I124" s="127"/>
      <c r="J124" s="128"/>
      <c r="K124" s="123"/>
      <c r="L124" s="365"/>
      <c r="M124" s="456"/>
      <c r="N124" s="546"/>
    </row>
    <row r="125" spans="3:15" ht="31.5" x14ac:dyDescent="0.25">
      <c r="C125" s="139" t="s">
        <v>3</v>
      </c>
      <c r="D125" s="140"/>
      <c r="E125" s="140"/>
      <c r="F125" s="140"/>
      <c r="G125" s="484">
        <f t="shared" si="13"/>
        <v>0</v>
      </c>
      <c r="H125" s="127"/>
      <c r="I125" s="127"/>
      <c r="J125" s="128"/>
      <c r="K125" s="123"/>
      <c r="L125" s="365"/>
      <c r="M125" s="456"/>
      <c r="N125" s="546"/>
    </row>
    <row r="126" spans="3:15" x14ac:dyDescent="0.25">
      <c r="C126" s="141" t="s">
        <v>4</v>
      </c>
      <c r="D126" s="140"/>
      <c r="E126" s="140"/>
      <c r="F126" s="140"/>
      <c r="G126" s="484">
        <f t="shared" si="13"/>
        <v>0</v>
      </c>
      <c r="H126" s="127"/>
      <c r="I126" s="127"/>
      <c r="J126" s="128"/>
      <c r="K126" s="123"/>
      <c r="L126" s="365"/>
      <c r="M126" s="456"/>
    </row>
    <row r="127" spans="3:15" x14ac:dyDescent="0.25">
      <c r="C127" s="139" t="s">
        <v>5</v>
      </c>
      <c r="D127" s="140">
        <v>1777.8833210400253</v>
      </c>
      <c r="E127" s="140"/>
      <c r="F127" s="140"/>
      <c r="G127" s="484">
        <f t="shared" si="13"/>
        <v>1777.8833210400253</v>
      </c>
      <c r="H127" s="127"/>
      <c r="I127" s="127"/>
      <c r="J127" s="128"/>
      <c r="K127" s="123"/>
      <c r="L127" s="367">
        <f>537.457729867046+71.5</f>
        <v>608.95772986704606</v>
      </c>
      <c r="M127" s="456"/>
      <c r="N127" s="600"/>
    </row>
    <row r="128" spans="3:15" x14ac:dyDescent="0.25">
      <c r="C128" s="139" t="s">
        <v>6</v>
      </c>
      <c r="D128" s="140">
        <v>150073.05680803242</v>
      </c>
      <c r="E128" s="140"/>
      <c r="F128" s="140"/>
      <c r="G128" s="484">
        <f t="shared" si="13"/>
        <v>150073.05680803242</v>
      </c>
      <c r="H128" s="127"/>
      <c r="I128" s="127"/>
      <c r="J128" s="128"/>
      <c r="K128" s="123"/>
      <c r="L128" s="559">
        <f>+Output!D9</f>
        <v>55353.637245489503</v>
      </c>
      <c r="M128" s="456"/>
      <c r="O128" s="618"/>
    </row>
    <row r="129" spans="2:15" x14ac:dyDescent="0.25">
      <c r="C129" s="139" t="s">
        <v>7</v>
      </c>
      <c r="D129" s="140">
        <v>4156.8559615345803</v>
      </c>
      <c r="E129" s="140"/>
      <c r="F129" s="140"/>
      <c r="G129" s="484">
        <f t="shared" si="13"/>
        <v>4156.8559615345803</v>
      </c>
      <c r="H129" s="127"/>
      <c r="I129" s="127"/>
      <c r="J129" s="128"/>
      <c r="K129" s="123"/>
      <c r="L129" s="367">
        <f>1410.826540901+187.8</f>
        <v>1598.626540901</v>
      </c>
      <c r="M129" s="456"/>
      <c r="N129" s="600"/>
      <c r="O129" s="618"/>
    </row>
    <row r="130" spans="2:15" x14ac:dyDescent="0.25">
      <c r="C130" s="142" t="s">
        <v>209</v>
      </c>
      <c r="D130" s="118">
        <f>SUM(D123:D129)</f>
        <v>183066.87249914833</v>
      </c>
      <c r="E130" s="143">
        <v>0</v>
      </c>
      <c r="F130" s="143">
        <v>0</v>
      </c>
      <c r="G130" s="118">
        <f>SUM(G123:G129)</f>
        <v>183066.87249914833</v>
      </c>
      <c r="H130" s="143"/>
      <c r="I130" s="143"/>
      <c r="J130" s="143"/>
      <c r="K130" s="143"/>
      <c r="L130" s="363">
        <f>SUM(L123:L129)</f>
        <v>62966.158868827581</v>
      </c>
      <c r="M130" s="456"/>
      <c r="O130" s="618"/>
    </row>
    <row r="131" spans="2:15" s="444" customFormat="1" x14ac:dyDescent="0.25">
      <c r="C131" s="477"/>
      <c r="D131" s="478"/>
      <c r="E131" s="478"/>
      <c r="F131" s="478"/>
      <c r="G131" s="486"/>
      <c r="H131" s="485"/>
      <c r="I131" s="485"/>
      <c r="J131" s="480"/>
      <c r="K131" s="123"/>
      <c r="L131" s="369"/>
      <c r="M131" s="463"/>
    </row>
    <row r="132" spans="2:15" x14ac:dyDescent="0.25">
      <c r="C132" s="681" t="s">
        <v>132</v>
      </c>
      <c r="D132" s="692"/>
      <c r="E132" s="692"/>
      <c r="F132" s="692"/>
      <c r="G132" s="698"/>
      <c r="H132" s="681"/>
      <c r="I132" s="692"/>
      <c r="J132" s="692"/>
      <c r="K132" s="692"/>
      <c r="L132" s="692"/>
      <c r="M132" s="456"/>
    </row>
    <row r="133" spans="2:15" ht="24" customHeight="1" thickBot="1" x14ac:dyDescent="0.3">
      <c r="C133" s="481" t="s">
        <v>207</v>
      </c>
      <c r="D133" s="482">
        <v>0</v>
      </c>
      <c r="E133" s="482">
        <v>0</v>
      </c>
      <c r="F133" s="482">
        <v>0</v>
      </c>
      <c r="G133" s="483">
        <v>0</v>
      </c>
      <c r="H133" s="483"/>
      <c r="I133" s="483"/>
      <c r="J133" s="483"/>
      <c r="K133" s="483"/>
      <c r="L133" s="497"/>
      <c r="M133" s="456"/>
    </row>
    <row r="134" spans="2:15" ht="15.75" customHeight="1" x14ac:dyDescent="0.25">
      <c r="C134" s="467" t="s">
        <v>2</v>
      </c>
      <c r="D134" s="468"/>
      <c r="E134" s="469"/>
      <c r="F134" s="469"/>
      <c r="G134" s="484">
        <v>0</v>
      </c>
      <c r="H134" s="127"/>
      <c r="I134" s="127"/>
      <c r="J134" s="128"/>
      <c r="K134" s="123"/>
      <c r="L134" s="365"/>
      <c r="M134" s="456"/>
    </row>
    <row r="135" spans="2:15" x14ac:dyDescent="0.25">
      <c r="C135" s="139" t="s">
        <v>208</v>
      </c>
      <c r="D135" s="140"/>
      <c r="E135" s="98"/>
      <c r="F135" s="98"/>
      <c r="G135" s="118">
        <v>0</v>
      </c>
      <c r="H135" s="144"/>
      <c r="I135" s="144"/>
      <c r="J135" s="145"/>
      <c r="K135" s="123"/>
      <c r="L135" s="365"/>
      <c r="M135" s="456"/>
    </row>
    <row r="136" spans="2:15" ht="15.75" customHeight="1" x14ac:dyDescent="0.25">
      <c r="C136" s="139" t="s">
        <v>3</v>
      </c>
      <c r="D136" s="140"/>
      <c r="E136" s="140"/>
      <c r="F136" s="140"/>
      <c r="G136" s="118">
        <v>0</v>
      </c>
      <c r="H136" s="144"/>
      <c r="I136" s="144"/>
      <c r="J136" s="145"/>
      <c r="K136" s="123"/>
      <c r="L136" s="365"/>
      <c r="M136" s="456"/>
    </row>
    <row r="137" spans="2:15" x14ac:dyDescent="0.25">
      <c r="C137" s="141" t="s">
        <v>4</v>
      </c>
      <c r="D137" s="140"/>
      <c r="E137" s="140"/>
      <c r="F137" s="140"/>
      <c r="G137" s="118">
        <v>0</v>
      </c>
      <c r="H137" s="144"/>
      <c r="I137" s="144"/>
      <c r="J137" s="145"/>
      <c r="K137" s="123"/>
      <c r="L137" s="365"/>
      <c r="M137" s="456"/>
    </row>
    <row r="138" spans="2:15" x14ac:dyDescent="0.25">
      <c r="C138" s="139" t="s">
        <v>5</v>
      </c>
      <c r="D138" s="140"/>
      <c r="E138" s="140"/>
      <c r="F138" s="140"/>
      <c r="G138" s="118">
        <v>0</v>
      </c>
      <c r="H138" s="144"/>
      <c r="I138" s="144"/>
      <c r="J138" s="145"/>
      <c r="K138" s="123"/>
      <c r="L138" s="365"/>
      <c r="M138" s="456"/>
    </row>
    <row r="139" spans="2:15" ht="15.75" customHeight="1" x14ac:dyDescent="0.25">
      <c r="C139" s="139" t="s">
        <v>6</v>
      </c>
      <c r="D139" s="140"/>
      <c r="E139" s="140"/>
      <c r="F139" s="140"/>
      <c r="G139" s="118">
        <v>0</v>
      </c>
      <c r="H139" s="144"/>
      <c r="I139" s="144"/>
      <c r="J139" s="145"/>
      <c r="K139" s="123"/>
      <c r="L139" s="365"/>
      <c r="M139" s="456"/>
    </row>
    <row r="140" spans="2:15" x14ac:dyDescent="0.25">
      <c r="C140" s="139" t="s">
        <v>7</v>
      </c>
      <c r="D140" s="140"/>
      <c r="E140" s="140"/>
      <c r="F140" s="140"/>
      <c r="G140" s="118">
        <v>0</v>
      </c>
      <c r="H140" s="144"/>
      <c r="I140" s="144"/>
      <c r="J140" s="145"/>
      <c r="K140" s="123"/>
      <c r="L140" s="365"/>
      <c r="M140" s="456"/>
    </row>
    <row r="141" spans="2:15" x14ac:dyDescent="0.25">
      <c r="C141" s="142" t="s">
        <v>209</v>
      </c>
      <c r="D141" s="143">
        <v>0</v>
      </c>
      <c r="E141" s="143">
        <v>0</v>
      </c>
      <c r="F141" s="143">
        <v>0</v>
      </c>
      <c r="G141" s="118">
        <v>0</v>
      </c>
      <c r="H141" s="118"/>
      <c r="I141" s="118"/>
      <c r="J141" s="118"/>
      <c r="K141" s="118"/>
      <c r="L141" s="363"/>
      <c r="M141" s="456"/>
    </row>
    <row r="142" spans="2:15" x14ac:dyDescent="0.25">
      <c r="H142" s="500"/>
      <c r="I142" s="500"/>
      <c r="J142" s="501"/>
      <c r="M142" s="456"/>
    </row>
    <row r="143" spans="2:15" x14ac:dyDescent="0.25">
      <c r="B143" s="681" t="s">
        <v>217</v>
      </c>
      <c r="C143" s="692"/>
      <c r="D143" s="692"/>
      <c r="E143" s="692"/>
      <c r="F143" s="692"/>
      <c r="G143" s="692"/>
      <c r="H143" s="144"/>
      <c r="I143" s="144"/>
      <c r="J143" s="145"/>
      <c r="K143" s="123"/>
      <c r="L143" s="365"/>
      <c r="M143" s="456"/>
    </row>
    <row r="144" spans="2:15" x14ac:dyDescent="0.25">
      <c r="C144" s="681" t="s">
        <v>142</v>
      </c>
      <c r="D144" s="692"/>
      <c r="E144" s="692"/>
      <c r="F144" s="692"/>
      <c r="G144" s="692"/>
      <c r="H144" s="144"/>
      <c r="I144" s="144"/>
      <c r="J144" s="145"/>
      <c r="K144" s="123"/>
      <c r="L144" s="365"/>
      <c r="M144" s="456"/>
    </row>
    <row r="145" spans="3:13" ht="24" customHeight="1" thickBot="1" x14ac:dyDescent="0.3">
      <c r="C145" s="481" t="s">
        <v>207</v>
      </c>
      <c r="D145" s="482">
        <v>0</v>
      </c>
      <c r="E145" s="482">
        <v>0</v>
      </c>
      <c r="F145" s="482">
        <v>0</v>
      </c>
      <c r="G145" s="497">
        <v>0</v>
      </c>
      <c r="H145" s="144"/>
      <c r="I145" s="144"/>
      <c r="J145" s="145"/>
      <c r="K145" s="123"/>
      <c r="L145" s="365"/>
      <c r="M145" s="456"/>
    </row>
    <row r="146" spans="3:13" ht="24.75" customHeight="1" x14ac:dyDescent="0.25">
      <c r="C146" s="467" t="s">
        <v>2</v>
      </c>
      <c r="D146" s="468"/>
      <c r="E146" s="469"/>
      <c r="F146" s="469"/>
      <c r="G146" s="498">
        <v>0</v>
      </c>
      <c r="H146" s="144"/>
      <c r="I146" s="144"/>
      <c r="J146" s="145"/>
      <c r="K146" s="123"/>
      <c r="L146" s="365"/>
      <c r="M146" s="456"/>
    </row>
    <row r="147" spans="3:13" ht="15.75" customHeight="1" x14ac:dyDescent="0.25">
      <c r="C147" s="139" t="s">
        <v>208</v>
      </c>
      <c r="D147" s="140"/>
      <c r="E147" s="98"/>
      <c r="F147" s="98"/>
      <c r="G147" s="363">
        <v>0</v>
      </c>
      <c r="H147" s="144"/>
      <c r="I147" s="144"/>
      <c r="J147" s="145"/>
      <c r="K147" s="123"/>
      <c r="L147" s="365"/>
      <c r="M147" s="456"/>
    </row>
    <row r="148" spans="3:13" ht="15.75" customHeight="1" x14ac:dyDescent="0.25">
      <c r="C148" s="139" t="s">
        <v>3</v>
      </c>
      <c r="D148" s="140"/>
      <c r="E148" s="140"/>
      <c r="F148" s="140"/>
      <c r="G148" s="363">
        <v>0</v>
      </c>
      <c r="H148" s="144"/>
      <c r="I148" s="144"/>
      <c r="J148" s="145"/>
      <c r="K148" s="123"/>
      <c r="L148" s="365"/>
      <c r="M148" s="456"/>
    </row>
    <row r="149" spans="3:13" ht="15.75" customHeight="1" x14ac:dyDescent="0.25">
      <c r="C149" s="141" t="s">
        <v>4</v>
      </c>
      <c r="D149" s="140"/>
      <c r="E149" s="140"/>
      <c r="F149" s="140"/>
      <c r="G149" s="363">
        <v>0</v>
      </c>
      <c r="H149" s="144"/>
      <c r="I149" s="144"/>
      <c r="J149" s="145"/>
      <c r="K149" s="123"/>
      <c r="L149" s="365"/>
      <c r="M149" s="456"/>
    </row>
    <row r="150" spans="3:13" ht="15.75" customHeight="1" x14ac:dyDescent="0.25">
      <c r="C150" s="139" t="s">
        <v>5</v>
      </c>
      <c r="D150" s="140"/>
      <c r="E150" s="140"/>
      <c r="F150" s="140"/>
      <c r="G150" s="363">
        <v>0</v>
      </c>
      <c r="H150" s="144"/>
      <c r="I150" s="144"/>
      <c r="J150" s="145"/>
      <c r="K150" s="123"/>
      <c r="L150" s="365"/>
      <c r="M150" s="456"/>
    </row>
    <row r="151" spans="3:13" ht="15.75" customHeight="1" x14ac:dyDescent="0.25">
      <c r="C151" s="139" t="s">
        <v>6</v>
      </c>
      <c r="D151" s="140"/>
      <c r="E151" s="140"/>
      <c r="F151" s="140"/>
      <c r="G151" s="363">
        <v>0</v>
      </c>
      <c r="H151" s="144"/>
      <c r="I151" s="144"/>
      <c r="J151" s="145"/>
      <c r="K151" s="123"/>
      <c r="L151" s="365"/>
      <c r="M151" s="456"/>
    </row>
    <row r="152" spans="3:13" ht="15.75" customHeight="1" x14ac:dyDescent="0.25">
      <c r="C152" s="139" t="s">
        <v>7</v>
      </c>
      <c r="D152" s="140"/>
      <c r="E152" s="140"/>
      <c r="F152" s="140"/>
      <c r="G152" s="363">
        <v>0</v>
      </c>
      <c r="H152" s="144"/>
      <c r="I152" s="144"/>
      <c r="J152" s="145"/>
      <c r="K152" s="123"/>
      <c r="L152" s="365"/>
      <c r="M152" s="456"/>
    </row>
    <row r="153" spans="3:13" ht="15.75" customHeight="1" x14ac:dyDescent="0.25">
      <c r="C153" s="142" t="s">
        <v>209</v>
      </c>
      <c r="D153" s="143">
        <v>0</v>
      </c>
      <c r="E153" s="143">
        <v>0</v>
      </c>
      <c r="F153" s="143">
        <v>0</v>
      </c>
      <c r="G153" s="363">
        <v>0</v>
      </c>
      <c r="H153" s="144"/>
      <c r="I153" s="144"/>
      <c r="J153" s="145"/>
      <c r="K153" s="123"/>
      <c r="L153" s="365"/>
      <c r="M153" s="456"/>
    </row>
    <row r="154" spans="3:13" s="444" customFormat="1" ht="15.75" customHeight="1" x14ac:dyDescent="0.25">
      <c r="C154" s="477"/>
      <c r="D154" s="478"/>
      <c r="E154" s="478"/>
      <c r="F154" s="478"/>
      <c r="G154" s="496"/>
      <c r="H154" s="485"/>
      <c r="I154" s="485"/>
      <c r="J154" s="480"/>
      <c r="K154" s="123"/>
      <c r="L154" s="369"/>
      <c r="M154" s="463"/>
    </row>
    <row r="155" spans="3:13" ht="15.75" customHeight="1" x14ac:dyDescent="0.25">
      <c r="C155" s="681" t="s">
        <v>151</v>
      </c>
      <c r="D155" s="692"/>
      <c r="E155" s="692"/>
      <c r="F155" s="692"/>
      <c r="G155" s="692"/>
      <c r="H155" s="144"/>
      <c r="I155" s="144"/>
      <c r="J155" s="145"/>
      <c r="K155" s="123"/>
      <c r="L155" s="365"/>
      <c r="M155" s="456"/>
    </row>
    <row r="156" spans="3:13" ht="21" customHeight="1" thickBot="1" x14ac:dyDescent="0.3">
      <c r="C156" s="481" t="s">
        <v>207</v>
      </c>
      <c r="D156" s="482">
        <v>0</v>
      </c>
      <c r="E156" s="482">
        <v>0</v>
      </c>
      <c r="F156" s="482">
        <v>0</v>
      </c>
      <c r="G156" s="497">
        <v>0</v>
      </c>
      <c r="H156" s="144"/>
      <c r="I156" s="144"/>
      <c r="J156" s="145"/>
      <c r="K156" s="123"/>
      <c r="L156" s="365"/>
      <c r="M156" s="456"/>
    </row>
    <row r="157" spans="3:13" ht="15.75" customHeight="1" x14ac:dyDescent="0.25">
      <c r="C157" s="467" t="s">
        <v>2</v>
      </c>
      <c r="D157" s="468"/>
      <c r="E157" s="469"/>
      <c r="F157" s="469"/>
      <c r="G157" s="498">
        <v>0</v>
      </c>
      <c r="H157" s="144"/>
      <c r="I157" s="144"/>
      <c r="J157" s="145"/>
      <c r="K157" s="123"/>
      <c r="L157" s="365"/>
      <c r="M157" s="456"/>
    </row>
    <row r="158" spans="3:13" ht="15.75" customHeight="1" x14ac:dyDescent="0.25">
      <c r="C158" s="139" t="s">
        <v>208</v>
      </c>
      <c r="D158" s="140"/>
      <c r="E158" s="98"/>
      <c r="F158" s="98"/>
      <c r="G158" s="363">
        <v>0</v>
      </c>
      <c r="H158" s="144"/>
      <c r="I158" s="144"/>
      <c r="J158" s="145"/>
      <c r="K158" s="123"/>
      <c r="L158" s="365"/>
      <c r="M158" s="456"/>
    </row>
    <row r="159" spans="3:13" ht="15.75" customHeight="1" x14ac:dyDescent="0.25">
      <c r="C159" s="139" t="s">
        <v>3</v>
      </c>
      <c r="D159" s="140"/>
      <c r="E159" s="140"/>
      <c r="F159" s="140"/>
      <c r="G159" s="363">
        <v>0</v>
      </c>
      <c r="H159" s="144"/>
      <c r="I159" s="144"/>
      <c r="J159" s="145"/>
      <c r="K159" s="123"/>
      <c r="L159" s="365"/>
      <c r="M159" s="456"/>
    </row>
    <row r="160" spans="3:13" ht="15.75" customHeight="1" x14ac:dyDescent="0.25">
      <c r="C160" s="141" t="s">
        <v>4</v>
      </c>
      <c r="D160" s="140"/>
      <c r="E160" s="140"/>
      <c r="F160" s="140"/>
      <c r="G160" s="363">
        <v>0</v>
      </c>
      <c r="H160" s="144"/>
      <c r="I160" s="144"/>
      <c r="J160" s="145"/>
      <c r="K160" s="123"/>
      <c r="L160" s="365"/>
      <c r="M160" s="456"/>
    </row>
    <row r="161" spans="3:13" ht="15.75" customHeight="1" x14ac:dyDescent="0.25">
      <c r="C161" s="139" t="s">
        <v>5</v>
      </c>
      <c r="D161" s="140"/>
      <c r="E161" s="140"/>
      <c r="F161" s="140"/>
      <c r="G161" s="363">
        <v>0</v>
      </c>
      <c r="H161" s="144"/>
      <c r="I161" s="144"/>
      <c r="J161" s="145"/>
      <c r="K161" s="123"/>
      <c r="L161" s="365"/>
      <c r="M161" s="456"/>
    </row>
    <row r="162" spans="3:13" ht="15.75" customHeight="1" x14ac:dyDescent="0.25">
      <c r="C162" s="139" t="s">
        <v>6</v>
      </c>
      <c r="D162" s="140"/>
      <c r="E162" s="140"/>
      <c r="F162" s="140"/>
      <c r="G162" s="363">
        <v>0</v>
      </c>
      <c r="H162" s="144"/>
      <c r="I162" s="144"/>
      <c r="J162" s="145"/>
      <c r="K162" s="123"/>
      <c r="L162" s="365"/>
      <c r="M162" s="456"/>
    </row>
    <row r="163" spans="3:13" ht="15.75" customHeight="1" x14ac:dyDescent="0.25">
      <c r="C163" s="139" t="s">
        <v>7</v>
      </c>
      <c r="D163" s="140"/>
      <c r="E163" s="140"/>
      <c r="F163" s="140"/>
      <c r="G163" s="363">
        <v>0</v>
      </c>
      <c r="H163" s="144"/>
      <c r="I163" s="144"/>
      <c r="J163" s="145"/>
      <c r="K163" s="123"/>
      <c r="L163" s="365"/>
      <c r="M163" s="456"/>
    </row>
    <row r="164" spans="3:13" ht="15.75" customHeight="1" x14ac:dyDescent="0.25">
      <c r="C164" s="142" t="s">
        <v>209</v>
      </c>
      <c r="D164" s="143">
        <v>0</v>
      </c>
      <c r="E164" s="143">
        <v>0</v>
      </c>
      <c r="F164" s="143">
        <v>0</v>
      </c>
      <c r="G164" s="363">
        <v>0</v>
      </c>
      <c r="H164" s="144"/>
      <c r="I164" s="144"/>
      <c r="J164" s="145"/>
      <c r="K164" s="123"/>
      <c r="L164" s="365"/>
      <c r="M164" s="456"/>
    </row>
    <row r="165" spans="3:13" s="444" customFormat="1" ht="15.75" customHeight="1" x14ac:dyDescent="0.25">
      <c r="C165" s="477"/>
      <c r="D165" s="478"/>
      <c r="E165" s="478"/>
      <c r="F165" s="478"/>
      <c r="G165" s="496"/>
      <c r="H165" s="485"/>
      <c r="I165" s="485"/>
      <c r="J165" s="480"/>
      <c r="K165" s="123"/>
      <c r="L165" s="369"/>
      <c r="M165" s="463"/>
    </row>
    <row r="166" spans="3:13" ht="15.75" customHeight="1" x14ac:dyDescent="0.25">
      <c r="C166" s="681" t="s">
        <v>160</v>
      </c>
      <c r="D166" s="692"/>
      <c r="E166" s="692"/>
      <c r="F166" s="692"/>
      <c r="G166" s="692"/>
      <c r="H166" s="144"/>
      <c r="I166" s="144"/>
      <c r="J166" s="145"/>
      <c r="K166" s="123"/>
      <c r="L166" s="365"/>
      <c r="M166" s="456"/>
    </row>
    <row r="167" spans="3:13" ht="19.5" customHeight="1" thickBot="1" x14ac:dyDescent="0.3">
      <c r="C167" s="481" t="s">
        <v>207</v>
      </c>
      <c r="D167" s="482">
        <v>0</v>
      </c>
      <c r="E167" s="482">
        <v>0</v>
      </c>
      <c r="F167" s="482">
        <v>0</v>
      </c>
      <c r="G167" s="497">
        <v>0</v>
      </c>
      <c r="H167" s="144"/>
      <c r="I167" s="144"/>
      <c r="J167" s="145"/>
      <c r="K167" s="123"/>
      <c r="L167" s="365"/>
      <c r="M167" s="456"/>
    </row>
    <row r="168" spans="3:13" ht="15.75" customHeight="1" x14ac:dyDescent="0.25">
      <c r="C168" s="467" t="s">
        <v>2</v>
      </c>
      <c r="D168" s="468"/>
      <c r="E168" s="469"/>
      <c r="F168" s="469"/>
      <c r="G168" s="498">
        <v>0</v>
      </c>
      <c r="H168" s="144"/>
      <c r="I168" s="144"/>
      <c r="J168" s="145"/>
      <c r="K168" s="123"/>
      <c r="L168" s="365"/>
      <c r="M168" s="456"/>
    </row>
    <row r="169" spans="3:13" ht="15.75" customHeight="1" x14ac:dyDescent="0.25">
      <c r="C169" s="139" t="s">
        <v>208</v>
      </c>
      <c r="D169" s="140"/>
      <c r="E169" s="98"/>
      <c r="F169" s="98"/>
      <c r="G169" s="363">
        <v>0</v>
      </c>
      <c r="H169" s="144"/>
      <c r="I169" s="144"/>
      <c r="J169" s="145"/>
      <c r="K169" s="123"/>
      <c r="L169" s="365"/>
      <c r="M169" s="456"/>
    </row>
    <row r="170" spans="3:13" ht="15.75" customHeight="1" x14ac:dyDescent="0.25">
      <c r="C170" s="139" t="s">
        <v>3</v>
      </c>
      <c r="D170" s="140"/>
      <c r="E170" s="140"/>
      <c r="F170" s="140"/>
      <c r="G170" s="363">
        <v>0</v>
      </c>
      <c r="H170" s="144"/>
      <c r="I170" s="144"/>
      <c r="J170" s="145"/>
      <c r="K170" s="123"/>
      <c r="L170" s="365"/>
      <c r="M170" s="456"/>
    </row>
    <row r="171" spans="3:13" ht="15.75" customHeight="1" x14ac:dyDescent="0.25">
      <c r="C171" s="141" t="s">
        <v>4</v>
      </c>
      <c r="D171" s="140"/>
      <c r="E171" s="140"/>
      <c r="F171" s="140"/>
      <c r="G171" s="363">
        <v>0</v>
      </c>
      <c r="H171" s="144"/>
      <c r="I171" s="144"/>
      <c r="J171" s="145"/>
      <c r="K171" s="123"/>
      <c r="L171" s="365"/>
      <c r="M171" s="456"/>
    </row>
    <row r="172" spans="3:13" ht="15.75" customHeight="1" x14ac:dyDescent="0.25">
      <c r="C172" s="139" t="s">
        <v>5</v>
      </c>
      <c r="D172" s="140"/>
      <c r="E172" s="140"/>
      <c r="F172" s="140"/>
      <c r="G172" s="363">
        <v>0</v>
      </c>
      <c r="H172" s="144"/>
      <c r="I172" s="144"/>
      <c r="J172" s="145"/>
      <c r="K172" s="123"/>
      <c r="L172" s="365"/>
      <c r="M172" s="456"/>
    </row>
    <row r="173" spans="3:13" ht="15.75" customHeight="1" x14ac:dyDescent="0.25">
      <c r="C173" s="139" t="s">
        <v>6</v>
      </c>
      <c r="D173" s="140"/>
      <c r="E173" s="140"/>
      <c r="F173" s="140"/>
      <c r="G173" s="363">
        <v>0</v>
      </c>
      <c r="H173" s="144"/>
      <c r="I173" s="144"/>
      <c r="J173" s="145"/>
      <c r="K173" s="123"/>
      <c r="L173" s="365"/>
      <c r="M173" s="456"/>
    </row>
    <row r="174" spans="3:13" ht="15.75" customHeight="1" x14ac:dyDescent="0.25">
      <c r="C174" s="139" t="s">
        <v>7</v>
      </c>
      <c r="D174" s="140"/>
      <c r="E174" s="140"/>
      <c r="F174" s="140"/>
      <c r="G174" s="363">
        <v>0</v>
      </c>
      <c r="H174" s="144"/>
      <c r="I174" s="144"/>
      <c r="J174" s="145"/>
      <c r="K174" s="123"/>
      <c r="L174" s="365"/>
      <c r="M174" s="456"/>
    </row>
    <row r="175" spans="3:13" ht="15.75" customHeight="1" x14ac:dyDescent="0.25">
      <c r="C175" s="142" t="s">
        <v>209</v>
      </c>
      <c r="D175" s="143">
        <v>0</v>
      </c>
      <c r="E175" s="143">
        <v>0</v>
      </c>
      <c r="F175" s="143">
        <v>0</v>
      </c>
      <c r="G175" s="363">
        <v>0</v>
      </c>
      <c r="H175" s="144"/>
      <c r="I175" s="144"/>
      <c r="J175" s="145"/>
      <c r="K175" s="123"/>
      <c r="L175" s="365"/>
      <c r="M175" s="456"/>
    </row>
    <row r="176" spans="3:13" s="444" customFormat="1" ht="15.75" customHeight="1" x14ac:dyDescent="0.25">
      <c r="C176" s="477"/>
      <c r="D176" s="478"/>
      <c r="E176" s="478"/>
      <c r="F176" s="478"/>
      <c r="G176" s="496"/>
      <c r="H176" s="485"/>
      <c r="I176" s="485"/>
      <c r="J176" s="480"/>
      <c r="K176" s="123"/>
      <c r="L176" s="369"/>
      <c r="M176" s="463"/>
    </row>
    <row r="177" spans="3:13" ht="15.75" customHeight="1" x14ac:dyDescent="0.25">
      <c r="C177" s="681" t="s">
        <v>169</v>
      </c>
      <c r="D177" s="692"/>
      <c r="E177" s="692"/>
      <c r="F177" s="692"/>
      <c r="G177" s="692"/>
      <c r="H177" s="144"/>
      <c r="I177" s="144"/>
      <c r="J177" s="145"/>
      <c r="K177" s="123"/>
      <c r="L177" s="365"/>
      <c r="M177" s="456"/>
    </row>
    <row r="178" spans="3:13" ht="22.5" customHeight="1" thickBot="1" x14ac:dyDescent="0.3">
      <c r="C178" s="481" t="s">
        <v>207</v>
      </c>
      <c r="D178" s="482">
        <v>0</v>
      </c>
      <c r="E178" s="482">
        <v>0</v>
      </c>
      <c r="F178" s="482">
        <v>0</v>
      </c>
      <c r="G178" s="497">
        <v>0</v>
      </c>
      <c r="H178" s="144"/>
      <c r="I178" s="144"/>
      <c r="J178" s="145"/>
      <c r="K178" s="123"/>
      <c r="L178" s="365"/>
      <c r="M178" s="456"/>
    </row>
    <row r="179" spans="3:13" ht="15.75" customHeight="1" x14ac:dyDescent="0.25">
      <c r="C179" s="467" t="s">
        <v>2</v>
      </c>
      <c r="D179" s="468"/>
      <c r="E179" s="469"/>
      <c r="F179" s="469"/>
      <c r="G179" s="498">
        <v>0</v>
      </c>
      <c r="H179" s="144"/>
      <c r="I179" s="144"/>
      <c r="J179" s="145"/>
      <c r="K179" s="123"/>
      <c r="L179" s="365"/>
      <c r="M179" s="456"/>
    </row>
    <row r="180" spans="3:13" ht="15.75" customHeight="1" x14ac:dyDescent="0.25">
      <c r="C180" s="139" t="s">
        <v>208</v>
      </c>
      <c r="D180" s="140"/>
      <c r="E180" s="98"/>
      <c r="F180" s="98"/>
      <c r="G180" s="363">
        <v>0</v>
      </c>
      <c r="H180" s="144"/>
      <c r="I180" s="144"/>
      <c r="J180" s="145"/>
      <c r="K180" s="123"/>
      <c r="L180" s="365"/>
      <c r="M180" s="456"/>
    </row>
    <row r="181" spans="3:13" ht="15.75" customHeight="1" x14ac:dyDescent="0.25">
      <c r="C181" s="139" t="s">
        <v>3</v>
      </c>
      <c r="D181" s="140"/>
      <c r="E181" s="140"/>
      <c r="F181" s="140"/>
      <c r="G181" s="363">
        <v>0</v>
      </c>
      <c r="H181" s="144"/>
      <c r="I181" s="144"/>
      <c r="J181" s="145"/>
      <c r="K181" s="123"/>
      <c r="L181" s="365"/>
      <c r="M181" s="456"/>
    </row>
    <row r="182" spans="3:13" ht="15.75" customHeight="1" x14ac:dyDescent="0.25">
      <c r="C182" s="141" t="s">
        <v>4</v>
      </c>
      <c r="D182" s="140"/>
      <c r="E182" s="140"/>
      <c r="F182" s="140"/>
      <c r="G182" s="363">
        <v>0</v>
      </c>
      <c r="H182" s="144"/>
      <c r="I182" s="144"/>
      <c r="J182" s="145"/>
      <c r="K182" s="123"/>
      <c r="L182" s="365"/>
      <c r="M182" s="456"/>
    </row>
    <row r="183" spans="3:13" ht="15.75" customHeight="1" x14ac:dyDescent="0.25">
      <c r="C183" s="139" t="s">
        <v>5</v>
      </c>
      <c r="D183" s="140"/>
      <c r="E183" s="140"/>
      <c r="F183" s="140"/>
      <c r="G183" s="363">
        <v>0</v>
      </c>
      <c r="H183" s="144"/>
      <c r="I183" s="144"/>
      <c r="J183" s="145"/>
      <c r="K183" s="123"/>
      <c r="L183" s="365"/>
      <c r="M183" s="456"/>
    </row>
    <row r="184" spans="3:13" ht="15.75" customHeight="1" x14ac:dyDescent="0.25">
      <c r="C184" s="139" t="s">
        <v>6</v>
      </c>
      <c r="D184" s="140"/>
      <c r="E184" s="140"/>
      <c r="F184" s="140"/>
      <c r="G184" s="363">
        <v>0</v>
      </c>
      <c r="H184" s="144"/>
      <c r="I184" s="144"/>
      <c r="J184" s="145"/>
      <c r="K184" s="123"/>
      <c r="L184" s="365"/>
      <c r="M184" s="456"/>
    </row>
    <row r="185" spans="3:13" ht="15.75" customHeight="1" x14ac:dyDescent="0.25">
      <c r="C185" s="139" t="s">
        <v>7</v>
      </c>
      <c r="D185" s="140"/>
      <c r="E185" s="140"/>
      <c r="F185" s="140"/>
      <c r="G185" s="363">
        <v>0</v>
      </c>
      <c r="H185" s="144"/>
      <c r="I185" s="144"/>
      <c r="J185" s="145"/>
      <c r="K185" s="123"/>
      <c r="L185" s="365"/>
      <c r="M185" s="456"/>
    </row>
    <row r="186" spans="3:13" ht="15.75" customHeight="1" x14ac:dyDescent="0.25">
      <c r="C186" s="142" t="s">
        <v>209</v>
      </c>
      <c r="D186" s="143">
        <v>0</v>
      </c>
      <c r="E186" s="143">
        <v>0</v>
      </c>
      <c r="F186" s="143">
        <v>0</v>
      </c>
      <c r="G186" s="363">
        <v>0</v>
      </c>
      <c r="H186" s="144"/>
      <c r="I186" s="144"/>
      <c r="J186" s="145"/>
      <c r="K186" s="123"/>
      <c r="L186" s="365"/>
      <c r="M186" s="456"/>
    </row>
    <row r="187" spans="3:13" ht="15.75" customHeight="1" x14ac:dyDescent="0.25">
      <c r="H187" s="144"/>
      <c r="I187" s="144"/>
      <c r="J187" s="145"/>
      <c r="K187" s="123"/>
      <c r="L187" s="365"/>
      <c r="M187" s="456"/>
    </row>
    <row r="188" spans="3:13" ht="15.75" customHeight="1" x14ac:dyDescent="0.25">
      <c r="C188" s="680" t="s">
        <v>218</v>
      </c>
      <c r="D188" s="680"/>
      <c r="E188" s="680"/>
      <c r="F188" s="680"/>
      <c r="G188" s="680"/>
      <c r="H188" s="680"/>
      <c r="I188" s="680"/>
      <c r="J188" s="680"/>
      <c r="K188" s="680"/>
      <c r="L188" s="681"/>
      <c r="M188" s="456"/>
    </row>
    <row r="189" spans="3:13" ht="19.5" customHeight="1" x14ac:dyDescent="0.25">
      <c r="C189" s="137" t="s">
        <v>219</v>
      </c>
      <c r="D189" s="138">
        <f>+'1) Budget Tables'!D180</f>
        <v>159293.55459999898</v>
      </c>
      <c r="E189" s="138">
        <v>0</v>
      </c>
      <c r="F189" s="138">
        <v>0</v>
      </c>
      <c r="G189" s="118">
        <f>D189</f>
        <v>159293.55459999898</v>
      </c>
      <c r="H189" s="136"/>
      <c r="I189" s="136"/>
      <c r="J189" s="135"/>
      <c r="K189" s="118">
        <f>SUM(K190:K196)</f>
        <v>0</v>
      </c>
      <c r="L189" s="363">
        <f>SUM(L190:L196)</f>
        <v>38165.57</v>
      </c>
      <c r="M189" s="456"/>
    </row>
    <row r="190" spans="3:13" ht="15.75" customHeight="1" x14ac:dyDescent="0.25">
      <c r="C190" s="139" t="s">
        <v>2</v>
      </c>
      <c r="D190" s="140"/>
      <c r="E190" s="98"/>
      <c r="F190" s="98"/>
      <c r="G190" s="118">
        <f t="shared" ref="G190:G196" si="14">D190</f>
        <v>0</v>
      </c>
      <c r="H190" s="144"/>
      <c r="I190" s="144"/>
      <c r="J190" s="145"/>
      <c r="K190" s="144"/>
      <c r="L190" s="365"/>
      <c r="M190" s="456"/>
    </row>
    <row r="191" spans="3:13" ht="15.75" customHeight="1" x14ac:dyDescent="0.25">
      <c r="C191" s="139" t="s">
        <v>208</v>
      </c>
      <c r="D191" s="140"/>
      <c r="E191" s="98"/>
      <c r="F191" s="98"/>
      <c r="G191" s="118">
        <f t="shared" si="14"/>
        <v>0</v>
      </c>
      <c r="H191" s="144"/>
      <c r="I191" s="144"/>
      <c r="J191" s="145"/>
      <c r="K191" s="144"/>
      <c r="L191" s="365"/>
      <c r="M191" s="456"/>
    </row>
    <row r="192" spans="3:13" ht="15.75" customHeight="1" x14ac:dyDescent="0.25">
      <c r="C192" s="139" t="s">
        <v>3</v>
      </c>
      <c r="D192" s="140"/>
      <c r="E192" s="140"/>
      <c r="F192" s="140"/>
      <c r="G192" s="118">
        <f t="shared" si="14"/>
        <v>0</v>
      </c>
      <c r="H192" s="144"/>
      <c r="I192" s="144"/>
      <c r="J192" s="145"/>
      <c r="K192" s="144"/>
      <c r="L192" s="365"/>
      <c r="M192" s="456"/>
    </row>
    <row r="193" spans="3:14" ht="57" customHeight="1" x14ac:dyDescent="0.25">
      <c r="C193" s="141" t="s">
        <v>4</v>
      </c>
      <c r="D193" s="502">
        <v>42000</v>
      </c>
      <c r="E193" s="140"/>
      <c r="F193" s="140"/>
      <c r="G193" s="118">
        <f t="shared" si="14"/>
        <v>42000</v>
      </c>
      <c r="H193" s="144"/>
      <c r="I193" s="144"/>
      <c r="J193" s="145"/>
      <c r="K193" s="144"/>
      <c r="L193" s="611">
        <v>13875.01</v>
      </c>
      <c r="M193" s="503"/>
      <c r="N193" s="546"/>
    </row>
    <row r="194" spans="3:14" ht="15.75" customHeight="1" x14ac:dyDescent="0.25">
      <c r="C194" s="139" t="s">
        <v>5</v>
      </c>
      <c r="D194" s="140">
        <v>34087.481146304679</v>
      </c>
      <c r="E194" s="140"/>
      <c r="F194" s="140"/>
      <c r="G194" s="118">
        <f t="shared" si="14"/>
        <v>34087.481146304679</v>
      </c>
      <c r="H194" s="144"/>
      <c r="I194" s="144"/>
      <c r="J194" s="145"/>
      <c r="K194" s="144"/>
      <c r="L194" s="610">
        <v>4802.8</v>
      </c>
      <c r="M194" s="503"/>
    </row>
    <row r="195" spans="3:14" ht="15.75" customHeight="1" x14ac:dyDescent="0.25">
      <c r="C195" s="139" t="s">
        <v>6</v>
      </c>
      <c r="D195" s="140">
        <v>49273.356401384081</v>
      </c>
      <c r="E195" s="140"/>
      <c r="F195" s="140"/>
      <c r="G195" s="118">
        <f t="shared" si="14"/>
        <v>49273.356401384081</v>
      </c>
      <c r="H195" s="123"/>
      <c r="I195" s="144"/>
      <c r="J195" s="145"/>
      <c r="K195" s="144"/>
      <c r="L195" s="372">
        <f>+Output!D13</f>
        <v>4861.95</v>
      </c>
      <c r="M195" s="457"/>
      <c r="N195" s="600"/>
    </row>
    <row r="196" spans="3:14" ht="15.75" customHeight="1" x14ac:dyDescent="0.25">
      <c r="C196" s="139" t="s">
        <v>7</v>
      </c>
      <c r="D196" s="140">
        <v>33932.708327171997</v>
      </c>
      <c r="E196" s="140"/>
      <c r="F196" s="140"/>
      <c r="G196" s="118">
        <f t="shared" si="14"/>
        <v>33932.708327171997</v>
      </c>
      <c r="H196" s="144"/>
      <c r="I196" s="144"/>
      <c r="J196" s="145"/>
      <c r="K196" s="144"/>
      <c r="L196" s="610">
        <f>7072.36+7553.45</f>
        <v>14625.81</v>
      </c>
      <c r="M196" s="456"/>
    </row>
    <row r="197" spans="3:14" ht="15.75" customHeight="1" x14ac:dyDescent="0.25">
      <c r="C197" s="142" t="s">
        <v>209</v>
      </c>
      <c r="D197" s="118">
        <f>SUM(D190:D196)</f>
        <v>159293.54587486075</v>
      </c>
      <c r="E197" s="143">
        <v>0</v>
      </c>
      <c r="F197" s="143">
        <v>0</v>
      </c>
      <c r="G197" s="118">
        <f>SUM(G190:G196)</f>
        <v>159293.54587486075</v>
      </c>
      <c r="H197" s="118">
        <f t="shared" ref="H197:I197" si="15">SUM(H190:H196)</f>
        <v>0</v>
      </c>
      <c r="I197" s="118">
        <f t="shared" si="15"/>
        <v>0</v>
      </c>
      <c r="J197" s="135"/>
      <c r="K197" s="118">
        <f>SUM(K190:K196)</f>
        <v>0</v>
      </c>
      <c r="L197" s="363">
        <f>SUM(L193:L196)</f>
        <v>38165.57</v>
      </c>
      <c r="M197" s="457"/>
    </row>
    <row r="198" spans="3:14" ht="15.75" customHeight="1" thickBot="1" x14ac:dyDescent="0.3">
      <c r="H198" s="500"/>
      <c r="I198" s="500"/>
      <c r="J198" s="501"/>
      <c r="M198" s="456"/>
    </row>
    <row r="199" spans="3:14" ht="19.5" customHeight="1" thickBot="1" x14ac:dyDescent="0.3">
      <c r="C199" s="693" t="s">
        <v>182</v>
      </c>
      <c r="D199" s="694"/>
      <c r="E199" s="694"/>
      <c r="F199" s="694"/>
      <c r="G199" s="695"/>
      <c r="H199" s="443"/>
      <c r="I199" s="500"/>
      <c r="J199" s="501"/>
      <c r="M199" s="456"/>
    </row>
    <row r="200" spans="3:14" ht="19.5" customHeight="1" x14ac:dyDescent="0.25">
      <c r="C200" s="504"/>
      <c r="D200" s="696" t="s">
        <v>40</v>
      </c>
      <c r="E200" s="505" t="s">
        <v>183</v>
      </c>
      <c r="F200" s="506" t="s">
        <v>184</v>
      </c>
      <c r="G200" s="682" t="s">
        <v>182</v>
      </c>
      <c r="H200" s="683"/>
      <c r="I200" s="683"/>
      <c r="J200" s="683"/>
      <c r="K200" s="683"/>
      <c r="L200" s="684"/>
      <c r="M200" s="688" t="s">
        <v>228</v>
      </c>
    </row>
    <row r="201" spans="3:14" ht="19.5" customHeight="1" thickBot="1" x14ac:dyDescent="0.3">
      <c r="C201" s="504"/>
      <c r="D201" s="697"/>
      <c r="E201" s="138"/>
      <c r="F201" s="507"/>
      <c r="G201" s="685"/>
      <c r="H201" s="686"/>
      <c r="I201" s="686"/>
      <c r="J201" s="686"/>
      <c r="K201" s="686"/>
      <c r="L201" s="687"/>
      <c r="M201" s="689"/>
    </row>
    <row r="202" spans="3:14" x14ac:dyDescent="0.25">
      <c r="C202" s="508" t="s">
        <v>2</v>
      </c>
      <c r="D202" s="509">
        <f t="shared" ref="D202:D206" si="16">SUM(D179,D168,D157,D146,D134,D123,D112,D101,D89,D78,D67,D56,D44,D33,D21,D10,D190)</f>
        <v>235146.3154343151</v>
      </c>
      <c r="E202" s="509">
        <v>0</v>
      </c>
      <c r="F202" s="509">
        <v>0</v>
      </c>
      <c r="G202" s="509">
        <f t="shared" ref="G202:G207" si="17">SUM(G179,G168,G157,G146,G134,G123,G112,G101,G89,G78,G67,G56,G44,G33,G21,G10,G190)</f>
        <v>235146.3154343151</v>
      </c>
      <c r="H202" s="146"/>
      <c r="I202" s="146"/>
      <c r="J202" s="510"/>
      <c r="K202" s="511">
        <f t="shared" ref="K202:K208" si="18">K10+K21+K56+K67+K101+K112+K190</f>
        <v>0</v>
      </c>
      <c r="L202" s="512">
        <f>SUM(L179,L168,L157,L146,L134,L123,L112,L101,L89,L78,L67,L56,L44,L33,L21,L10,L190)</f>
        <v>49840.561765281986</v>
      </c>
      <c r="M202" s="513">
        <f>G202-L202</f>
        <v>185305.75366903312</v>
      </c>
    </row>
    <row r="203" spans="3:14" x14ac:dyDescent="0.25">
      <c r="C203" s="508" t="s">
        <v>208</v>
      </c>
      <c r="D203" s="509">
        <f t="shared" si="16"/>
        <v>0</v>
      </c>
      <c r="E203" s="509">
        <v>0</v>
      </c>
      <c r="F203" s="509">
        <v>0</v>
      </c>
      <c r="G203" s="509">
        <f t="shared" si="17"/>
        <v>0</v>
      </c>
      <c r="H203" s="144"/>
      <c r="I203" s="144">
        <v>0</v>
      </c>
      <c r="J203" s="145"/>
      <c r="K203" s="122">
        <f t="shared" si="18"/>
        <v>0</v>
      </c>
      <c r="L203" s="512">
        <f t="shared" ref="L203:L208" si="19">SUM(L180,L169,L158,L147,L135,L124,L113,L102,L90,L79,L68,L57,L45,L34,L22,L11,L191)</f>
        <v>0</v>
      </c>
      <c r="M203" s="513">
        <f t="shared" ref="M203:M208" si="20">G203-L203</f>
        <v>0</v>
      </c>
    </row>
    <row r="204" spans="3:14" ht="31.5" x14ac:dyDescent="0.25">
      <c r="C204" s="508" t="s">
        <v>3</v>
      </c>
      <c r="D204" s="509">
        <f t="shared" si="16"/>
        <v>0</v>
      </c>
      <c r="E204" s="509">
        <v>0</v>
      </c>
      <c r="F204" s="509">
        <v>0</v>
      </c>
      <c r="G204" s="509">
        <f t="shared" si="17"/>
        <v>0</v>
      </c>
      <c r="H204" s="144"/>
      <c r="I204" s="144"/>
      <c r="J204" s="145"/>
      <c r="K204" s="122">
        <f t="shared" si="18"/>
        <v>0</v>
      </c>
      <c r="L204" s="512">
        <f t="shared" si="19"/>
        <v>0</v>
      </c>
      <c r="M204" s="513">
        <f t="shared" si="20"/>
        <v>0</v>
      </c>
    </row>
    <row r="205" spans="3:14" x14ac:dyDescent="0.25">
      <c r="C205" s="514" t="s">
        <v>4</v>
      </c>
      <c r="D205" s="509">
        <f t="shared" si="16"/>
        <v>175504.4449</v>
      </c>
      <c r="E205" s="509">
        <v>0</v>
      </c>
      <c r="F205" s="509">
        <v>0</v>
      </c>
      <c r="G205" s="509">
        <f t="shared" si="17"/>
        <v>175504.4449</v>
      </c>
      <c r="H205" s="144"/>
      <c r="I205" s="144"/>
      <c r="J205" s="145"/>
      <c r="K205" s="122">
        <f t="shared" si="18"/>
        <v>0</v>
      </c>
      <c r="L205" s="512">
        <f t="shared" si="19"/>
        <v>19852.739999999998</v>
      </c>
      <c r="M205" s="513">
        <f>G205-L205</f>
        <v>155651.70490000001</v>
      </c>
    </row>
    <row r="206" spans="3:14" x14ac:dyDescent="0.25">
      <c r="C206" s="515" t="s">
        <v>5</v>
      </c>
      <c r="D206" s="516">
        <f t="shared" si="16"/>
        <v>49537.475756386768</v>
      </c>
      <c r="E206" s="509">
        <v>0</v>
      </c>
      <c r="F206" s="509">
        <v>0</v>
      </c>
      <c r="G206" s="516">
        <f t="shared" si="17"/>
        <v>49537.475756386768</v>
      </c>
      <c r="H206" s="144"/>
      <c r="I206" s="144"/>
      <c r="J206" s="145"/>
      <c r="K206" s="122">
        <f t="shared" si="18"/>
        <v>0</v>
      </c>
      <c r="L206" s="517">
        <f t="shared" si="19"/>
        <v>9412.6407493715851</v>
      </c>
      <c r="M206" s="513">
        <f t="shared" si="20"/>
        <v>40124.835007015179</v>
      </c>
      <c r="N206" s="548"/>
    </row>
    <row r="207" spans="3:14" x14ac:dyDescent="0.25">
      <c r="C207" s="508" t="s">
        <v>6</v>
      </c>
      <c r="D207" s="518">
        <f>SUM(D184,D173,D162,D151,D139,D128,D117,D106,D94,D83,D72,D61,D49,D38,D26,D15,D195)</f>
        <v>1245456.878567999</v>
      </c>
      <c r="E207" s="519">
        <v>0</v>
      </c>
      <c r="F207" s="509">
        <v>0</v>
      </c>
      <c r="G207" s="518">
        <f t="shared" si="17"/>
        <v>1245456.878567999</v>
      </c>
      <c r="H207" s="144"/>
      <c r="I207" s="144"/>
      <c r="J207" s="145"/>
      <c r="K207" s="122">
        <f>K15+K26+K61+K72+K106+K117+K195</f>
        <v>0</v>
      </c>
      <c r="L207" s="520">
        <f>SUM(L184,L173,L162,L151,L139,L128,L117,L106,L94,L83,L72,L61,L49,L38,L26,L15,L195)</f>
        <v>143873.58973087353</v>
      </c>
      <c r="M207" s="513">
        <f t="shared" si="20"/>
        <v>1101583.2888371255</v>
      </c>
    </row>
    <row r="208" spans="3:14" ht="16.5" thickBot="1" x14ac:dyDescent="0.3">
      <c r="C208" s="508" t="s">
        <v>7</v>
      </c>
      <c r="D208" s="518">
        <f>SUM(D185,D174,D163,D152,D140,D129,D118,D107,D95,D84,D73,D62,D50,D39,D27,D16,D196)</f>
        <v>70056.23028836961</v>
      </c>
      <c r="E208" s="521">
        <v>0</v>
      </c>
      <c r="F208" s="522">
        <v>0</v>
      </c>
      <c r="G208" s="518">
        <f>SUM(G185,G174,G163,G152,G140,G129,G118,G107,G95,G84,G73,G62,G50,G39,G27,G16,G196)</f>
        <v>70056.23028836961</v>
      </c>
      <c r="H208" s="147"/>
      <c r="I208" s="147"/>
      <c r="J208" s="523"/>
      <c r="K208" s="524">
        <f t="shared" si="18"/>
        <v>0</v>
      </c>
      <c r="L208" s="520">
        <f t="shared" si="19"/>
        <v>27390.47748534647</v>
      </c>
      <c r="M208" s="513">
        <f t="shared" si="20"/>
        <v>42665.752803023141</v>
      </c>
    </row>
    <row r="209" spans="3:14" ht="16.5" thickBot="1" x14ac:dyDescent="0.3">
      <c r="C209" s="555" t="s">
        <v>8</v>
      </c>
      <c r="D209" s="527">
        <f>SUM(D202:D208)</f>
        <v>1775701.3449470703</v>
      </c>
      <c r="E209" s="525">
        <v>0</v>
      </c>
      <c r="F209" s="526">
        <v>0</v>
      </c>
      <c r="G209" s="527">
        <f>SUM(G202:G208)</f>
        <v>1775701.3449470703</v>
      </c>
      <c r="H209" s="527">
        <f t="shared" ref="H209:I209" si="21">SUM(H202:H208)</f>
        <v>0</v>
      </c>
      <c r="I209" s="527">
        <f t="shared" si="21"/>
        <v>0</v>
      </c>
      <c r="J209" s="528"/>
      <c r="K209" s="363">
        <f>SUM(K202:K208)</f>
        <v>0</v>
      </c>
      <c r="L209" s="529">
        <f>SUM(L202:L208)</f>
        <v>250370.00973087354</v>
      </c>
      <c r="M209" s="530">
        <f>SUM(M202:M208)</f>
        <v>1525331.335216197</v>
      </c>
      <c r="N209" s="548"/>
    </row>
    <row r="210" spans="3:14" ht="16.5" thickBot="1" x14ac:dyDescent="0.3">
      <c r="C210" s="555" t="s">
        <v>220</v>
      </c>
      <c r="D210" s="531">
        <f>D209*0.07</f>
        <v>124299.09414629494</v>
      </c>
      <c r="E210" s="532"/>
      <c r="F210" s="533"/>
      <c r="G210" s="531">
        <f>G209*0.07</f>
        <v>124299.09414629494</v>
      </c>
      <c r="H210" s="531">
        <f t="shared" ref="H210:K210" si="22">H209*0.07</f>
        <v>0</v>
      </c>
      <c r="I210" s="531">
        <f t="shared" si="22"/>
        <v>0</v>
      </c>
      <c r="J210" s="531">
        <f t="shared" si="22"/>
        <v>0</v>
      </c>
      <c r="K210" s="531">
        <f t="shared" si="22"/>
        <v>0</v>
      </c>
      <c r="L210" s="531">
        <f>(L209+L212)*0.07</f>
        <v>25795.091681161153</v>
      </c>
      <c r="M210" s="534">
        <f>M209*0.07</f>
        <v>106773.19346513379</v>
      </c>
    </row>
    <row r="211" spans="3:14" ht="16.5" thickBot="1" x14ac:dyDescent="0.3">
      <c r="C211" s="535" t="s">
        <v>1</v>
      </c>
      <c r="D211" s="536">
        <f>SUM(D209:D210)</f>
        <v>1900000.4390933653</v>
      </c>
      <c r="E211" s="537"/>
      <c r="F211" s="537"/>
      <c r="G211" s="536">
        <f>SUM(G209:G210)</f>
        <v>1900000.4390933653</v>
      </c>
      <c r="H211" s="536">
        <f t="shared" ref="H211:K211" si="23">SUM(H209:H210)</f>
        <v>0</v>
      </c>
      <c r="I211" s="536">
        <f t="shared" si="23"/>
        <v>0</v>
      </c>
      <c r="J211" s="536">
        <f t="shared" si="23"/>
        <v>0</v>
      </c>
      <c r="K211" s="536">
        <f t="shared" si="23"/>
        <v>0</v>
      </c>
      <c r="L211" s="538">
        <f>SUM(L209:L210)</f>
        <v>276165.10141203471</v>
      </c>
      <c r="M211" s="539">
        <f>SUM(M209:M210)</f>
        <v>1632104.5286813308</v>
      </c>
      <c r="N211" s="540">
        <f>M211/D211</f>
        <v>0.85900218499956349</v>
      </c>
    </row>
    <row r="212" spans="3:14" ht="15.75" customHeight="1" x14ac:dyDescent="0.25">
      <c r="H212" s="541"/>
      <c r="I212" s="541"/>
      <c r="J212" s="542"/>
      <c r="K212" s="635" t="s">
        <v>1776</v>
      </c>
      <c r="L212" s="543">
        <v>118131.3</v>
      </c>
    </row>
    <row r="213" spans="3:14" ht="15.75" customHeight="1" x14ac:dyDescent="0.25">
      <c r="H213" s="541"/>
      <c r="I213" s="541"/>
      <c r="J213" s="542"/>
      <c r="K213" s="634" t="s">
        <v>1775</v>
      </c>
      <c r="L213" s="544">
        <f>SUM(L211:L212)</f>
        <v>394296.4014120347</v>
      </c>
    </row>
    <row r="214" spans="3:14" ht="15.75" customHeight="1" x14ac:dyDescent="0.25">
      <c r="D214" s="544"/>
      <c r="E214" s="545"/>
      <c r="L214" s="546"/>
    </row>
    <row r="215" spans="3:14" ht="15.75" customHeight="1" x14ac:dyDescent="0.25">
      <c r="E215" s="545"/>
      <c r="H215" s="547"/>
      <c r="I215" s="547"/>
    </row>
    <row r="216" spans="3:14" ht="15.75" customHeight="1" x14ac:dyDescent="0.25">
      <c r="E216" s="545"/>
      <c r="H216" s="547"/>
      <c r="I216" s="547"/>
      <c r="L216" s="548"/>
    </row>
    <row r="217" spans="3:14" ht="40.5" customHeight="1" x14ac:dyDescent="0.25">
      <c r="E217" s="549"/>
      <c r="F217" s="550"/>
      <c r="H217" s="547"/>
      <c r="I217" s="547"/>
      <c r="L217" s="551"/>
    </row>
    <row r="218" spans="3:14" ht="24.75" customHeight="1" x14ac:dyDescent="0.25">
      <c r="E218" s="549"/>
      <c r="F218" s="550"/>
      <c r="H218" s="547"/>
      <c r="I218" s="547"/>
    </row>
    <row r="219" spans="3:14" ht="41.25" customHeight="1" x14ac:dyDescent="0.25">
      <c r="E219" s="549"/>
      <c r="F219" s="550"/>
      <c r="H219" s="552"/>
      <c r="I219" s="547"/>
    </row>
    <row r="220" spans="3:14" ht="51.75" customHeight="1" x14ac:dyDescent="0.25">
      <c r="E220" s="549"/>
      <c r="F220" s="550"/>
      <c r="H220" s="552"/>
      <c r="I220" s="547"/>
    </row>
    <row r="221" spans="3:14" ht="42" customHeight="1" x14ac:dyDescent="0.25">
      <c r="E221" s="549"/>
      <c r="F221" s="550"/>
      <c r="H221" s="547"/>
      <c r="I221" s="547"/>
    </row>
    <row r="222" spans="3:14" s="444" customFormat="1" ht="42" customHeight="1" x14ac:dyDescent="0.25">
      <c r="C222" s="443"/>
      <c r="G222" s="443"/>
      <c r="H222" s="500"/>
      <c r="I222" s="547"/>
      <c r="J222" s="446"/>
      <c r="K222" s="443"/>
      <c r="L222" s="443"/>
    </row>
    <row r="223" spans="3:14" s="444" customFormat="1" ht="42" customHeight="1" x14ac:dyDescent="0.25">
      <c r="C223" s="443"/>
      <c r="G223" s="443"/>
      <c r="H223" s="445"/>
      <c r="I223" s="547"/>
      <c r="J223" s="446"/>
      <c r="K223" s="443"/>
      <c r="L223" s="443"/>
    </row>
    <row r="224" spans="3:14" s="444" customFormat="1" ht="63.75" customHeight="1" x14ac:dyDescent="0.25">
      <c r="C224" s="443"/>
      <c r="G224" s="443"/>
      <c r="H224" s="445"/>
      <c r="I224" s="553"/>
      <c r="J224" s="501"/>
      <c r="K224" s="443"/>
      <c r="L224" s="443"/>
    </row>
    <row r="225" spans="3:12" s="444" customFormat="1" ht="42" customHeight="1" x14ac:dyDescent="0.25">
      <c r="C225" s="443"/>
      <c r="G225" s="443"/>
      <c r="H225" s="445"/>
      <c r="I225" s="445"/>
      <c r="J225" s="446"/>
      <c r="K225" s="443"/>
      <c r="L225" s="554"/>
    </row>
    <row r="226" spans="3:12" ht="23.25" customHeight="1" x14ac:dyDescent="0.25"/>
    <row r="227" spans="3:12" ht="27.75" customHeight="1" x14ac:dyDescent="0.25"/>
    <row r="228" spans="3:12" ht="55.5" customHeight="1" x14ac:dyDescent="0.25"/>
    <row r="229" spans="3:12" ht="57.75" customHeight="1" x14ac:dyDescent="0.25"/>
    <row r="230" spans="3:12" ht="21.75" customHeight="1" x14ac:dyDescent="0.25"/>
    <row r="231" spans="3:12" ht="49.5" customHeight="1" x14ac:dyDescent="0.25"/>
    <row r="232" spans="3:12" ht="28.5" customHeight="1" x14ac:dyDescent="0.25"/>
    <row r="233" spans="3:12" ht="28.5" customHeight="1" x14ac:dyDescent="0.25"/>
    <row r="234" spans="3:12" ht="28.5" customHeight="1" x14ac:dyDescent="0.25"/>
    <row r="235" spans="3:12" ht="23.25" customHeight="1" x14ac:dyDescent="0.25"/>
    <row r="236" spans="3:12" ht="43.5" customHeight="1" x14ac:dyDescent="0.25"/>
    <row r="237" spans="3:12" ht="55.5" customHeight="1" x14ac:dyDescent="0.25"/>
    <row r="238" spans="3:12" ht="42.75" customHeight="1" x14ac:dyDescent="0.25"/>
    <row r="239" spans="3:12" ht="21.75" customHeight="1" x14ac:dyDescent="0.25"/>
    <row r="240" spans="3:12" ht="21.75" customHeight="1" x14ac:dyDescent="0.25"/>
    <row r="241" ht="23.25" customHeight="1" x14ac:dyDescent="0.25"/>
    <row r="242" ht="23.25" customHeight="1" x14ac:dyDescent="0.25"/>
    <row r="243" ht="21.75" customHeight="1" x14ac:dyDescent="0.25"/>
    <row r="244" ht="16.5" customHeight="1" x14ac:dyDescent="0.25"/>
    <row r="245" ht="29.25" customHeight="1" x14ac:dyDescent="0.25"/>
    <row r="246" ht="24.75" customHeight="1" x14ac:dyDescent="0.25"/>
    <row r="247" ht="33" customHeight="1" x14ac:dyDescent="0.25"/>
    <row r="249" ht="15" customHeight="1" x14ac:dyDescent="0.25"/>
    <row r="250" ht="25.5" customHeight="1" x14ac:dyDescent="0.25"/>
  </sheetData>
  <mergeCells count="31">
    <mergeCell ref="C31:G31"/>
    <mergeCell ref="C2:F2"/>
    <mergeCell ref="C4:E4"/>
    <mergeCell ref="C7:L7"/>
    <mergeCell ref="C8:L8"/>
    <mergeCell ref="C19:L19"/>
    <mergeCell ref="H31:L31"/>
    <mergeCell ref="C42:G42"/>
    <mergeCell ref="C76:G76"/>
    <mergeCell ref="C87:G87"/>
    <mergeCell ref="C121:G121"/>
    <mergeCell ref="C132:G132"/>
    <mergeCell ref="B53:L53"/>
    <mergeCell ref="C110:L110"/>
    <mergeCell ref="H132:L132"/>
    <mergeCell ref="C188:L188"/>
    <mergeCell ref="G200:L201"/>
    <mergeCell ref="M200:M201"/>
    <mergeCell ref="B54:L54"/>
    <mergeCell ref="C65:L65"/>
    <mergeCell ref="B98:L98"/>
    <mergeCell ref="C99:L99"/>
    <mergeCell ref="C144:G144"/>
    <mergeCell ref="C155:G155"/>
    <mergeCell ref="C166:G166"/>
    <mergeCell ref="C177:G177"/>
    <mergeCell ref="C199:G199"/>
    <mergeCell ref="D200:D201"/>
    <mergeCell ref="B143:G143"/>
    <mergeCell ref="H87:L87"/>
    <mergeCell ref="H121:L121"/>
  </mergeCells>
  <conditionalFormatting sqref="D40">
    <cfRule type="cellIs" dxfId="15" priority="25" operator="notEqual">
      <formula>$D$32</formula>
    </cfRule>
  </conditionalFormatting>
  <conditionalFormatting sqref="D51">
    <cfRule type="cellIs" dxfId="14" priority="24" operator="notEqual">
      <formula>$D$43</formula>
    </cfRule>
  </conditionalFormatting>
  <conditionalFormatting sqref="D96">
    <cfRule type="cellIs" dxfId="13" priority="20" operator="notEqual">
      <formula>$D$88</formula>
    </cfRule>
  </conditionalFormatting>
  <conditionalFormatting sqref="D141">
    <cfRule type="cellIs" dxfId="12" priority="16" operator="notEqual">
      <formula>$D$133</formula>
    </cfRule>
  </conditionalFormatting>
  <conditionalFormatting sqref="D153">
    <cfRule type="cellIs" dxfId="11" priority="15" operator="notEqual">
      <formula>$D$145</formula>
    </cfRule>
  </conditionalFormatting>
  <conditionalFormatting sqref="D164">
    <cfRule type="cellIs" dxfId="10" priority="14" operator="notEqual">
      <formula>$D$156</formula>
    </cfRule>
  </conditionalFormatting>
  <conditionalFormatting sqref="D175">
    <cfRule type="cellIs" dxfId="9" priority="13" operator="notEqual">
      <formula>$D$167</formula>
    </cfRule>
  </conditionalFormatting>
  <conditionalFormatting sqref="D186">
    <cfRule type="cellIs" dxfId="8" priority="12" operator="notEqual">
      <formula>$D$178</formula>
    </cfRule>
  </conditionalFormatting>
  <conditionalFormatting sqref="G40:G41">
    <cfRule type="cellIs" dxfId="7" priority="42" operator="notEqual">
      <formula>$G$32</formula>
    </cfRule>
  </conditionalFormatting>
  <conditionalFormatting sqref="G51">
    <cfRule type="cellIs" dxfId="6" priority="41" operator="notEqual">
      <formula>$G$43</formula>
    </cfRule>
  </conditionalFormatting>
  <conditionalFormatting sqref="G153">
    <cfRule type="cellIs" dxfId="5" priority="32" operator="notEqual">
      <formula>$G$145</formula>
    </cfRule>
  </conditionalFormatting>
  <conditionalFormatting sqref="G164">
    <cfRule type="cellIs" dxfId="4" priority="31" operator="notEqual">
      <formula>$G$156</formula>
    </cfRule>
  </conditionalFormatting>
  <conditionalFormatting sqref="G175">
    <cfRule type="cellIs" dxfId="3" priority="30" operator="notEqual">
      <formula>$G$156</formula>
    </cfRule>
  </conditionalFormatting>
  <conditionalFormatting sqref="G186">
    <cfRule type="cellIs" dxfId="2" priority="29" operator="notEqual">
      <formula>$G$178</formula>
    </cfRule>
  </conditionalFormatting>
  <conditionalFormatting sqref="G96:L96">
    <cfRule type="cellIs" dxfId="1" priority="37" operator="notEqual">
      <formula>$G$88</formula>
    </cfRule>
  </conditionalFormatting>
  <conditionalFormatting sqref="G141:L141">
    <cfRule type="cellIs" dxfId="0" priority="33" operator="notEqual">
      <formula>$G$133</formula>
    </cfRule>
  </conditionalFormatting>
  <pageMargins left="0.7" right="0.7" top="0.75" bottom="0.75" header="0.3" footer="0.3"/>
  <pageSetup paperSize="9" orientation="portrait" r:id="rId1"/>
  <customProperties>
    <customPr name="QAA_DRILLPATH_NODE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D1382-0286-4ECB-96CA-335A21B24A0E}">
  <sheetPr codeName="Sheet3"/>
  <dimension ref="B1:B16"/>
  <sheetViews>
    <sheetView topLeftCell="A6" workbookViewId="0">
      <selection activeCell="E14" sqref="E14"/>
    </sheetView>
  </sheetViews>
  <sheetFormatPr baseColWidth="10" defaultColWidth="8.7109375" defaultRowHeight="15" x14ac:dyDescent="0.25"/>
  <cols>
    <col min="2" max="2" width="73.28515625" customWidth="1"/>
  </cols>
  <sheetData>
    <row r="1" spans="2:2" ht="15.75" thickBot="1" x14ac:dyDescent="0.3"/>
    <row r="2" spans="2:2" ht="15.75" thickBot="1" x14ac:dyDescent="0.3">
      <c r="B2" s="148" t="s">
        <v>229</v>
      </c>
    </row>
    <row r="3" spans="2:2" x14ac:dyDescent="0.25">
      <c r="B3" s="149"/>
    </row>
    <row r="4" spans="2:2" ht="30" x14ac:dyDescent="0.25">
      <c r="B4" s="150" t="s">
        <v>230</v>
      </c>
    </row>
    <row r="5" spans="2:2" ht="30.75" customHeight="1" x14ac:dyDescent="0.25">
      <c r="B5" s="150"/>
    </row>
    <row r="6" spans="2:2" ht="60" x14ac:dyDescent="0.25">
      <c r="B6" s="150" t="s">
        <v>231</v>
      </c>
    </row>
    <row r="7" spans="2:2" x14ac:dyDescent="0.25">
      <c r="B7" s="150"/>
    </row>
    <row r="8" spans="2:2" ht="60" x14ac:dyDescent="0.25">
      <c r="B8" s="150" t="s">
        <v>232</v>
      </c>
    </row>
    <row r="9" spans="2:2" x14ac:dyDescent="0.25">
      <c r="B9" s="150"/>
    </row>
    <row r="10" spans="2:2" ht="60" x14ac:dyDescent="0.25">
      <c r="B10" s="150" t="s">
        <v>233</v>
      </c>
    </row>
    <row r="11" spans="2:2" x14ac:dyDescent="0.25">
      <c r="B11" s="150"/>
    </row>
    <row r="12" spans="2:2" ht="30" x14ac:dyDescent="0.25">
      <c r="B12" s="150" t="s">
        <v>234</v>
      </c>
    </row>
    <row r="13" spans="2:2" x14ac:dyDescent="0.25">
      <c r="B13" s="150"/>
    </row>
    <row r="14" spans="2:2" ht="60" x14ac:dyDescent="0.25">
      <c r="B14" s="150" t="s">
        <v>235</v>
      </c>
    </row>
    <row r="15" spans="2:2" x14ac:dyDescent="0.25">
      <c r="B15" s="150"/>
    </row>
    <row r="16" spans="2:2" ht="45.75" thickBot="1" x14ac:dyDescent="0.3">
      <c r="B16" s="151" t="s">
        <v>236</v>
      </c>
    </row>
  </sheetData>
  <pageMargins left="0.7" right="0.7" top="0.75" bottom="0.75" header="0.3" footer="0.3"/>
  <customProperties>
    <customPr name="QAA_DRILLPATH_NODE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CEFEB-C44D-495A-89C0-AD3979858994}">
  <sheetPr codeName="Sheet4"/>
  <dimension ref="B1:F25"/>
  <sheetViews>
    <sheetView topLeftCell="A9" workbookViewId="0">
      <selection activeCell="C11" sqref="C11"/>
    </sheetView>
  </sheetViews>
  <sheetFormatPr baseColWidth="10" defaultColWidth="8.7109375" defaultRowHeight="15" x14ac:dyDescent="0.25"/>
  <cols>
    <col min="1" max="1" width="5.28515625" customWidth="1"/>
    <col min="2" max="2" width="49.42578125" customWidth="1"/>
    <col min="3" max="3" width="25.42578125" customWidth="1"/>
    <col min="4" max="4" width="29.42578125" customWidth="1"/>
    <col min="5" max="5" width="30.42578125" customWidth="1"/>
    <col min="6" max="6" width="24.42578125" customWidth="1"/>
    <col min="7" max="7" width="18.42578125" customWidth="1"/>
    <col min="8" max="8" width="21.7109375" customWidth="1"/>
    <col min="9" max="10" width="15.7109375" bestFit="1" customWidth="1"/>
    <col min="11" max="11" width="11.28515625" bestFit="1" customWidth="1"/>
  </cols>
  <sheetData>
    <row r="1" spans="2:6" ht="15.75" thickBot="1" x14ac:dyDescent="0.3"/>
    <row r="2" spans="2:6" s="152" customFormat="1" ht="15.75" x14ac:dyDescent="0.25">
      <c r="B2" s="704" t="s">
        <v>237</v>
      </c>
      <c r="C2" s="705"/>
      <c r="D2" s="705"/>
      <c r="E2" s="705"/>
      <c r="F2" s="706"/>
    </row>
    <row r="3" spans="2:6" s="152" customFormat="1" ht="16.5" thickBot="1" x14ac:dyDescent="0.3">
      <c r="B3" s="707"/>
      <c r="C3" s="708"/>
      <c r="D3" s="708"/>
      <c r="E3" s="708"/>
      <c r="F3" s="709"/>
    </row>
    <row r="4" spans="2:6" s="152" customFormat="1" ht="16.5" thickBot="1" x14ac:dyDescent="0.3"/>
    <row r="5" spans="2:6" s="152" customFormat="1" ht="16.5" thickBot="1" x14ac:dyDescent="0.3">
      <c r="B5" s="710" t="s">
        <v>182</v>
      </c>
      <c r="C5" s="711"/>
      <c r="D5" s="153"/>
      <c r="E5" s="153"/>
    </row>
    <row r="6" spans="2:6" s="152" customFormat="1" ht="15.75" x14ac:dyDescent="0.25">
      <c r="B6" s="65"/>
      <c r="C6" s="712" t="str">
        <f>'[2]1) Budget Tables'!D5</f>
        <v>Recipient Organization</v>
      </c>
      <c r="D6" s="154" t="s">
        <v>202</v>
      </c>
      <c r="E6" s="66" t="s">
        <v>203</v>
      </c>
    </row>
    <row r="7" spans="2:6" s="152" customFormat="1" ht="15.75" x14ac:dyDescent="0.25">
      <c r="B7" s="65"/>
      <c r="C7" s="653"/>
      <c r="D7" s="155"/>
      <c r="E7" s="67"/>
    </row>
    <row r="8" spans="2:6" s="152" customFormat="1" ht="15.75" x14ac:dyDescent="0.25">
      <c r="B8" s="68" t="s">
        <v>2</v>
      </c>
      <c r="C8" s="596">
        <f>+'2) By Category'!D202</f>
        <v>235146.3154343151</v>
      </c>
      <c r="D8" s="71">
        <f>'[2]2) By Category'!E201</f>
        <v>0</v>
      </c>
      <c r="E8" s="69">
        <f>'[2]2) By Category'!F201</f>
        <v>0</v>
      </c>
    </row>
    <row r="9" spans="2:6" s="152" customFormat="1" ht="26.1" customHeight="1" x14ac:dyDescent="0.25">
      <c r="B9" s="68" t="s">
        <v>208</v>
      </c>
      <c r="C9" s="596">
        <f>+'2) By Category'!D203</f>
        <v>0</v>
      </c>
      <c r="D9" s="71">
        <f>'[2]2) By Category'!E202</f>
        <v>0</v>
      </c>
      <c r="E9" s="69">
        <f>'[2]2) By Category'!F202</f>
        <v>0</v>
      </c>
    </row>
    <row r="10" spans="2:6" s="152" customFormat="1" ht="32.1" customHeight="1" x14ac:dyDescent="0.25">
      <c r="B10" s="68" t="s">
        <v>3</v>
      </c>
      <c r="C10" s="596">
        <f>+'2) By Category'!D204</f>
        <v>0</v>
      </c>
      <c r="D10" s="71">
        <f>'[2]2) By Category'!E203</f>
        <v>0</v>
      </c>
      <c r="E10" s="69">
        <f>'[2]2) By Category'!F203</f>
        <v>0</v>
      </c>
    </row>
    <row r="11" spans="2:6" s="152" customFormat="1" ht="22.5" customHeight="1" x14ac:dyDescent="0.25">
      <c r="B11" s="70" t="s">
        <v>4</v>
      </c>
      <c r="C11" s="596">
        <f>+'2) By Category'!D205</f>
        <v>175504.4449</v>
      </c>
      <c r="D11" s="71">
        <f>'[2]2) By Category'!E204</f>
        <v>0</v>
      </c>
      <c r="E11" s="69">
        <f>'[2]2) By Category'!F204</f>
        <v>0</v>
      </c>
    </row>
    <row r="12" spans="2:6" s="152" customFormat="1" ht="15.75" x14ac:dyDescent="0.25">
      <c r="B12" s="68" t="s">
        <v>5</v>
      </c>
      <c r="C12" s="596">
        <f>+'2) By Category'!D206</f>
        <v>49537.475756386768</v>
      </c>
      <c r="D12" s="71">
        <f>'[2]2) By Category'!E205</f>
        <v>0</v>
      </c>
      <c r="E12" s="69">
        <f>'[2]2) By Category'!F205</f>
        <v>0</v>
      </c>
    </row>
    <row r="13" spans="2:6" s="152" customFormat="1" ht="23.1" customHeight="1" x14ac:dyDescent="0.25">
      <c r="B13" s="68" t="s">
        <v>6</v>
      </c>
      <c r="C13" s="596">
        <f>+'2) By Category'!D207</f>
        <v>1245456.878567999</v>
      </c>
      <c r="D13" s="71">
        <f>'[2]2) By Category'!E206</f>
        <v>0</v>
      </c>
      <c r="E13" s="69">
        <f>'[2]2) By Category'!F206</f>
        <v>0</v>
      </c>
    </row>
    <row r="14" spans="2:6" s="152" customFormat="1" ht="21.6" customHeight="1" thickBot="1" x14ac:dyDescent="0.3">
      <c r="B14" s="156" t="s">
        <v>7</v>
      </c>
      <c r="C14" s="596">
        <f>+'2) By Category'!D208</f>
        <v>70056.23028836961</v>
      </c>
      <c r="D14" s="72">
        <f>'[2]2) By Category'!E207</f>
        <v>0</v>
      </c>
      <c r="E14" s="73">
        <f>'[2]2) By Category'!F207</f>
        <v>0</v>
      </c>
    </row>
    <row r="15" spans="2:6" s="152" customFormat="1" ht="16.5" thickBot="1" x14ac:dyDescent="0.3">
      <c r="B15" s="157" t="s">
        <v>238</v>
      </c>
      <c r="C15" s="593">
        <f>SUM(C8:C14)</f>
        <v>1775701.3449470703</v>
      </c>
      <c r="D15" s="158">
        <f t="shared" ref="D15:E15" si="0">SUM(D8:D14)</f>
        <v>0</v>
      </c>
      <c r="E15" s="159">
        <f t="shared" si="0"/>
        <v>0</v>
      </c>
    </row>
    <row r="16" spans="2:6" s="152" customFormat="1" ht="15.75" x14ac:dyDescent="0.25">
      <c r="B16" s="160" t="s">
        <v>220</v>
      </c>
      <c r="C16" s="597">
        <f>C15*0.07</f>
        <v>124299.09414629494</v>
      </c>
      <c r="D16" s="161"/>
      <c r="E16" s="161"/>
    </row>
    <row r="17" spans="2:6" s="152" customFormat="1" ht="16.5" thickBot="1" x14ac:dyDescent="0.3">
      <c r="B17" s="162" t="s">
        <v>0</v>
      </c>
      <c r="C17" s="163">
        <f>C15+C16</f>
        <v>1900000.4390933653</v>
      </c>
      <c r="D17" s="161"/>
      <c r="E17" s="161"/>
    </row>
    <row r="18" spans="2:6" s="152" customFormat="1" ht="16.5" thickBot="1" x14ac:dyDescent="0.3"/>
    <row r="19" spans="2:6" s="152" customFormat="1" ht="15.75" x14ac:dyDescent="0.25">
      <c r="B19" s="713" t="s">
        <v>187</v>
      </c>
      <c r="C19" s="645"/>
      <c r="D19" s="645"/>
      <c r="E19" s="645"/>
      <c r="F19" s="647"/>
    </row>
    <row r="20" spans="2:6" ht="15.75" x14ac:dyDescent="0.25">
      <c r="B20" s="43"/>
      <c r="C20" s="714" t="str">
        <f>'[2]1) Budget Tables'!D5</f>
        <v>Recipient Organization</v>
      </c>
      <c r="D20" s="44" t="s">
        <v>239</v>
      </c>
      <c r="E20" s="44" t="s">
        <v>240</v>
      </c>
      <c r="F20" s="164" t="s">
        <v>188</v>
      </c>
    </row>
    <row r="21" spans="2:6" ht="15.75" x14ac:dyDescent="0.25">
      <c r="B21" s="43"/>
      <c r="C21" s="715"/>
      <c r="D21" s="44"/>
      <c r="E21" s="44"/>
      <c r="F21" s="594"/>
    </row>
    <row r="22" spans="2:6" ht="15.75" x14ac:dyDescent="0.25">
      <c r="B22" s="45" t="s">
        <v>189</v>
      </c>
      <c r="C22" s="165">
        <f>+'1) Budget Tables'!D195</f>
        <v>665000.15355269972</v>
      </c>
      <c r="D22" s="166">
        <f>'[2]1) Budget Tables'!E199</f>
        <v>0</v>
      </c>
      <c r="E22" s="166">
        <f>'[2]1) Budget Tables'!F199</f>
        <v>0</v>
      </c>
      <c r="F22" s="594">
        <v>0.35</v>
      </c>
    </row>
    <row r="23" spans="2:6" ht="15.75" x14ac:dyDescent="0.25">
      <c r="B23" s="45" t="s">
        <v>190</v>
      </c>
      <c r="C23" s="165">
        <f>+'1) Budget Tables'!D196</f>
        <v>665000.15355269972</v>
      </c>
      <c r="D23" s="166">
        <f>'[2]1) Budget Tables'!E200</f>
        <v>0</v>
      </c>
      <c r="E23" s="166">
        <f>'[2]1) Budget Tables'!F200</f>
        <v>0</v>
      </c>
      <c r="F23" s="594">
        <v>0.35</v>
      </c>
    </row>
    <row r="24" spans="2:6" ht="15.75" x14ac:dyDescent="0.25">
      <c r="B24" s="45" t="s">
        <v>241</v>
      </c>
      <c r="C24" s="165">
        <f>+'1) Budget Tables'!D197</f>
        <v>570000.13161659974</v>
      </c>
      <c r="D24" s="166"/>
      <c r="E24" s="166"/>
      <c r="F24" s="594">
        <v>0.3</v>
      </c>
    </row>
    <row r="25" spans="2:6" ht="16.5" thickBot="1" x14ac:dyDescent="0.3">
      <c r="B25" s="37" t="s">
        <v>1</v>
      </c>
      <c r="C25" s="595">
        <f>C22+C23+C24</f>
        <v>1900000.4387219991</v>
      </c>
      <c r="D25" s="167"/>
      <c r="E25" s="167"/>
      <c r="F25" s="594">
        <v>1</v>
      </c>
    </row>
  </sheetData>
  <mergeCells count="5">
    <mergeCell ref="B2:F3"/>
    <mergeCell ref="B5:C5"/>
    <mergeCell ref="C6:C7"/>
    <mergeCell ref="B19:F19"/>
    <mergeCell ref="C20:C21"/>
  </mergeCells>
  <dataValidations count="7">
    <dataValidation allowBlank="1" showInputMessage="1" showErrorMessage="1" prompt=" Includes all general operating costs for running an office. Examples include telecommunication, rents, finance charges and other costs which cannot be mapped to other expense categories." sqref="B14" xr:uid="{0190BBDF-84DA-43D7-9BC5-71962C706531}"/>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B13" xr:uid="{AB3E80CF-3C6F-4856-A108-7A7F10FEC309}"/>
    <dataValidation allowBlank="1" showInputMessage="1" showErrorMessage="1" prompt="Services contracted by an organization which follow the normal procurement processes." sqref="B11" xr:uid="{90F5A7F7-1EBE-4574-A2FE-01107B143CEB}"/>
    <dataValidation allowBlank="1" showInputMessage="1" showErrorMessage="1" prompt="Includes staff and non-staff travel paid for by the organization directly related to a project." sqref="B12" xr:uid="{2C1F432F-AA21-442E-8735-F50DA7AEFA06}"/>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B10" xr:uid="{D1BC2100-0889-41B2-BBA6-B1C60A0F948E}"/>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B9" xr:uid="{7777E9A8-1576-42A9-953F-04705B455305}"/>
    <dataValidation allowBlank="1" showInputMessage="1" showErrorMessage="1" prompt="Includes all related staff and temporary staff costs including base salary, post adjustment and all staff entitlements." sqref="B8" xr:uid="{8CFCF639-0A96-4A27-A1C5-6AD0DE6FD6FD}"/>
  </dataValidations>
  <pageMargins left="0.7" right="0.7" top="0.75" bottom="0.75" header="0.3" footer="0.3"/>
  <customProperties>
    <customPr name="QAA_DRILLPATH_NODE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031DA-7BFC-4BC1-866A-216314D3A1BB}">
  <sheetPr codeName="Sheet5"/>
  <dimension ref="A1:BB1219"/>
  <sheetViews>
    <sheetView zoomScale="90" zoomScaleNormal="90" workbookViewId="0">
      <pane ySplit="1" topLeftCell="A1195" activePane="bottomLeft" state="frozen"/>
      <selection activeCell="AL1" sqref="AL1"/>
      <selection pane="bottomLeft" activeCell="B1225" sqref="B1225"/>
    </sheetView>
  </sheetViews>
  <sheetFormatPr baseColWidth="10" defaultColWidth="8.7109375" defaultRowHeight="15" x14ac:dyDescent="0.25"/>
  <cols>
    <col min="1" max="1" width="40.28515625" style="353" bestFit="1" customWidth="1"/>
    <col min="2" max="2" width="8.7109375" style="353"/>
    <col min="3" max="3" width="12" style="353" customWidth="1"/>
    <col min="4" max="4" width="16" style="353" customWidth="1"/>
    <col min="5" max="5" width="9.85546875" style="353" customWidth="1"/>
    <col min="6" max="6" width="12.42578125" style="353" customWidth="1"/>
    <col min="7" max="7" width="11.5703125" style="353" customWidth="1"/>
    <col min="8" max="8" width="51.28515625" style="353" customWidth="1"/>
    <col min="9" max="9" width="11.28515625" style="353" customWidth="1"/>
    <col min="10" max="10" width="14.7109375" style="353" customWidth="1"/>
    <col min="11" max="11" width="16" style="353" customWidth="1"/>
    <col min="12" max="12" width="13.7109375" style="353" customWidth="1"/>
    <col min="13" max="13" width="15.5703125" style="353" customWidth="1"/>
    <col min="14" max="21" width="13.42578125" style="353" customWidth="1"/>
    <col min="22" max="22" width="15.42578125" style="353" customWidth="1"/>
    <col min="23" max="34" width="19.5703125" style="353" customWidth="1"/>
    <col min="35" max="46" width="13.42578125" style="353" customWidth="1"/>
    <col min="47" max="47" width="9.7109375" style="353" customWidth="1"/>
    <col min="48" max="48" width="15.28515625" style="353" bestFit="1" customWidth="1"/>
    <col min="49" max="49" width="13.7109375" style="353" customWidth="1"/>
    <col min="50" max="50" width="15" style="353" customWidth="1"/>
    <col min="51" max="51" width="13.5703125" style="353" customWidth="1"/>
    <col min="52" max="53" width="9.42578125" style="353" bestFit="1" customWidth="1"/>
    <col min="54" max="16384" width="8.7109375" style="353"/>
  </cols>
  <sheetData>
    <row r="1" spans="1:54" s="415" customFormat="1" ht="51" x14ac:dyDescent="0.25">
      <c r="A1" s="585" t="s">
        <v>375</v>
      </c>
      <c r="B1" s="583" t="s">
        <v>376</v>
      </c>
      <c r="C1" s="583" t="s">
        <v>377</v>
      </c>
      <c r="D1" s="583" t="s">
        <v>378</v>
      </c>
      <c r="E1" s="584" t="s">
        <v>379</v>
      </c>
      <c r="F1" s="584" t="s">
        <v>1542</v>
      </c>
      <c r="G1" s="583" t="s">
        <v>380</v>
      </c>
      <c r="H1" s="585" t="s">
        <v>381</v>
      </c>
      <c r="I1" s="586" t="s">
        <v>382</v>
      </c>
      <c r="J1" s="587" t="s">
        <v>383</v>
      </c>
      <c r="K1" s="588" t="s">
        <v>384</v>
      </c>
      <c r="L1" s="588" t="s">
        <v>385</v>
      </c>
      <c r="M1" s="587" t="s">
        <v>386</v>
      </c>
      <c r="N1" s="587" t="s">
        <v>387</v>
      </c>
      <c r="O1" s="589" t="s">
        <v>635</v>
      </c>
      <c r="P1" s="374" t="s">
        <v>206</v>
      </c>
      <c r="Q1" s="410" t="s">
        <v>10</v>
      </c>
      <c r="R1" s="410" t="s">
        <v>11</v>
      </c>
      <c r="S1" s="410" t="s">
        <v>51</v>
      </c>
      <c r="T1" s="410" t="s">
        <v>388</v>
      </c>
      <c r="U1" s="374" t="s">
        <v>210</v>
      </c>
      <c r="V1" s="410" t="s">
        <v>13</v>
      </c>
      <c r="W1" s="410" t="s">
        <v>14</v>
      </c>
      <c r="X1" s="410" t="s">
        <v>58</v>
      </c>
      <c r="Y1" s="374" t="s">
        <v>214</v>
      </c>
      <c r="Z1" s="410" t="s">
        <v>16</v>
      </c>
      <c r="AA1" s="410" t="s">
        <v>17</v>
      </c>
      <c r="AB1" s="374" t="s">
        <v>18</v>
      </c>
      <c r="AC1" s="410" t="s">
        <v>19</v>
      </c>
      <c r="AD1" s="410" t="s">
        <v>20</v>
      </c>
      <c r="AE1" s="410" t="s">
        <v>21</v>
      </c>
      <c r="AF1" s="374" t="s">
        <v>94</v>
      </c>
      <c r="AG1" s="410" t="s">
        <v>95</v>
      </c>
      <c r="AH1" s="410" t="s">
        <v>96</v>
      </c>
      <c r="AI1" s="410" t="s">
        <v>97</v>
      </c>
      <c r="AJ1" s="410" t="s">
        <v>98</v>
      </c>
      <c r="AK1" s="374" t="s">
        <v>23</v>
      </c>
      <c r="AL1" s="411" t="s">
        <v>24</v>
      </c>
      <c r="AM1" s="410" t="s">
        <v>25</v>
      </c>
      <c r="AN1" s="410" t="s">
        <v>26</v>
      </c>
      <c r="AO1" s="374" t="s">
        <v>216</v>
      </c>
      <c r="AP1" s="410" t="s">
        <v>28</v>
      </c>
      <c r="AQ1" s="410" t="s">
        <v>29</v>
      </c>
      <c r="AR1" s="374" t="s">
        <v>123</v>
      </c>
      <c r="AS1" s="410" t="s">
        <v>124</v>
      </c>
      <c r="AT1" s="410" t="s">
        <v>125</v>
      </c>
      <c r="AU1" s="412" t="s">
        <v>389</v>
      </c>
      <c r="AV1" s="412" t="s">
        <v>390</v>
      </c>
      <c r="AW1" s="413" t="s">
        <v>411</v>
      </c>
      <c r="AX1" s="413" t="s">
        <v>412</v>
      </c>
      <c r="AY1" s="414" t="s">
        <v>413</v>
      </c>
      <c r="AZ1" s="414" t="s">
        <v>414</v>
      </c>
      <c r="BA1" s="414" t="s">
        <v>415</v>
      </c>
      <c r="BB1" s="414" t="s">
        <v>416</v>
      </c>
    </row>
    <row r="2" spans="1:54" s="415" customFormat="1" x14ac:dyDescent="0.25">
      <c r="A2" s="416"/>
      <c r="B2" s="417"/>
      <c r="C2" s="417"/>
      <c r="D2" s="417"/>
      <c r="E2" s="418"/>
      <c r="F2" s="418"/>
      <c r="G2" s="417"/>
      <c r="H2" s="416"/>
      <c r="I2" s="419"/>
      <c r="J2" s="409"/>
      <c r="K2" s="420"/>
      <c r="L2" s="420"/>
      <c r="M2" s="409"/>
      <c r="N2" s="409"/>
      <c r="O2" s="409"/>
      <c r="P2" s="409">
        <v>6.3008134846962091E-2</v>
      </c>
      <c r="Q2" s="409">
        <v>9.4315255218493793E-2</v>
      </c>
      <c r="R2" s="409">
        <v>0.15898808892192801</v>
      </c>
      <c r="S2" s="409">
        <v>0.14162446074075344</v>
      </c>
      <c r="T2" s="409">
        <v>0.60436568301375804</v>
      </c>
      <c r="U2" s="409">
        <v>0.25287898420732058</v>
      </c>
      <c r="V2" s="409">
        <v>2.647071614938179E-2</v>
      </c>
      <c r="W2" s="409">
        <v>0.90297095284565876</v>
      </c>
      <c r="X2" s="409">
        <v>7.0558331004959507E-2</v>
      </c>
      <c r="Y2" s="409">
        <v>3.7071672365548293E-2</v>
      </c>
      <c r="Z2" s="409">
        <v>0.51586002649832441</v>
      </c>
      <c r="AA2" s="409">
        <v>0.48413997350167554</v>
      </c>
      <c r="AB2" s="409">
        <v>0.20253721989300724</v>
      </c>
      <c r="AC2" s="409">
        <v>0.28379257873721248</v>
      </c>
      <c r="AD2" s="409">
        <v>0.61775340433889703</v>
      </c>
      <c r="AE2" s="409">
        <v>9.8454016923890483E-2</v>
      </c>
      <c r="AF2" s="409">
        <v>0.16210050559085715</v>
      </c>
      <c r="AG2" s="409">
        <v>6.4266702217155261E-2</v>
      </c>
      <c r="AH2" s="409">
        <v>0.32335161425268127</v>
      </c>
      <c r="AI2" s="409">
        <v>0</v>
      </c>
      <c r="AJ2" s="409">
        <v>0.61238168353016353</v>
      </c>
      <c r="AK2" s="409">
        <v>0.10706625584871751</v>
      </c>
      <c r="AL2" s="409">
        <v>0.28650663800370735</v>
      </c>
      <c r="AM2" s="409">
        <v>0.67574376990135754</v>
      </c>
      <c r="AN2" s="409">
        <v>3.7749592094935142E-2</v>
      </c>
      <c r="AO2" s="409">
        <v>6.2081852500846954E-2</v>
      </c>
      <c r="AP2" s="409">
        <v>0.22931051836940111</v>
      </c>
      <c r="AQ2" s="409">
        <v>0.77068948163059892</v>
      </c>
      <c r="AR2" s="409">
        <v>0.11325537474674013</v>
      </c>
      <c r="AS2" s="409">
        <v>0.43333394813041665</v>
      </c>
      <c r="AT2" s="409">
        <v>0.56666605186958341</v>
      </c>
      <c r="AU2" s="421"/>
      <c r="AV2" s="421"/>
      <c r="AW2" s="421"/>
      <c r="AX2" s="421"/>
      <c r="AY2" s="421"/>
      <c r="AZ2" s="421"/>
      <c r="BA2" s="421"/>
      <c r="BB2" s="421"/>
    </row>
    <row r="3" spans="1:54" x14ac:dyDescent="0.25">
      <c r="A3" s="348" t="s">
        <v>391</v>
      </c>
      <c r="B3" s="349">
        <v>4602</v>
      </c>
      <c r="C3" s="350" t="s">
        <v>402</v>
      </c>
      <c r="D3" s="351">
        <v>45016</v>
      </c>
      <c r="E3" s="352">
        <v>3451</v>
      </c>
      <c r="F3" s="352">
        <v>3</v>
      </c>
      <c r="H3" s="350" t="s">
        <v>403</v>
      </c>
      <c r="I3" s="350" t="s">
        <v>393</v>
      </c>
      <c r="J3" s="354">
        <v>1390000</v>
      </c>
      <c r="K3" s="350" t="s">
        <v>394</v>
      </c>
      <c r="L3" s="354">
        <v>0</v>
      </c>
      <c r="M3" s="354">
        <v>678.29</v>
      </c>
      <c r="N3" s="354" t="s">
        <v>395</v>
      </c>
      <c r="O3" s="354">
        <v>562.04999999999995</v>
      </c>
      <c r="P3" s="374">
        <f>M3*$P$2</f>
        <v>42.737787785345915</v>
      </c>
      <c r="Q3" s="354">
        <f>P3*$Q$2</f>
        <v>4.0308253624487262</v>
      </c>
      <c r="R3" s="354">
        <f>P3*$R$2</f>
        <v>6.7947992047430645</v>
      </c>
      <c r="S3" s="354">
        <f>P3*$S$2</f>
        <v>6.0527161483523741</v>
      </c>
      <c r="T3" s="354">
        <f>P3*$T$2</f>
        <v>25.82925230538763</v>
      </c>
      <c r="U3" s="374">
        <f>M3*$U$2</f>
        <v>171.52528619798346</v>
      </c>
      <c r="V3" s="354">
        <f>U3*$V$2</f>
        <v>4.5403971633882945</v>
      </c>
      <c r="W3" s="354">
        <f>U3*$W$2</f>
        <v>154.88235111531745</v>
      </c>
      <c r="X3" s="354">
        <f>U3*$X$2</f>
        <v>12.102537919277729</v>
      </c>
      <c r="Y3" s="374">
        <f>M3*$Y$2</f>
        <v>25.145344648827749</v>
      </c>
      <c r="Z3" s="354">
        <f>Y3*$Z$2</f>
        <v>12.971478156853783</v>
      </c>
      <c r="AA3" s="354">
        <f>Y3*$AA$2</f>
        <v>12.173866491973964</v>
      </c>
      <c r="AB3" s="374">
        <f>M3*$AB$2</f>
        <v>137.37897088122787</v>
      </c>
      <c r="AC3" s="354">
        <f>AB3*$AC$2</f>
        <v>38.98713241064808</v>
      </c>
      <c r="AD3" s="354">
        <f>AB3*$AD$2</f>
        <v>84.866326946452716</v>
      </c>
      <c r="AE3" s="354">
        <f>AB3*$AE$2</f>
        <v>13.525511524127067</v>
      </c>
      <c r="AF3" s="374">
        <f>M3*$AF$2</f>
        <v>109.95115193722249</v>
      </c>
      <c r="AG3" s="354">
        <f>AF3*$AG$2</f>
        <v>7.066197939982672</v>
      </c>
      <c r="AH3" s="354">
        <f>AF3*$AH$2</f>
        <v>35.552882467842714</v>
      </c>
      <c r="AI3" s="354">
        <f>AF3*$AI$2</f>
        <v>0</v>
      </c>
      <c r="AJ3" s="354">
        <f>AF3*$AJ$2</f>
        <v>67.332071529397112</v>
      </c>
      <c r="AK3" s="374">
        <f>M3*$AK$2</f>
        <v>72.6219706796266</v>
      </c>
      <c r="AL3" s="354">
        <f>AK3*$AL$2</f>
        <v>20.806676664623627</v>
      </c>
      <c r="AM3" s="354">
        <f>AK3*$AM$2</f>
        <v>49.073844244716732</v>
      </c>
      <c r="AN3" s="354">
        <f>AK3*$AN$2</f>
        <v>2.7414497702862439</v>
      </c>
      <c r="AO3" s="374">
        <f>M3*$AO$2</f>
        <v>42.109499732799478</v>
      </c>
      <c r="AP3" s="354">
        <f>AO3*$AP$2</f>
        <v>9.6561512120044064</v>
      </c>
      <c r="AQ3" s="354">
        <f>AO3*$AQ$2</f>
        <v>32.453348520795075</v>
      </c>
      <c r="AR3" s="374">
        <f>M3*$AR$2</f>
        <v>76.819988136966359</v>
      </c>
      <c r="AS3" s="354">
        <f>AR3*$AS$2</f>
        <v>33.288708754723402</v>
      </c>
      <c r="AT3" s="354">
        <f>AR3*$AT$2</f>
        <v>43.531279382242964</v>
      </c>
      <c r="AU3" s="355" t="s">
        <v>396</v>
      </c>
      <c r="AV3" s="353" t="s">
        <v>404</v>
      </c>
      <c r="AW3" s="355" t="s">
        <v>405</v>
      </c>
      <c r="AX3" s="355">
        <v>0</v>
      </c>
      <c r="AY3" s="350" t="s">
        <v>406</v>
      </c>
      <c r="AZ3" s="351">
        <v>45026</v>
      </c>
      <c r="BA3" s="351">
        <v>45026</v>
      </c>
      <c r="BB3" s="350" t="s">
        <v>407</v>
      </c>
    </row>
    <row r="4" spans="1:54" x14ac:dyDescent="0.25">
      <c r="A4" s="348" t="s">
        <v>408</v>
      </c>
      <c r="B4" s="349">
        <v>4491</v>
      </c>
      <c r="C4" s="350" t="s">
        <v>402</v>
      </c>
      <c r="D4" s="351">
        <v>45006</v>
      </c>
      <c r="E4" s="352">
        <v>3490</v>
      </c>
      <c r="F4" s="352">
        <v>7</v>
      </c>
      <c r="H4" s="350" t="s">
        <v>409</v>
      </c>
      <c r="I4" s="350" t="s">
        <v>393</v>
      </c>
      <c r="J4" s="354">
        <v>150500</v>
      </c>
      <c r="K4" s="350" t="s">
        <v>394</v>
      </c>
      <c r="L4" s="354">
        <v>0</v>
      </c>
      <c r="M4" s="354">
        <v>73.44</v>
      </c>
      <c r="N4" s="354" t="s">
        <v>395</v>
      </c>
      <c r="O4" s="354">
        <v>60.86</v>
      </c>
      <c r="P4" s="374">
        <f t="shared" ref="P4:P67" si="0">M4*$P$2</f>
        <v>4.6273174231608962</v>
      </c>
      <c r="Q4" s="354">
        <f>P4*$Q$2</f>
        <v>0.43642662374240299</v>
      </c>
      <c r="R4" s="354">
        <f t="shared" ref="R4:R7" si="1">P4*$R$2</f>
        <v>0.7356883539434913</v>
      </c>
      <c r="S4" s="354">
        <f t="shared" ref="S4:S7" si="2">P4*$S$2</f>
        <v>0.65534133473145473</v>
      </c>
      <c r="T4" s="354">
        <f t="shared" ref="T4:T7" si="3">P4*$T$2</f>
        <v>2.7965918549700977</v>
      </c>
      <c r="U4" s="374">
        <f t="shared" ref="U4:U7" si="4">M4*$U$2</f>
        <v>18.571432600185624</v>
      </c>
      <c r="V4" s="354">
        <f t="shared" ref="V4:V67" si="5">U4*$V$2</f>
        <v>0.49159912084688906</v>
      </c>
      <c r="W4" s="354">
        <f t="shared" ref="W4:W7" si="6">U4*$W$2</f>
        <v>16.769464190698542</v>
      </c>
      <c r="X4" s="354">
        <f t="shared" ref="X4:X7" si="7">U4*$X$2</f>
        <v>1.310369288640193</v>
      </c>
      <c r="Y4" s="374">
        <f t="shared" ref="Y4:Y7" si="8">M4*$Y$2</f>
        <v>2.7225436185258665</v>
      </c>
      <c r="Z4" s="354">
        <f t="shared" ref="Z4:Z67" si="9">Y4*$Z$2</f>
        <v>1.4044514231955976</v>
      </c>
      <c r="AA4" s="354">
        <f t="shared" ref="AA4:AA7" si="10">Y4*$AA$2</f>
        <v>1.3180921953302689</v>
      </c>
      <c r="AB4" s="374">
        <f t="shared" ref="AB4:AB7" si="11">M4*$AB$2</f>
        <v>14.874333428942451</v>
      </c>
      <c r="AC4" s="354">
        <f t="shared" ref="AC4:AC67" si="12">AB4*$AC$2</f>
        <v>4.2212254407967018</v>
      </c>
      <c r="AD4" s="354">
        <f t="shared" ref="AD4:AD7" si="13">AB4*$AD$2</f>
        <v>9.1886701130010593</v>
      </c>
      <c r="AE4" s="354">
        <f t="shared" ref="AE4:AE7" si="14">AB4*$AE$2</f>
        <v>1.46443787514469</v>
      </c>
      <c r="AF4" s="374">
        <f t="shared" ref="AF4:AF7" si="15">M4*$AF$2</f>
        <v>11.904661130592549</v>
      </c>
      <c r="AG4" s="354">
        <f t="shared" ref="AG4:AG67" si="16">AF4*$AG$2</f>
        <v>0.76507331187593419</v>
      </c>
      <c r="AH4" s="354">
        <f t="shared" ref="AH4:AH7" si="17">AF4*$AH$2</f>
        <v>3.8493913937082507</v>
      </c>
      <c r="AI4" s="354">
        <f t="shared" ref="AI4:AI7" si="18">AF4*$AI$2</f>
        <v>0</v>
      </c>
      <c r="AJ4" s="354">
        <f t="shared" ref="AJ4:AJ7" si="19">AF4*$AJ$2</f>
        <v>7.2901964250083653</v>
      </c>
      <c r="AK4" s="374">
        <f t="shared" ref="AK4:AK7" si="20">M4*$AK$2</f>
        <v>7.8629458295298136</v>
      </c>
      <c r="AL4" s="354">
        <f t="shared" ref="AL4:AL67" si="21">AK4*$AL$2</f>
        <v>2.2527861744238589</v>
      </c>
      <c r="AM4" s="354">
        <f t="shared" ref="AM4:AM7" si="22">AK4*$AM$2</f>
        <v>5.3133366573766336</v>
      </c>
      <c r="AN4" s="354">
        <f t="shared" ref="AN4:AN7" si="23">AK4*$AN$2</f>
        <v>0.29682299772932191</v>
      </c>
      <c r="AO4" s="374">
        <f t="shared" ref="AO4:AO7" si="24">M4*$AO$2</f>
        <v>4.5592912476622001</v>
      </c>
      <c r="AP4" s="354">
        <f t="shared" ref="AP4:AP67" si="25">AO4*$AP$2</f>
        <v>1.0454934393984927</v>
      </c>
      <c r="AQ4" s="354">
        <f t="shared" ref="AQ4:AQ7" si="26">AO4*$AQ$2</f>
        <v>3.5137978082637074</v>
      </c>
      <c r="AR4" s="374">
        <f t="shared" ref="AR4:AR7" si="27">M4*$AR$2</f>
        <v>8.3174747214005951</v>
      </c>
      <c r="AS4" s="354">
        <f t="shared" ref="AS4:AS67" si="28">AR4*$AS$2</f>
        <v>3.6042441594994572</v>
      </c>
      <c r="AT4" s="354">
        <f t="shared" ref="AT4:AT7" si="29">AR4*$AT$2</f>
        <v>4.7132305619011383</v>
      </c>
      <c r="AU4" s="355" t="s">
        <v>396</v>
      </c>
      <c r="AV4" s="353" t="s">
        <v>404</v>
      </c>
      <c r="AW4" s="355" t="s">
        <v>405</v>
      </c>
      <c r="AX4" s="355">
        <v>0</v>
      </c>
      <c r="AY4" s="350" t="s">
        <v>410</v>
      </c>
      <c r="AZ4" s="351">
        <v>45023</v>
      </c>
      <c r="BA4" s="351">
        <v>45023</v>
      </c>
      <c r="BB4" s="350" t="s">
        <v>407</v>
      </c>
    </row>
    <row r="5" spans="1:54" x14ac:dyDescent="0.25">
      <c r="A5" s="348" t="s">
        <v>417</v>
      </c>
      <c r="B5" s="349">
        <v>4500</v>
      </c>
      <c r="C5" s="350" t="s">
        <v>402</v>
      </c>
      <c r="D5" s="351">
        <v>45014</v>
      </c>
      <c r="E5" s="352">
        <v>3490</v>
      </c>
      <c r="F5" s="352">
        <v>7</v>
      </c>
      <c r="H5" s="350" t="s">
        <v>418</v>
      </c>
      <c r="I5" s="350" t="s">
        <v>393</v>
      </c>
      <c r="J5" s="354">
        <v>80000</v>
      </c>
      <c r="K5" s="350" t="s">
        <v>394</v>
      </c>
      <c r="L5" s="354">
        <v>0</v>
      </c>
      <c r="M5" s="354">
        <v>39.04</v>
      </c>
      <c r="N5" s="354" t="s">
        <v>395</v>
      </c>
      <c r="O5" s="354">
        <v>32.35</v>
      </c>
      <c r="P5" s="374">
        <f t="shared" si="0"/>
        <v>2.4598375844253999</v>
      </c>
      <c r="Q5" s="354">
        <f t="shared" ref="Q5:Q67" si="30">P5*$Q$2</f>
        <v>0.23200020957112485</v>
      </c>
      <c r="R5" s="354">
        <f t="shared" si="1"/>
        <v>0.39108487660612606</v>
      </c>
      <c r="S5" s="354">
        <f t="shared" si="2"/>
        <v>0.3483731714040848</v>
      </c>
      <c r="T5" s="354">
        <f t="shared" si="3"/>
        <v>1.4866414218141695</v>
      </c>
      <c r="U5" s="374">
        <f t="shared" si="4"/>
        <v>9.8723955434537949</v>
      </c>
      <c r="V5" s="354">
        <f t="shared" si="5"/>
        <v>0.2613293801451872</v>
      </c>
      <c r="W5" s="354">
        <f t="shared" si="6"/>
        <v>8.9144864107417074</v>
      </c>
      <c r="X5" s="354">
        <f t="shared" si="7"/>
        <v>0.69657975256689997</v>
      </c>
      <c r="Y5" s="374">
        <f t="shared" si="8"/>
        <v>1.4472780891510053</v>
      </c>
      <c r="Z5" s="354">
        <f t="shared" si="9"/>
        <v>0.74659291341988188</v>
      </c>
      <c r="AA5" s="354">
        <f t="shared" si="10"/>
        <v>0.70068517573112332</v>
      </c>
      <c r="AB5" s="374">
        <f t="shared" si="11"/>
        <v>7.9070530646230024</v>
      </c>
      <c r="AC5" s="354">
        <f t="shared" si="12"/>
        <v>2.2439629794213407</v>
      </c>
      <c r="AD5" s="354">
        <f t="shared" si="13"/>
        <v>4.8846089489591682</v>
      </c>
      <c r="AE5" s="354">
        <f t="shared" si="14"/>
        <v>0.77848113624249315</v>
      </c>
      <c r="AF5" s="374">
        <f t="shared" si="15"/>
        <v>6.3284037382670633</v>
      </c>
      <c r="AG5" s="354">
        <f t="shared" si="16"/>
        <v>0.40670563855714154</v>
      </c>
      <c r="AH5" s="354">
        <f t="shared" si="17"/>
        <v>2.0462995644113575</v>
      </c>
      <c r="AI5" s="354">
        <f t="shared" si="18"/>
        <v>0</v>
      </c>
      <c r="AJ5" s="354">
        <f t="shared" si="19"/>
        <v>3.8753985352985647</v>
      </c>
      <c r="AK5" s="374">
        <f t="shared" si="20"/>
        <v>4.1798666283339312</v>
      </c>
      <c r="AL5" s="354">
        <f t="shared" si="21"/>
        <v>1.1975595349878463</v>
      </c>
      <c r="AM5" s="354">
        <f t="shared" si="22"/>
        <v>2.8245188331152473</v>
      </c>
      <c r="AN5" s="354">
        <f t="shared" si="23"/>
        <v>0.15778826023083778</v>
      </c>
      <c r="AO5" s="374">
        <f t="shared" si="24"/>
        <v>2.423675521633065</v>
      </c>
      <c r="AP5" s="354">
        <f t="shared" si="25"/>
        <v>0.55577429022490676</v>
      </c>
      <c r="AQ5" s="354">
        <f t="shared" si="26"/>
        <v>1.8679012314081582</v>
      </c>
      <c r="AR5" s="374">
        <f t="shared" si="27"/>
        <v>4.4214898301127343</v>
      </c>
      <c r="AS5" s="354">
        <f t="shared" si="28"/>
        <v>1.9159816447012363</v>
      </c>
      <c r="AT5" s="354">
        <f t="shared" si="29"/>
        <v>2.5055081854114984</v>
      </c>
      <c r="AU5" s="355" t="s">
        <v>396</v>
      </c>
      <c r="AV5" s="353" t="s">
        <v>404</v>
      </c>
      <c r="AW5" s="355" t="s">
        <v>405</v>
      </c>
      <c r="AX5" s="355">
        <v>0</v>
      </c>
      <c r="AY5" s="350" t="s">
        <v>410</v>
      </c>
      <c r="AZ5" s="351">
        <v>45023</v>
      </c>
      <c r="BA5" s="351">
        <v>45023</v>
      </c>
      <c r="BB5" s="350" t="s">
        <v>407</v>
      </c>
    </row>
    <row r="6" spans="1:54" x14ac:dyDescent="0.25">
      <c r="A6" s="348" t="s">
        <v>419</v>
      </c>
      <c r="B6" s="349">
        <v>4508</v>
      </c>
      <c r="C6" s="350" t="s">
        <v>402</v>
      </c>
      <c r="D6" s="351">
        <v>45015</v>
      </c>
      <c r="E6" s="352">
        <v>3420</v>
      </c>
      <c r="F6" s="352">
        <v>7</v>
      </c>
      <c r="H6" s="350" t="s">
        <v>420</v>
      </c>
      <c r="I6" s="350" t="s">
        <v>393</v>
      </c>
      <c r="J6" s="354">
        <v>8800</v>
      </c>
      <c r="K6" s="350" t="s">
        <v>394</v>
      </c>
      <c r="L6" s="354">
        <v>0</v>
      </c>
      <c r="M6" s="354">
        <v>4.29</v>
      </c>
      <c r="N6" s="354" t="s">
        <v>395</v>
      </c>
      <c r="O6" s="354">
        <v>3.56</v>
      </c>
      <c r="P6" s="374">
        <f t="shared" si="0"/>
        <v>0.27030489849346739</v>
      </c>
      <c r="Q6" s="354">
        <f t="shared" si="30"/>
        <v>2.5493875488220435E-2</v>
      </c>
      <c r="R6" s="354">
        <f t="shared" si="1"/>
        <v>4.2975259237712116E-2</v>
      </c>
      <c r="S6" s="354">
        <f t="shared" si="2"/>
        <v>3.8281785484721415E-2</v>
      </c>
      <c r="T6" s="354">
        <f t="shared" si="3"/>
        <v>0.16336300459996897</v>
      </c>
      <c r="U6" s="374">
        <f t="shared" si="4"/>
        <v>1.0848508422494052</v>
      </c>
      <c r="V6" s="354">
        <f t="shared" si="5"/>
        <v>2.8716778709601768E-2</v>
      </c>
      <c r="W6" s="354">
        <f t="shared" si="6"/>
        <v>0.97958879872136084</v>
      </c>
      <c r="X6" s="354">
        <f t="shared" si="7"/>
        <v>7.6545264818442649E-2</v>
      </c>
      <c r="Y6" s="374">
        <f t="shared" si="8"/>
        <v>0.15903747444820218</v>
      </c>
      <c r="Z6" s="354">
        <f t="shared" si="9"/>
        <v>8.2041075783076164E-2</v>
      </c>
      <c r="AA6" s="354">
        <f t="shared" si="10"/>
        <v>7.6996398665126004E-2</v>
      </c>
      <c r="AB6" s="374">
        <f t="shared" si="11"/>
        <v>0.86888467334100106</v>
      </c>
      <c r="AC6" s="354">
        <f t="shared" si="12"/>
        <v>0.24658302207268318</v>
      </c>
      <c r="AD6" s="354">
        <f t="shared" si="13"/>
        <v>0.53675646493429385</v>
      </c>
      <c r="AE6" s="354">
        <f t="shared" si="14"/>
        <v>8.554518633402397E-2</v>
      </c>
      <c r="AF6" s="374">
        <f t="shared" si="15"/>
        <v>0.69541116898477717</v>
      </c>
      <c r="AG6" s="354">
        <f t="shared" si="16"/>
        <v>4.4691782515628511E-2</v>
      </c>
      <c r="AH6" s="354">
        <f t="shared" si="17"/>
        <v>0.22486232406057183</v>
      </c>
      <c r="AI6" s="354">
        <f t="shared" si="18"/>
        <v>0</v>
      </c>
      <c r="AJ6" s="354">
        <f t="shared" si="19"/>
        <v>0.4258570624085769</v>
      </c>
      <c r="AK6" s="374">
        <f t="shared" si="20"/>
        <v>0.45931423759099815</v>
      </c>
      <c r="AL6" s="354">
        <f t="shared" si="21"/>
        <v>0.13159657799943295</v>
      </c>
      <c r="AM6" s="354">
        <f t="shared" si="22"/>
        <v>0.31037873447910891</v>
      </c>
      <c r="AN6" s="354">
        <f t="shared" si="23"/>
        <v>1.7338925112456306E-2</v>
      </c>
      <c r="AO6" s="374">
        <f t="shared" si="24"/>
        <v>0.26633114722863344</v>
      </c>
      <c r="AP6" s="354">
        <f t="shared" si="25"/>
        <v>6.1072533428915221E-2</v>
      </c>
      <c r="AQ6" s="354">
        <f t="shared" si="26"/>
        <v>0.20525861379971821</v>
      </c>
      <c r="AR6" s="374">
        <f t="shared" si="27"/>
        <v>0.48586555766351519</v>
      </c>
      <c r="AS6" s="354">
        <f t="shared" si="28"/>
        <v>0.21054204036291765</v>
      </c>
      <c r="AT6" s="354">
        <f t="shared" si="29"/>
        <v>0.27532351730059756</v>
      </c>
      <c r="AU6" s="355" t="s">
        <v>396</v>
      </c>
      <c r="AV6" s="353" t="s">
        <v>404</v>
      </c>
      <c r="AW6" s="355" t="s">
        <v>405</v>
      </c>
      <c r="AX6" s="355">
        <v>0</v>
      </c>
      <c r="AY6" s="350" t="s">
        <v>410</v>
      </c>
      <c r="AZ6" s="351">
        <v>45023</v>
      </c>
      <c r="BA6" s="351">
        <v>45023</v>
      </c>
      <c r="BB6" s="350" t="s">
        <v>407</v>
      </c>
    </row>
    <row r="7" spans="1:54" x14ac:dyDescent="0.25">
      <c r="A7" s="348" t="s">
        <v>419</v>
      </c>
      <c r="B7" s="349">
        <v>4508</v>
      </c>
      <c r="C7" s="350" t="s">
        <v>402</v>
      </c>
      <c r="D7" s="351">
        <v>45015</v>
      </c>
      <c r="E7" s="352">
        <v>3420</v>
      </c>
      <c r="F7" s="352">
        <v>7</v>
      </c>
      <c r="H7" s="350" t="s">
        <v>421</v>
      </c>
      <c r="I7" s="350" t="s">
        <v>393</v>
      </c>
      <c r="J7" s="354">
        <v>14500</v>
      </c>
      <c r="K7" s="350" t="s">
        <v>394</v>
      </c>
      <c r="L7" s="354">
        <v>0</v>
      </c>
      <c r="M7" s="354">
        <v>7.08</v>
      </c>
      <c r="N7" s="354" t="s">
        <v>395</v>
      </c>
      <c r="O7" s="354">
        <v>5.86</v>
      </c>
      <c r="P7" s="374">
        <f t="shared" si="0"/>
        <v>0.44609759471649163</v>
      </c>
      <c r="Q7" s="354">
        <f t="shared" si="30"/>
        <v>4.2073808498042119E-2</v>
      </c>
      <c r="R7" s="354">
        <f t="shared" si="1"/>
        <v>7.0924204056643778E-2</v>
      </c>
      <c r="S7" s="354">
        <f t="shared" si="2"/>
        <v>6.3178331289470313E-2</v>
      </c>
      <c r="T7" s="354">
        <f t="shared" si="3"/>
        <v>0.26960607752162707</v>
      </c>
      <c r="U7" s="374">
        <f t="shared" si="4"/>
        <v>1.7903832081878297</v>
      </c>
      <c r="V7" s="354">
        <f t="shared" si="5"/>
        <v>4.7392725702559563E-2</v>
      </c>
      <c r="W7" s="354">
        <f t="shared" si="6"/>
        <v>1.6166640314562319</v>
      </c>
      <c r="X7" s="354">
        <f t="shared" si="7"/>
        <v>0.12632645102903822</v>
      </c>
      <c r="Y7" s="374">
        <f t="shared" si="8"/>
        <v>0.26246744034808189</v>
      </c>
      <c r="Z7" s="354">
        <f t="shared" si="9"/>
        <v>0.1353964607329089</v>
      </c>
      <c r="AA7" s="354">
        <f t="shared" si="10"/>
        <v>0.12707097961517297</v>
      </c>
      <c r="AB7" s="374">
        <f t="shared" si="11"/>
        <v>1.4339635168424913</v>
      </c>
      <c r="AC7" s="354">
        <f t="shared" si="12"/>
        <v>0.40694820425981282</v>
      </c>
      <c r="AD7" s="354">
        <f t="shared" si="13"/>
        <v>0.88583584422722639</v>
      </c>
      <c r="AE7" s="354">
        <f t="shared" si="14"/>
        <v>0.14117946835545217</v>
      </c>
      <c r="AF7" s="374">
        <f t="shared" si="15"/>
        <v>1.1476715795832686</v>
      </c>
      <c r="AG7" s="354">
        <f t="shared" si="16"/>
        <v>7.3757067648170124E-2</v>
      </c>
      <c r="AH7" s="354">
        <f t="shared" si="17"/>
        <v>0.37110145789017446</v>
      </c>
      <c r="AI7" s="354">
        <f t="shared" si="18"/>
        <v>0</v>
      </c>
      <c r="AJ7" s="354">
        <f t="shared" si="19"/>
        <v>0.70281305404492411</v>
      </c>
      <c r="AK7" s="374">
        <f t="shared" si="20"/>
        <v>0.75802909140891994</v>
      </c>
      <c r="AL7" s="354">
        <f t="shared" si="21"/>
        <v>0.21718036648857461</v>
      </c>
      <c r="AM7" s="354">
        <f t="shared" si="22"/>
        <v>0.5122334359235643</v>
      </c>
      <c r="AN7" s="354">
        <f t="shared" si="23"/>
        <v>2.8615288996781032E-2</v>
      </c>
      <c r="AO7" s="374">
        <f t="shared" si="24"/>
        <v>0.43953951570599642</v>
      </c>
      <c r="AP7" s="354">
        <f t="shared" si="25"/>
        <v>0.10079103419037756</v>
      </c>
      <c r="AQ7" s="354">
        <f t="shared" si="26"/>
        <v>0.33874848151561887</v>
      </c>
      <c r="AR7" s="374">
        <f t="shared" si="27"/>
        <v>0.80184805320692021</v>
      </c>
      <c r="AS7" s="354">
        <f t="shared" si="28"/>
        <v>0.34746798269684315</v>
      </c>
      <c r="AT7" s="354">
        <f t="shared" si="29"/>
        <v>0.45438007051007712</v>
      </c>
      <c r="AU7" s="355" t="s">
        <v>396</v>
      </c>
      <c r="AV7" s="353" t="s">
        <v>404</v>
      </c>
      <c r="AW7" s="355" t="s">
        <v>405</v>
      </c>
      <c r="AX7" s="355">
        <v>0</v>
      </c>
      <c r="AY7" s="350" t="s">
        <v>410</v>
      </c>
      <c r="AZ7" s="351">
        <v>45023</v>
      </c>
      <c r="BA7" s="351">
        <v>45023</v>
      </c>
      <c r="BB7" s="350" t="s">
        <v>407</v>
      </c>
    </row>
    <row r="8" spans="1:54" x14ac:dyDescent="0.25">
      <c r="A8" s="348" t="s">
        <v>422</v>
      </c>
      <c r="B8" s="349">
        <v>4605</v>
      </c>
      <c r="C8" s="350" t="s">
        <v>402</v>
      </c>
      <c r="D8" s="351">
        <v>44980</v>
      </c>
      <c r="E8" s="352">
        <v>3420</v>
      </c>
      <c r="F8" s="352">
        <v>7</v>
      </c>
      <c r="H8" s="350" t="s">
        <v>423</v>
      </c>
      <c r="I8" s="350" t="s">
        <v>393</v>
      </c>
      <c r="J8" s="354">
        <v>250000</v>
      </c>
      <c r="K8" s="350" t="s">
        <v>394</v>
      </c>
      <c r="L8" s="354">
        <v>0</v>
      </c>
      <c r="M8" s="354">
        <v>121.99</v>
      </c>
      <c r="N8" s="354" t="s">
        <v>395</v>
      </c>
      <c r="O8" s="354">
        <v>101.09</v>
      </c>
      <c r="P8" s="374">
        <f t="shared" si="0"/>
        <v>7.6863623699809054</v>
      </c>
      <c r="Q8" s="354">
        <f t="shared" si="30"/>
        <v>0.72494122862657595</v>
      </c>
      <c r="R8" s="354">
        <f t="shared" ref="R8:R71" si="31">P8*$R$2</f>
        <v>1.2220400639646856</v>
      </c>
      <c r="S8" s="354">
        <f t="shared" ref="S8:S71" si="32">P8*$S$2</f>
        <v>1.0885769257065654</v>
      </c>
      <c r="T8" s="354">
        <f t="shared" ref="T8:T71" si="33">P8*$T$2</f>
        <v>4.6453736436247581</v>
      </c>
      <c r="U8" s="374">
        <f t="shared" ref="U8:U71" si="34">M8*$U$2</f>
        <v>30.848707283451034</v>
      </c>
      <c r="V8" s="354">
        <f t="shared" si="5"/>
        <v>0.81658737407559889</v>
      </c>
      <c r="W8" s="354">
        <f t="shared" ref="W8:W71" si="35">U8*$W$2</f>
        <v>27.855486609794593</v>
      </c>
      <c r="X8" s="354">
        <f t="shared" ref="X8:X71" si="36">U8*$X$2</f>
        <v>2.1766332995808431</v>
      </c>
      <c r="Y8" s="374">
        <f t="shared" ref="Y8:Y71" si="37">M8*$Y$2</f>
        <v>4.5223733118732357</v>
      </c>
      <c r="Z8" s="354">
        <f t="shared" si="9"/>
        <v>2.3329116164982424</v>
      </c>
      <c r="AA8" s="354">
        <f t="shared" ref="AA8:AA71" si="38">Y8*$AA$2</f>
        <v>2.1894616953749928</v>
      </c>
      <c r="AB8" s="374">
        <f t="shared" ref="AB8:AB71" si="39">M8*$AB$2</f>
        <v>24.707515454747952</v>
      </c>
      <c r="AC8" s="354">
        <f t="shared" si="12"/>
        <v>7.0118095250924526</v>
      </c>
      <c r="AD8" s="354">
        <f t="shared" ref="AD8:AD71" si="40">AB8*$AD$2</f>
        <v>15.263151784926459</v>
      </c>
      <c r="AE8" s="354">
        <f t="shared" ref="AE8:AE71" si="41">AB8*$AE$2</f>
        <v>2.4325541447290404</v>
      </c>
      <c r="AF8" s="374">
        <f t="shared" ref="AF8:AF71" si="42">M8*$AF$2</f>
        <v>19.774640677028664</v>
      </c>
      <c r="AG8" s="354">
        <f t="shared" si="16"/>
        <v>1.2708509438418467</v>
      </c>
      <c r="AH8" s="354">
        <f t="shared" ref="AH8:AH71" si="43">AF8*$AH$2</f>
        <v>6.3941619841839525</v>
      </c>
      <c r="AI8" s="354">
        <f t="shared" ref="AI8:AI71" si="44">AF8*$AI$2</f>
        <v>0</v>
      </c>
      <c r="AJ8" s="354">
        <f t="shared" ref="AJ8:AJ71" si="45">AF8*$AJ$2</f>
        <v>12.109627749002867</v>
      </c>
      <c r="AK8" s="374">
        <f t="shared" ref="AK8:AK71" si="46">M8*$AK$2</f>
        <v>13.061012550985049</v>
      </c>
      <c r="AL8" s="354">
        <f t="shared" si="21"/>
        <v>3.7420667949069517</v>
      </c>
      <c r="AM8" s="354">
        <f t="shared" ref="AM8:AM71" si="47">AK8*$AM$2</f>
        <v>8.8258978599315849</v>
      </c>
      <c r="AN8" s="354">
        <f t="shared" ref="AN8:AN71" si="48">AK8*$AN$2</f>
        <v>0.4930478961465139</v>
      </c>
      <c r="AO8" s="374">
        <f t="shared" ref="AO8:AO71" si="49">M8*$AO$2</f>
        <v>7.5733651865783198</v>
      </c>
      <c r="AP8" s="354">
        <f t="shared" si="25"/>
        <v>1.7366522967350506</v>
      </c>
      <c r="AQ8" s="354">
        <f t="shared" ref="AQ8:AQ71" si="50">AO8*$AQ$2</f>
        <v>5.8367128898432696</v>
      </c>
      <c r="AR8" s="374">
        <f t="shared" ref="AR8:AR71" si="51">M8*$AR$2</f>
        <v>13.816023165354828</v>
      </c>
      <c r="AS8" s="354">
        <f t="shared" si="28"/>
        <v>5.986951865704504</v>
      </c>
      <c r="AT8" s="354">
        <f t="shared" ref="AT8:AT71" si="52">AR8*$AT$2</f>
        <v>7.8290712996503249</v>
      </c>
      <c r="AU8" s="355" t="s">
        <v>396</v>
      </c>
      <c r="AV8" s="353" t="s">
        <v>404</v>
      </c>
      <c r="AW8" s="355" t="s">
        <v>405</v>
      </c>
      <c r="AX8" s="355">
        <v>0</v>
      </c>
      <c r="AY8" s="350" t="s">
        <v>406</v>
      </c>
      <c r="AZ8" s="351">
        <v>45026</v>
      </c>
      <c r="BA8" s="351">
        <v>45026</v>
      </c>
      <c r="BB8" s="350" t="s">
        <v>407</v>
      </c>
    </row>
    <row r="9" spans="1:54" x14ac:dyDescent="0.25">
      <c r="A9" s="348" t="s">
        <v>424</v>
      </c>
      <c r="B9" s="349">
        <v>4568</v>
      </c>
      <c r="C9" s="350" t="s">
        <v>402</v>
      </c>
      <c r="D9" s="351">
        <v>45013</v>
      </c>
      <c r="E9" s="352">
        <v>3451</v>
      </c>
      <c r="F9" s="352">
        <v>3</v>
      </c>
      <c r="H9" s="350" t="s">
        <v>425</v>
      </c>
      <c r="I9" s="350" t="s">
        <v>393</v>
      </c>
      <c r="J9" s="354">
        <v>250000</v>
      </c>
      <c r="K9" s="350" t="s">
        <v>394</v>
      </c>
      <c r="L9" s="354">
        <v>0</v>
      </c>
      <c r="M9" s="354">
        <v>121.99</v>
      </c>
      <c r="N9" s="354" t="s">
        <v>395</v>
      </c>
      <c r="O9" s="354">
        <v>101.09</v>
      </c>
      <c r="P9" s="374">
        <f t="shared" si="0"/>
        <v>7.6863623699809054</v>
      </c>
      <c r="Q9" s="354">
        <f t="shared" si="30"/>
        <v>0.72494122862657595</v>
      </c>
      <c r="R9" s="354">
        <f t="shared" si="31"/>
        <v>1.2220400639646856</v>
      </c>
      <c r="S9" s="354">
        <f t="shared" si="32"/>
        <v>1.0885769257065654</v>
      </c>
      <c r="T9" s="354">
        <f t="shared" si="33"/>
        <v>4.6453736436247581</v>
      </c>
      <c r="U9" s="374">
        <f t="shared" si="34"/>
        <v>30.848707283451034</v>
      </c>
      <c r="V9" s="354">
        <f t="shared" si="5"/>
        <v>0.81658737407559889</v>
      </c>
      <c r="W9" s="354">
        <f t="shared" si="35"/>
        <v>27.855486609794593</v>
      </c>
      <c r="X9" s="354">
        <f t="shared" si="36"/>
        <v>2.1766332995808431</v>
      </c>
      <c r="Y9" s="374">
        <f t="shared" si="37"/>
        <v>4.5223733118732357</v>
      </c>
      <c r="Z9" s="354">
        <f t="shared" si="9"/>
        <v>2.3329116164982424</v>
      </c>
      <c r="AA9" s="354">
        <f t="shared" si="38"/>
        <v>2.1894616953749928</v>
      </c>
      <c r="AB9" s="374">
        <f t="shared" si="39"/>
        <v>24.707515454747952</v>
      </c>
      <c r="AC9" s="354">
        <f t="shared" si="12"/>
        <v>7.0118095250924526</v>
      </c>
      <c r="AD9" s="354">
        <f t="shared" si="40"/>
        <v>15.263151784926459</v>
      </c>
      <c r="AE9" s="354">
        <f t="shared" si="41"/>
        <v>2.4325541447290404</v>
      </c>
      <c r="AF9" s="374">
        <f t="shared" si="42"/>
        <v>19.774640677028664</v>
      </c>
      <c r="AG9" s="354">
        <f t="shared" si="16"/>
        <v>1.2708509438418467</v>
      </c>
      <c r="AH9" s="354">
        <f t="shared" si="43"/>
        <v>6.3941619841839525</v>
      </c>
      <c r="AI9" s="354">
        <f t="shared" si="44"/>
        <v>0</v>
      </c>
      <c r="AJ9" s="354">
        <f t="shared" si="45"/>
        <v>12.109627749002867</v>
      </c>
      <c r="AK9" s="374">
        <f t="shared" si="46"/>
        <v>13.061012550985049</v>
      </c>
      <c r="AL9" s="354">
        <f t="shared" si="21"/>
        <v>3.7420667949069517</v>
      </c>
      <c r="AM9" s="354">
        <f t="shared" si="47"/>
        <v>8.8258978599315849</v>
      </c>
      <c r="AN9" s="354">
        <f t="shared" si="48"/>
        <v>0.4930478961465139</v>
      </c>
      <c r="AO9" s="374">
        <f t="shared" si="49"/>
        <v>7.5733651865783198</v>
      </c>
      <c r="AP9" s="354">
        <f t="shared" si="25"/>
        <v>1.7366522967350506</v>
      </c>
      <c r="AQ9" s="354">
        <f t="shared" si="50"/>
        <v>5.8367128898432696</v>
      </c>
      <c r="AR9" s="374">
        <f t="shared" si="51"/>
        <v>13.816023165354828</v>
      </c>
      <c r="AS9" s="354">
        <f t="shared" si="28"/>
        <v>5.986951865704504</v>
      </c>
      <c r="AT9" s="354">
        <f t="shared" si="52"/>
        <v>7.8290712996503249</v>
      </c>
      <c r="AU9" s="355" t="s">
        <v>396</v>
      </c>
      <c r="AV9" s="353" t="s">
        <v>404</v>
      </c>
      <c r="AW9" s="355" t="s">
        <v>405</v>
      </c>
      <c r="AX9" s="355">
        <v>0</v>
      </c>
      <c r="AY9" s="350" t="s">
        <v>410</v>
      </c>
      <c r="AZ9" s="351">
        <v>45026</v>
      </c>
      <c r="BA9" s="351">
        <v>45026</v>
      </c>
      <c r="BB9" s="350" t="s">
        <v>407</v>
      </c>
    </row>
    <row r="10" spans="1:54" x14ac:dyDescent="0.25">
      <c r="A10" s="348" t="s">
        <v>426</v>
      </c>
      <c r="B10" s="349">
        <v>4556</v>
      </c>
      <c r="C10" s="350" t="s">
        <v>402</v>
      </c>
      <c r="D10" s="351">
        <v>45015</v>
      </c>
      <c r="E10" s="352">
        <v>3170</v>
      </c>
      <c r="F10" s="352">
        <v>1</v>
      </c>
      <c r="H10" s="350" t="s">
        <v>427</v>
      </c>
      <c r="I10" s="350" t="s">
        <v>393</v>
      </c>
      <c r="J10" s="354">
        <v>77872</v>
      </c>
      <c r="K10" s="350" t="s">
        <v>394</v>
      </c>
      <c r="L10" s="354">
        <v>0</v>
      </c>
      <c r="M10" s="354">
        <v>38</v>
      </c>
      <c r="N10" s="354" t="s">
        <v>395</v>
      </c>
      <c r="O10" s="354">
        <v>31.49</v>
      </c>
      <c r="P10" s="374">
        <f t="shared" si="0"/>
        <v>2.3943091241845593</v>
      </c>
      <c r="Q10" s="354">
        <f t="shared" si="30"/>
        <v>0.22581987611943508</v>
      </c>
      <c r="R10" s="354">
        <f t="shared" si="31"/>
        <v>0.38066663194243827</v>
      </c>
      <c r="S10" s="354">
        <f t="shared" si="32"/>
        <v>0.33909273855930389</v>
      </c>
      <c r="T10" s="354">
        <f t="shared" si="33"/>
        <v>1.4470382691838739</v>
      </c>
      <c r="U10" s="374">
        <f t="shared" si="34"/>
        <v>9.6094013998781822</v>
      </c>
      <c r="V10" s="354">
        <f t="shared" si="5"/>
        <v>0.25436773682164737</v>
      </c>
      <c r="W10" s="354">
        <f t="shared" si="35"/>
        <v>8.6770103383244095</v>
      </c>
      <c r="X10" s="354">
        <f t="shared" si="36"/>
        <v>0.67802332473212601</v>
      </c>
      <c r="Y10" s="374">
        <f t="shared" si="37"/>
        <v>1.408723549890835</v>
      </c>
      <c r="Z10" s="354">
        <f t="shared" si="9"/>
        <v>0.72670416777549984</v>
      </c>
      <c r="AA10" s="354">
        <f t="shared" si="38"/>
        <v>0.68201938211533519</v>
      </c>
      <c r="AB10" s="374">
        <f t="shared" si="39"/>
        <v>7.6964143559342748</v>
      </c>
      <c r="AC10" s="354">
        <f t="shared" si="12"/>
        <v>2.1841852771006902</v>
      </c>
      <c r="AD10" s="354">
        <f t="shared" si="40"/>
        <v>4.754486169581158</v>
      </c>
      <c r="AE10" s="354">
        <f t="shared" si="41"/>
        <v>0.75774290925242671</v>
      </c>
      <c r="AF10" s="374">
        <f t="shared" si="42"/>
        <v>6.1598192124525717</v>
      </c>
      <c r="AG10" s="354">
        <f t="shared" si="16"/>
        <v>0.39587126703820125</v>
      </c>
      <c r="AH10" s="354">
        <f t="shared" si="43"/>
        <v>1.991787485851219</v>
      </c>
      <c r="AI10" s="354">
        <f t="shared" si="44"/>
        <v>0</v>
      </c>
      <c r="AJ10" s="354">
        <f t="shared" si="45"/>
        <v>3.7721604595631519</v>
      </c>
      <c r="AK10" s="374">
        <f t="shared" si="46"/>
        <v>4.0685177222512658</v>
      </c>
      <c r="AL10" s="354">
        <f t="shared" si="21"/>
        <v>1.1656573342607113</v>
      </c>
      <c r="AM10" s="354">
        <f t="shared" si="47"/>
        <v>2.7492755035445549</v>
      </c>
      <c r="AN10" s="354">
        <f t="shared" si="48"/>
        <v>0.15358488444599991</v>
      </c>
      <c r="AO10" s="374">
        <f t="shared" si="49"/>
        <v>2.3591103950321841</v>
      </c>
      <c r="AP10" s="354">
        <f t="shared" si="25"/>
        <v>0.54096882757547282</v>
      </c>
      <c r="AQ10" s="354">
        <f t="shared" si="50"/>
        <v>1.8181415674567114</v>
      </c>
      <c r="AR10" s="374">
        <f t="shared" si="51"/>
        <v>4.303704240376125</v>
      </c>
      <c r="AS10" s="354">
        <f t="shared" si="28"/>
        <v>1.8649411500678019</v>
      </c>
      <c r="AT10" s="354">
        <f t="shared" si="52"/>
        <v>2.4387630903083233</v>
      </c>
      <c r="AU10" s="355" t="s">
        <v>396</v>
      </c>
      <c r="AV10" s="353" t="s">
        <v>404</v>
      </c>
      <c r="AW10" s="355" t="s">
        <v>405</v>
      </c>
      <c r="AX10" s="355">
        <v>0</v>
      </c>
      <c r="AY10" s="350" t="s">
        <v>406</v>
      </c>
      <c r="AZ10" s="351">
        <v>45026</v>
      </c>
      <c r="BA10" s="351">
        <v>45026</v>
      </c>
      <c r="BB10" s="350" t="s">
        <v>407</v>
      </c>
    </row>
    <row r="11" spans="1:54" x14ac:dyDescent="0.25">
      <c r="A11" s="348" t="s">
        <v>428</v>
      </c>
      <c r="B11" s="349">
        <v>4559</v>
      </c>
      <c r="C11" s="350" t="s">
        <v>402</v>
      </c>
      <c r="D11" s="351">
        <v>45006</v>
      </c>
      <c r="E11" s="352">
        <v>3170</v>
      </c>
      <c r="F11" s="352">
        <v>1</v>
      </c>
      <c r="H11" s="350" t="s">
        <v>429</v>
      </c>
      <c r="I11" s="350" t="s">
        <v>393</v>
      </c>
      <c r="J11" s="354">
        <v>28215</v>
      </c>
      <c r="K11" s="350" t="s">
        <v>394</v>
      </c>
      <c r="L11" s="354">
        <v>0</v>
      </c>
      <c r="M11" s="354">
        <v>13.77</v>
      </c>
      <c r="N11" s="354" t="s">
        <v>395</v>
      </c>
      <c r="O11" s="354">
        <v>11.41</v>
      </c>
      <c r="P11" s="374">
        <f t="shared" si="0"/>
        <v>0.86762201684266793</v>
      </c>
      <c r="Q11" s="354">
        <f t="shared" si="30"/>
        <v>8.1829991951700543E-2</v>
      </c>
      <c r="R11" s="354">
        <f t="shared" si="31"/>
        <v>0.13794156636440461</v>
      </c>
      <c r="S11" s="354">
        <f t="shared" si="32"/>
        <v>0.12287650026214775</v>
      </c>
      <c r="T11" s="354">
        <f t="shared" si="33"/>
        <v>0.52436097280689331</v>
      </c>
      <c r="U11" s="374">
        <f t="shared" si="34"/>
        <v>3.4821436125348044</v>
      </c>
      <c r="V11" s="354">
        <f t="shared" si="5"/>
        <v>9.2174835158791699E-2</v>
      </c>
      <c r="W11" s="354">
        <f t="shared" si="35"/>
        <v>3.1442745357559767</v>
      </c>
      <c r="X11" s="354">
        <f t="shared" si="36"/>
        <v>0.2456942416200362</v>
      </c>
      <c r="Y11" s="374">
        <f t="shared" si="37"/>
        <v>0.51047692847359993</v>
      </c>
      <c r="Z11" s="354">
        <f t="shared" si="9"/>
        <v>0.26333464184917449</v>
      </c>
      <c r="AA11" s="354">
        <f t="shared" si="38"/>
        <v>0.24714228662442539</v>
      </c>
      <c r="AB11" s="374">
        <f t="shared" si="39"/>
        <v>2.7889375179267097</v>
      </c>
      <c r="AC11" s="354">
        <f t="shared" si="12"/>
        <v>0.79147977014938176</v>
      </c>
      <c r="AD11" s="354">
        <f t="shared" si="40"/>
        <v>1.7228756461876986</v>
      </c>
      <c r="AE11" s="354">
        <f t="shared" si="41"/>
        <v>0.27458210158962942</v>
      </c>
      <c r="AF11" s="374">
        <f t="shared" si="42"/>
        <v>2.2321239619861029</v>
      </c>
      <c r="AG11" s="354">
        <f t="shared" si="16"/>
        <v>0.14345124597673767</v>
      </c>
      <c r="AH11" s="354">
        <f t="shared" si="43"/>
        <v>0.72176088632029689</v>
      </c>
      <c r="AI11" s="354">
        <f t="shared" si="44"/>
        <v>0</v>
      </c>
      <c r="AJ11" s="354">
        <f t="shared" si="45"/>
        <v>1.3669118296890683</v>
      </c>
      <c r="AK11" s="374">
        <f t="shared" si="46"/>
        <v>1.47430234303684</v>
      </c>
      <c r="AL11" s="354">
        <f t="shared" si="21"/>
        <v>0.42239740770447348</v>
      </c>
      <c r="AM11" s="354">
        <f t="shared" si="47"/>
        <v>0.99625062325811875</v>
      </c>
      <c r="AN11" s="354">
        <f t="shared" si="48"/>
        <v>5.5654312074247855E-2</v>
      </c>
      <c r="AO11" s="374">
        <f t="shared" si="49"/>
        <v>0.85486710893666251</v>
      </c>
      <c r="AP11" s="354">
        <f t="shared" si="25"/>
        <v>0.19603001988721738</v>
      </c>
      <c r="AQ11" s="354">
        <f t="shared" si="50"/>
        <v>0.65883708904944516</v>
      </c>
      <c r="AR11" s="374">
        <f t="shared" si="51"/>
        <v>1.5595265102626117</v>
      </c>
      <c r="AS11" s="354">
        <f t="shared" si="28"/>
        <v>0.67579577990614825</v>
      </c>
      <c r="AT11" s="354">
        <f t="shared" si="52"/>
        <v>0.88373073035646355</v>
      </c>
      <c r="AU11" s="355" t="s">
        <v>396</v>
      </c>
      <c r="AV11" s="353" t="s">
        <v>404</v>
      </c>
      <c r="AW11" s="355" t="s">
        <v>405</v>
      </c>
      <c r="AX11" s="355">
        <v>0</v>
      </c>
      <c r="AY11" s="350" t="s">
        <v>406</v>
      </c>
      <c r="AZ11" s="351">
        <v>45026</v>
      </c>
      <c r="BA11" s="351">
        <v>45026</v>
      </c>
      <c r="BB11" s="350" t="s">
        <v>407</v>
      </c>
    </row>
    <row r="12" spans="1:54" x14ac:dyDescent="0.25">
      <c r="A12" s="348" t="s">
        <v>430</v>
      </c>
      <c r="B12" s="349">
        <v>4524</v>
      </c>
      <c r="C12" s="350" t="s">
        <v>402</v>
      </c>
      <c r="D12" s="351">
        <v>45002</v>
      </c>
      <c r="E12" s="352">
        <v>3170</v>
      </c>
      <c r="F12" s="352">
        <v>1</v>
      </c>
      <c r="H12" s="350" t="s">
        <v>431</v>
      </c>
      <c r="I12" s="350" t="s">
        <v>393</v>
      </c>
      <c r="J12" s="354">
        <v>306500</v>
      </c>
      <c r="K12" s="350" t="s">
        <v>394</v>
      </c>
      <c r="L12" s="354">
        <v>0</v>
      </c>
      <c r="M12" s="354">
        <v>149.56</v>
      </c>
      <c r="N12" s="354" t="s">
        <v>395</v>
      </c>
      <c r="O12" s="354">
        <v>123.93</v>
      </c>
      <c r="P12" s="374">
        <f t="shared" si="0"/>
        <v>9.4234966477116497</v>
      </c>
      <c r="Q12" s="354">
        <f t="shared" si="30"/>
        <v>0.88877949137954493</v>
      </c>
      <c r="R12" s="354">
        <f t="shared" si="31"/>
        <v>1.4982237229818702</v>
      </c>
      <c r="S12" s="354">
        <f t="shared" si="32"/>
        <v>1.3345976310244603</v>
      </c>
      <c r="T12" s="354">
        <f t="shared" si="33"/>
        <v>5.69523798787211</v>
      </c>
      <c r="U12" s="374">
        <f t="shared" si="34"/>
        <v>37.820580878046869</v>
      </c>
      <c r="V12" s="354">
        <f t="shared" si="5"/>
        <v>1.0011378610275155</v>
      </c>
      <c r="W12" s="354">
        <f t="shared" si="35"/>
        <v>34.150885952626282</v>
      </c>
      <c r="X12" s="354">
        <f t="shared" si="36"/>
        <v>2.6685570643930729</v>
      </c>
      <c r="Y12" s="374">
        <f t="shared" si="37"/>
        <v>5.5444393189914027</v>
      </c>
      <c r="Z12" s="354">
        <f t="shared" si="9"/>
        <v>2.8601546140132568</v>
      </c>
      <c r="AA12" s="354">
        <f t="shared" si="38"/>
        <v>2.6842847049781455</v>
      </c>
      <c r="AB12" s="374">
        <f t="shared" si="39"/>
        <v>30.291466607198164</v>
      </c>
      <c r="AC12" s="354">
        <f t="shared" si="12"/>
        <v>8.596493422188928</v>
      </c>
      <c r="AD12" s="354">
        <f t="shared" si="40"/>
        <v>18.712656619014684</v>
      </c>
      <c r="AE12" s="354">
        <f t="shared" si="41"/>
        <v>2.9823165659945516</v>
      </c>
      <c r="AF12" s="374">
        <f t="shared" si="42"/>
        <v>24.243751616168595</v>
      </c>
      <c r="AG12" s="354">
        <f t="shared" si="16"/>
        <v>1.5580659657429836</v>
      </c>
      <c r="AH12" s="354">
        <f t="shared" si="43"/>
        <v>7.8392562206291654</v>
      </c>
      <c r="AI12" s="354">
        <f t="shared" si="44"/>
        <v>0</v>
      </c>
      <c r="AJ12" s="354">
        <f t="shared" si="45"/>
        <v>14.846429429796448</v>
      </c>
      <c r="AK12" s="374">
        <f t="shared" si="46"/>
        <v>16.01282922473419</v>
      </c>
      <c r="AL12" s="354">
        <f t="shared" si="21"/>
        <v>4.5877818661061047</v>
      </c>
      <c r="AM12" s="354">
        <f t="shared" si="47"/>
        <v>10.820569587108514</v>
      </c>
      <c r="AN12" s="354">
        <f t="shared" si="48"/>
        <v>0.60447777151957216</v>
      </c>
      <c r="AO12" s="374">
        <f t="shared" si="49"/>
        <v>9.2849618600266712</v>
      </c>
      <c r="AP12" s="354">
        <f t="shared" si="25"/>
        <v>2.1291394171628348</v>
      </c>
      <c r="AQ12" s="354">
        <f t="shared" si="50"/>
        <v>7.1558224428638368</v>
      </c>
      <c r="AR12" s="374">
        <f t="shared" si="51"/>
        <v>16.938473847122456</v>
      </c>
      <c r="AS12" s="354">
        <f t="shared" si="28"/>
        <v>7.3400157474773815</v>
      </c>
      <c r="AT12" s="354">
        <f t="shared" si="52"/>
        <v>9.5984580996450752</v>
      </c>
      <c r="AU12" s="355" t="s">
        <v>396</v>
      </c>
      <c r="AV12" s="353" t="s">
        <v>404</v>
      </c>
      <c r="AW12" s="355" t="s">
        <v>405</v>
      </c>
      <c r="AX12" s="355">
        <v>0</v>
      </c>
      <c r="AY12" s="350" t="s">
        <v>406</v>
      </c>
      <c r="AZ12" s="351">
        <v>45023</v>
      </c>
      <c r="BA12" s="351">
        <v>45026</v>
      </c>
      <c r="BB12" s="350" t="s">
        <v>407</v>
      </c>
    </row>
    <row r="13" spans="1:54" x14ac:dyDescent="0.25">
      <c r="A13" s="348" t="s">
        <v>432</v>
      </c>
      <c r="B13" s="349">
        <v>4554</v>
      </c>
      <c r="C13" s="350" t="s">
        <v>402</v>
      </c>
      <c r="D13" s="351">
        <v>45002</v>
      </c>
      <c r="E13" s="352">
        <v>3170</v>
      </c>
      <c r="F13" s="352">
        <v>1</v>
      </c>
      <c r="H13" s="350" t="s">
        <v>433</v>
      </c>
      <c r="I13" s="350" t="s">
        <v>393</v>
      </c>
      <c r="J13" s="354">
        <v>153960</v>
      </c>
      <c r="K13" s="350" t="s">
        <v>394</v>
      </c>
      <c r="L13" s="354">
        <v>0</v>
      </c>
      <c r="M13" s="354">
        <v>75.13</v>
      </c>
      <c r="N13" s="354" t="s">
        <v>395</v>
      </c>
      <c r="O13" s="354">
        <v>62.25</v>
      </c>
      <c r="P13" s="374">
        <f t="shared" si="0"/>
        <v>4.7338011710522618</v>
      </c>
      <c r="Q13" s="354">
        <f t="shared" si="30"/>
        <v>0.44646966560139889</v>
      </c>
      <c r="R13" s="354">
        <f t="shared" si="31"/>
        <v>0.75261800152198388</v>
      </c>
      <c r="S13" s="354">
        <f t="shared" si="32"/>
        <v>0.67042203810422374</v>
      </c>
      <c r="T13" s="354">
        <f t="shared" si="33"/>
        <v>2.860946977994328</v>
      </c>
      <c r="U13" s="374">
        <f t="shared" si="34"/>
        <v>18.998798083495995</v>
      </c>
      <c r="V13" s="354">
        <f t="shared" si="5"/>
        <v>0.50291179124764118</v>
      </c>
      <c r="W13" s="354">
        <f t="shared" si="35"/>
        <v>17.155362808376655</v>
      </c>
      <c r="X13" s="354">
        <f t="shared" si="36"/>
        <v>1.3405234838717006</v>
      </c>
      <c r="Y13" s="374">
        <f t="shared" si="37"/>
        <v>2.7851947448236429</v>
      </c>
      <c r="Z13" s="354">
        <f t="shared" si="9"/>
        <v>1.4367706348677183</v>
      </c>
      <c r="AA13" s="354">
        <f t="shared" si="38"/>
        <v>1.3484241099559244</v>
      </c>
      <c r="AB13" s="374">
        <f t="shared" si="39"/>
        <v>15.216621330561633</v>
      </c>
      <c r="AC13" s="354">
        <f t="shared" si="12"/>
        <v>4.3183642070677593</v>
      </c>
      <c r="AD13" s="354">
        <f t="shared" si="40"/>
        <v>9.4001196294903266</v>
      </c>
      <c r="AE13" s="354">
        <f t="shared" si="41"/>
        <v>1.4981374940035479</v>
      </c>
      <c r="AF13" s="374">
        <f t="shared" si="42"/>
        <v>12.178610985041097</v>
      </c>
      <c r="AG13" s="354">
        <f t="shared" si="16"/>
        <v>0.78267916559421202</v>
      </c>
      <c r="AH13" s="354">
        <f t="shared" si="43"/>
        <v>3.9379735213684754</v>
      </c>
      <c r="AI13" s="354">
        <f t="shared" si="44"/>
        <v>0</v>
      </c>
      <c r="AJ13" s="354">
        <f t="shared" si="45"/>
        <v>7.4579582980784096</v>
      </c>
      <c r="AK13" s="374">
        <f t="shared" si="46"/>
        <v>8.0438878019141455</v>
      </c>
      <c r="AL13" s="354">
        <f t="shared" si="21"/>
        <v>2.3046272506054533</v>
      </c>
      <c r="AM13" s="354">
        <f t="shared" si="47"/>
        <v>5.4356070679290092</v>
      </c>
      <c r="AN13" s="354">
        <f t="shared" si="48"/>
        <v>0.30365348337968345</v>
      </c>
      <c r="AO13" s="374">
        <f t="shared" si="49"/>
        <v>4.6642095783886317</v>
      </c>
      <c r="AP13" s="354">
        <f t="shared" si="25"/>
        <v>1.069552316203823</v>
      </c>
      <c r="AQ13" s="354">
        <f t="shared" si="50"/>
        <v>3.5946572621848087</v>
      </c>
      <c r="AR13" s="374">
        <f t="shared" si="51"/>
        <v>8.5088763047225857</v>
      </c>
      <c r="AS13" s="354">
        <f t="shared" si="28"/>
        <v>3.6871849632787881</v>
      </c>
      <c r="AT13" s="354">
        <f t="shared" si="52"/>
        <v>4.8216913414437981</v>
      </c>
      <c r="AU13" s="355" t="s">
        <v>396</v>
      </c>
      <c r="AV13" s="353" t="s">
        <v>404</v>
      </c>
      <c r="AW13" s="355" t="s">
        <v>405</v>
      </c>
      <c r="AX13" s="355">
        <v>0</v>
      </c>
      <c r="AY13" s="350" t="s">
        <v>406</v>
      </c>
      <c r="AZ13" s="351">
        <v>45026</v>
      </c>
      <c r="BA13" s="351">
        <v>45026</v>
      </c>
      <c r="BB13" s="350" t="s">
        <v>407</v>
      </c>
    </row>
    <row r="14" spans="1:54" x14ac:dyDescent="0.25">
      <c r="A14" s="348" t="s">
        <v>434</v>
      </c>
      <c r="B14" s="349">
        <v>4595</v>
      </c>
      <c r="C14" s="350" t="s">
        <v>402</v>
      </c>
      <c r="D14" s="351">
        <v>45008</v>
      </c>
      <c r="E14" s="352">
        <v>3170</v>
      </c>
      <c r="F14" s="352">
        <v>1</v>
      </c>
      <c r="H14" s="350" t="s">
        <v>435</v>
      </c>
      <c r="I14" s="350" t="s">
        <v>393</v>
      </c>
      <c r="J14" s="354">
        <v>253229</v>
      </c>
      <c r="K14" s="350" t="s">
        <v>394</v>
      </c>
      <c r="L14" s="354">
        <v>0</v>
      </c>
      <c r="M14" s="354">
        <v>123.57</v>
      </c>
      <c r="N14" s="354" t="s">
        <v>395</v>
      </c>
      <c r="O14" s="354">
        <v>102.39</v>
      </c>
      <c r="P14" s="374">
        <f t="shared" si="0"/>
        <v>7.7859152230391055</v>
      </c>
      <c r="Q14" s="354">
        <f t="shared" si="30"/>
        <v>0.73433058137048923</v>
      </c>
      <c r="R14" s="354">
        <f t="shared" si="31"/>
        <v>1.2378677818191341</v>
      </c>
      <c r="S14" s="354">
        <f t="shared" si="32"/>
        <v>1.1026760448361363</v>
      </c>
      <c r="T14" s="354">
        <f t="shared" si="33"/>
        <v>4.7055399716592454</v>
      </c>
      <c r="U14" s="374">
        <f t="shared" si="34"/>
        <v>31.248256078498603</v>
      </c>
      <c r="V14" s="354">
        <f t="shared" si="5"/>
        <v>0.82716371681713063</v>
      </c>
      <c r="W14" s="354">
        <f t="shared" si="35"/>
        <v>28.21626756596703</v>
      </c>
      <c r="X14" s="354">
        <f t="shared" si="36"/>
        <v>2.2048247957144422</v>
      </c>
      <c r="Y14" s="374">
        <f t="shared" si="37"/>
        <v>4.5809465542108025</v>
      </c>
      <c r="Z14" s="354">
        <f t="shared" si="9"/>
        <v>2.3631272108425927</v>
      </c>
      <c r="AA14" s="354">
        <f t="shared" si="38"/>
        <v>2.2178193433682099</v>
      </c>
      <c r="AB14" s="374">
        <f t="shared" si="39"/>
        <v>25.027524262178904</v>
      </c>
      <c r="AC14" s="354">
        <f t="shared" si="12"/>
        <v>7.1026256497719018</v>
      </c>
      <c r="AD14" s="354">
        <f t="shared" si="40"/>
        <v>15.46083831513536</v>
      </c>
      <c r="AE14" s="354">
        <f t="shared" si="41"/>
        <v>2.4640602972716414</v>
      </c>
      <c r="AF14" s="374">
        <f t="shared" si="42"/>
        <v>20.030759475862215</v>
      </c>
      <c r="AG14" s="354">
        <f t="shared" si="16"/>
        <v>1.287310854418698</v>
      </c>
      <c r="AH14" s="354">
        <f t="shared" si="43"/>
        <v>6.4769784112272388</v>
      </c>
      <c r="AI14" s="354">
        <f t="shared" si="44"/>
        <v>0</v>
      </c>
      <c r="AJ14" s="354">
        <f t="shared" si="45"/>
        <v>12.26647021021628</v>
      </c>
      <c r="AK14" s="374">
        <f t="shared" si="46"/>
        <v>13.230177235226023</v>
      </c>
      <c r="AL14" s="354">
        <f t="shared" si="21"/>
        <v>3.7905335998577918</v>
      </c>
      <c r="AM14" s="354">
        <f t="shared" si="47"/>
        <v>8.9402098413947524</v>
      </c>
      <c r="AN14" s="354">
        <f t="shared" si="48"/>
        <v>0.49943379397347915</v>
      </c>
      <c r="AO14" s="374">
        <f t="shared" si="49"/>
        <v>7.6714545135296577</v>
      </c>
      <c r="AP14" s="354">
        <f t="shared" si="25"/>
        <v>1.7591452111447676</v>
      </c>
      <c r="AQ14" s="354">
        <f t="shared" si="50"/>
        <v>5.9123093023848901</v>
      </c>
      <c r="AR14" s="374">
        <f t="shared" si="51"/>
        <v>13.994966657454677</v>
      </c>
      <c r="AS14" s="354">
        <f t="shared" si="28"/>
        <v>6.0644941556283758</v>
      </c>
      <c r="AT14" s="354">
        <f t="shared" si="52"/>
        <v>7.9304725018263023</v>
      </c>
      <c r="AU14" s="355" t="s">
        <v>396</v>
      </c>
      <c r="AV14" s="353" t="s">
        <v>404</v>
      </c>
      <c r="AW14" s="355" t="s">
        <v>405</v>
      </c>
      <c r="AX14" s="355">
        <v>117872</v>
      </c>
      <c r="AY14" s="350" t="s">
        <v>406</v>
      </c>
      <c r="AZ14" s="351">
        <v>45026</v>
      </c>
      <c r="BA14" s="351">
        <v>45026</v>
      </c>
      <c r="BB14" s="350" t="s">
        <v>407</v>
      </c>
    </row>
    <row r="15" spans="1:54" x14ac:dyDescent="0.25">
      <c r="A15" s="348" t="s">
        <v>436</v>
      </c>
      <c r="B15" s="349">
        <v>4455</v>
      </c>
      <c r="C15" s="350" t="s">
        <v>402</v>
      </c>
      <c r="D15" s="351">
        <v>45016</v>
      </c>
      <c r="E15" s="352">
        <v>3110</v>
      </c>
      <c r="F15" s="352">
        <v>1</v>
      </c>
      <c r="H15" s="350" t="s">
        <v>437</v>
      </c>
      <c r="I15" s="350" t="s">
        <v>393</v>
      </c>
      <c r="J15" s="354">
        <v>578183.4</v>
      </c>
      <c r="K15" s="350" t="s">
        <v>394</v>
      </c>
      <c r="L15" s="354">
        <v>0</v>
      </c>
      <c r="M15" s="354">
        <v>282.14</v>
      </c>
      <c r="N15" s="354" t="s">
        <v>395</v>
      </c>
      <c r="O15" s="354">
        <v>231.27</v>
      </c>
      <c r="P15" s="374">
        <f t="shared" si="0"/>
        <v>17.777115165721884</v>
      </c>
      <c r="Q15" s="354">
        <f t="shared" si="30"/>
        <v>1.676653153903616</v>
      </c>
      <c r="R15" s="354">
        <f t="shared" si="31"/>
        <v>2.8263495667431457</v>
      </c>
      <c r="S15" s="354">
        <f t="shared" si="32"/>
        <v>2.5176743488716316</v>
      </c>
      <c r="T15" s="354">
        <f t="shared" si="33"/>
        <v>10.743878349145744</v>
      </c>
      <c r="U15" s="374">
        <f t="shared" si="34"/>
        <v>71.347276604253423</v>
      </c>
      <c r="V15" s="354">
        <f t="shared" si="5"/>
        <v>1.8886135070226207</v>
      </c>
      <c r="W15" s="354">
        <f t="shared" si="35"/>
        <v>64.424518338285495</v>
      </c>
      <c r="X15" s="354">
        <f t="shared" si="36"/>
        <v>5.0341447589453168</v>
      </c>
      <c r="Y15" s="374">
        <f t="shared" si="37"/>
        <v>10.459401641215795</v>
      </c>
      <c r="Z15" s="354">
        <f t="shared" si="9"/>
        <v>5.3955872077941978</v>
      </c>
      <c r="AA15" s="354">
        <f t="shared" si="38"/>
        <v>5.0638144334215962</v>
      </c>
      <c r="AB15" s="374">
        <f t="shared" si="39"/>
        <v>57.143851220613058</v>
      </c>
      <c r="AC15" s="354">
        <f t="shared" si="12"/>
        <v>16.217000896873387</v>
      </c>
      <c r="AD15" s="354">
        <f t="shared" si="40"/>
        <v>35.30080862856915</v>
      </c>
      <c r="AE15" s="354">
        <f t="shared" si="41"/>
        <v>5.6260416951705174</v>
      </c>
      <c r="AF15" s="374">
        <f t="shared" si="42"/>
        <v>45.735036647404435</v>
      </c>
      <c r="AG15" s="354">
        <f t="shared" si="16"/>
        <v>2.9392399811094236</v>
      </c>
      <c r="AH15" s="354">
        <f t="shared" si="43"/>
        <v>14.78849792784376</v>
      </c>
      <c r="AI15" s="354">
        <f t="shared" si="44"/>
        <v>0</v>
      </c>
      <c r="AJ15" s="354">
        <f t="shared" si="45"/>
        <v>28.007298738451254</v>
      </c>
      <c r="AK15" s="374">
        <f t="shared" si="46"/>
        <v>30.207673425157157</v>
      </c>
      <c r="AL15" s="354">
        <f t="shared" si="21"/>
        <v>8.6546989549557125</v>
      </c>
      <c r="AM15" s="354">
        <f t="shared" si="47"/>
        <v>20.412647120264751</v>
      </c>
      <c r="AN15" s="354">
        <f t="shared" si="48"/>
        <v>1.140327349936695</v>
      </c>
      <c r="AO15" s="374">
        <f t="shared" si="49"/>
        <v>17.515773864588958</v>
      </c>
      <c r="AP15" s="354">
        <f t="shared" si="25"/>
        <v>4.0165511845301021</v>
      </c>
      <c r="AQ15" s="354">
        <f t="shared" si="50"/>
        <v>13.499222680058857</v>
      </c>
      <c r="AR15" s="374">
        <f t="shared" si="51"/>
        <v>31.953871431045261</v>
      </c>
      <c r="AS15" s="354">
        <f t="shared" si="28"/>
        <v>13.84669726526657</v>
      </c>
      <c r="AT15" s="354">
        <f t="shared" si="52"/>
        <v>18.107174165778694</v>
      </c>
      <c r="AU15" s="355" t="s">
        <v>396</v>
      </c>
      <c r="AV15" s="353" t="s">
        <v>404</v>
      </c>
      <c r="AW15" s="355" t="s">
        <v>405</v>
      </c>
      <c r="AX15" s="355">
        <v>103265</v>
      </c>
      <c r="AY15" s="350" t="s">
        <v>406</v>
      </c>
      <c r="AZ15" s="351">
        <v>45021</v>
      </c>
      <c r="BA15" s="351">
        <v>45021</v>
      </c>
      <c r="BB15" s="350" t="s">
        <v>407</v>
      </c>
    </row>
    <row r="16" spans="1:54" x14ac:dyDescent="0.25">
      <c r="A16" s="348" t="s">
        <v>436</v>
      </c>
      <c r="B16" s="349">
        <v>4455</v>
      </c>
      <c r="C16" s="350" t="s">
        <v>402</v>
      </c>
      <c r="D16" s="351">
        <v>45016</v>
      </c>
      <c r="E16" s="352">
        <v>3110</v>
      </c>
      <c r="F16" s="352">
        <v>1</v>
      </c>
      <c r="H16" s="350" t="s">
        <v>437</v>
      </c>
      <c r="I16" s="350" t="s">
        <v>393</v>
      </c>
      <c r="J16" s="354">
        <v>3541016</v>
      </c>
      <c r="K16" s="350" t="s">
        <v>394</v>
      </c>
      <c r="L16" s="354">
        <v>0</v>
      </c>
      <c r="M16" s="354">
        <v>1727.93</v>
      </c>
      <c r="N16" s="354" t="s">
        <v>395</v>
      </c>
      <c r="O16" s="354">
        <v>1416.41</v>
      </c>
      <c r="P16" s="374">
        <f t="shared" si="0"/>
        <v>108.87364644611121</v>
      </c>
      <c r="Q16" s="354">
        <f t="shared" si="30"/>
        <v>10.268445751133038</v>
      </c>
      <c r="R16" s="354">
        <f t="shared" si="31"/>
        <v>17.309612982428881</v>
      </c>
      <c r="S16" s="354">
        <f t="shared" si="32"/>
        <v>15.419171466809948</v>
      </c>
      <c r="T16" s="354">
        <f t="shared" si="33"/>
        <v>65.799495696602406</v>
      </c>
      <c r="U16" s="374">
        <f t="shared" si="34"/>
        <v>436.95718318135545</v>
      </c>
      <c r="V16" s="354">
        <f t="shared" si="5"/>
        <v>11.566569565427082</v>
      </c>
      <c r="W16" s="354">
        <f t="shared" si="35"/>
        <v>394.55964405002356</v>
      </c>
      <c r="X16" s="354">
        <f t="shared" si="36"/>
        <v>30.830969565904802</v>
      </c>
      <c r="Y16" s="374">
        <f t="shared" si="37"/>
        <v>64.057254830601863</v>
      </c>
      <c r="Z16" s="354">
        <f t="shared" si="9"/>
        <v>33.044577174324196</v>
      </c>
      <c r="AA16" s="354">
        <f t="shared" si="38"/>
        <v>31.012677656277663</v>
      </c>
      <c r="AB16" s="374">
        <f t="shared" si="39"/>
        <v>349.970138369724</v>
      </c>
      <c r="AC16" s="354">
        <f t="shared" si="12"/>
        <v>99.318928048963045</v>
      </c>
      <c r="AD16" s="354">
        <f t="shared" si="40"/>
        <v>216.19524439485184</v>
      </c>
      <c r="AE16" s="354">
        <f t="shared" si="41"/>
        <v>34.455965925909098</v>
      </c>
      <c r="AF16" s="374">
        <f t="shared" si="42"/>
        <v>280.09832662560979</v>
      </c>
      <c r="AG16" s="354">
        <f t="shared" si="16"/>
        <v>18.000995748771555</v>
      </c>
      <c r="AH16" s="354">
        <f t="shared" si="43"/>
        <v>90.570246063865696</v>
      </c>
      <c r="AI16" s="354">
        <f t="shared" si="44"/>
        <v>0</v>
      </c>
      <c r="AJ16" s="354">
        <f t="shared" si="45"/>
        <v>171.52708481297256</v>
      </c>
      <c r="AK16" s="374">
        <f t="shared" si="46"/>
        <v>185.00299546867447</v>
      </c>
      <c r="AL16" s="354">
        <f t="shared" si="21"/>
        <v>53.004586252345028</v>
      </c>
      <c r="AM16" s="354">
        <f t="shared" si="47"/>
        <v>125.01462160104585</v>
      </c>
      <c r="AN16" s="354">
        <f t="shared" si="48"/>
        <v>6.9837876152835952</v>
      </c>
      <c r="AO16" s="374">
        <f t="shared" si="49"/>
        <v>107.27309539178849</v>
      </c>
      <c r="AP16" s="354">
        <f t="shared" si="25"/>
        <v>24.598849111381231</v>
      </c>
      <c r="AQ16" s="354">
        <f t="shared" si="50"/>
        <v>82.67424628040726</v>
      </c>
      <c r="AR16" s="374">
        <f t="shared" si="51"/>
        <v>195.69735968613469</v>
      </c>
      <c r="AS16" s="354">
        <f t="shared" si="28"/>
        <v>84.802309511490975</v>
      </c>
      <c r="AT16" s="354">
        <f t="shared" si="52"/>
        <v>110.89505017464371</v>
      </c>
      <c r="AU16" s="355" t="s">
        <v>396</v>
      </c>
      <c r="AV16" s="353" t="s">
        <v>404</v>
      </c>
      <c r="AW16" s="355" t="s">
        <v>405</v>
      </c>
      <c r="AX16" s="355">
        <v>117871</v>
      </c>
      <c r="AY16" s="350" t="s">
        <v>406</v>
      </c>
      <c r="AZ16" s="351">
        <v>45021</v>
      </c>
      <c r="BA16" s="351">
        <v>45021</v>
      </c>
      <c r="BB16" s="350" t="s">
        <v>407</v>
      </c>
    </row>
    <row r="17" spans="1:54" x14ac:dyDescent="0.25">
      <c r="A17" s="348" t="s">
        <v>436</v>
      </c>
      <c r="B17" s="349">
        <v>4455</v>
      </c>
      <c r="C17" s="350" t="s">
        <v>402</v>
      </c>
      <c r="D17" s="351">
        <v>45016</v>
      </c>
      <c r="E17" s="352">
        <v>3110</v>
      </c>
      <c r="F17" s="352">
        <v>1</v>
      </c>
      <c r="H17" s="350" t="s">
        <v>437</v>
      </c>
      <c r="I17" s="350" t="s">
        <v>393</v>
      </c>
      <c r="J17" s="354">
        <v>1301665</v>
      </c>
      <c r="K17" s="350" t="s">
        <v>394</v>
      </c>
      <c r="L17" s="354">
        <v>0</v>
      </c>
      <c r="M17" s="354">
        <v>635.17999999999995</v>
      </c>
      <c r="N17" s="354" t="s">
        <v>395</v>
      </c>
      <c r="O17" s="354">
        <v>520.66999999999996</v>
      </c>
      <c r="P17" s="374">
        <f t="shared" si="0"/>
        <v>40.02150709209338</v>
      </c>
      <c r="Q17" s="354">
        <f t="shared" si="30"/>
        <v>3.7746386556195466</v>
      </c>
      <c r="R17" s="354">
        <f t="shared" si="31"/>
        <v>6.3629429283473149</v>
      </c>
      <c r="S17" s="354">
        <f t="shared" si="32"/>
        <v>5.668024359949964</v>
      </c>
      <c r="T17" s="354">
        <f t="shared" si="33"/>
        <v>24.187625468952977</v>
      </c>
      <c r="U17" s="374">
        <f t="shared" si="34"/>
        <v>160.62367318880587</v>
      </c>
      <c r="V17" s="354">
        <f t="shared" si="5"/>
        <v>4.2518236598519463</v>
      </c>
      <c r="W17" s="354">
        <f t="shared" si="35"/>
        <v>145.03851122886573</v>
      </c>
      <c r="X17" s="354">
        <f t="shared" si="36"/>
        <v>11.333338300088204</v>
      </c>
      <c r="Y17" s="374">
        <f t="shared" si="37"/>
        <v>23.547184853148963</v>
      </c>
      <c r="Z17" s="354">
        <f t="shared" si="9"/>
        <v>12.147051402306367</v>
      </c>
      <c r="AA17" s="354">
        <f t="shared" si="38"/>
        <v>11.400133450842594</v>
      </c>
      <c r="AB17" s="374">
        <f t="shared" si="39"/>
        <v>128.64759133164034</v>
      </c>
      <c r="AC17" s="354">
        <f t="shared" si="12"/>
        <v>36.509231692337274</v>
      </c>
      <c r="AD17" s="354">
        <f t="shared" si="40"/>
        <v>79.47248750512</v>
      </c>
      <c r="AE17" s="354">
        <f t="shared" si="41"/>
        <v>12.665872134183065</v>
      </c>
      <c r="AF17" s="374">
        <f t="shared" si="42"/>
        <v>102.96299914120064</v>
      </c>
      <c r="AG17" s="354">
        <f t="shared" si="16"/>
        <v>6.6170924051927544</v>
      </c>
      <c r="AH17" s="354">
        <f t="shared" si="43"/>
        <v>33.293251980604666</v>
      </c>
      <c r="AI17" s="354">
        <f t="shared" si="44"/>
        <v>0</v>
      </c>
      <c r="AJ17" s="354">
        <f t="shared" si="45"/>
        <v>63.052654755403232</v>
      </c>
      <c r="AK17" s="374">
        <f t="shared" si="46"/>
        <v>68.006344389988385</v>
      </c>
      <c r="AL17" s="354">
        <f t="shared" si="21"/>
        <v>19.484269094097858</v>
      </c>
      <c r="AM17" s="354">
        <f t="shared" si="47"/>
        <v>45.954863535300788</v>
      </c>
      <c r="AN17" s="354">
        <f t="shared" si="48"/>
        <v>2.5672117605897422</v>
      </c>
      <c r="AO17" s="374">
        <f t="shared" si="49"/>
        <v>39.433151071487963</v>
      </c>
      <c r="AP17" s="354">
        <f t="shared" si="25"/>
        <v>9.0424363131418097</v>
      </c>
      <c r="AQ17" s="354">
        <f t="shared" si="50"/>
        <v>30.390714758346153</v>
      </c>
      <c r="AR17" s="374">
        <f t="shared" si="51"/>
        <v>71.937548931634396</v>
      </c>
      <c r="AS17" s="354">
        <f t="shared" si="28"/>
        <v>31.17298209737017</v>
      </c>
      <c r="AT17" s="354">
        <f t="shared" si="52"/>
        <v>40.76456683426423</v>
      </c>
      <c r="AU17" s="355" t="s">
        <v>396</v>
      </c>
      <c r="AV17" s="353" t="s">
        <v>404</v>
      </c>
      <c r="AW17" s="355" t="s">
        <v>405</v>
      </c>
      <c r="AX17" s="355">
        <v>103321</v>
      </c>
      <c r="AY17" s="350" t="s">
        <v>406</v>
      </c>
      <c r="AZ17" s="351">
        <v>45021</v>
      </c>
      <c r="BA17" s="351">
        <v>45021</v>
      </c>
      <c r="BB17" s="350" t="s">
        <v>407</v>
      </c>
    </row>
    <row r="18" spans="1:54" x14ac:dyDescent="0.25">
      <c r="A18" s="348" t="s">
        <v>436</v>
      </c>
      <c r="B18" s="349">
        <v>4455</v>
      </c>
      <c r="C18" s="350" t="s">
        <v>402</v>
      </c>
      <c r="D18" s="351">
        <v>45016</v>
      </c>
      <c r="E18" s="352">
        <v>3110</v>
      </c>
      <c r="F18" s="352">
        <v>1</v>
      </c>
      <c r="H18" s="350" t="s">
        <v>437</v>
      </c>
      <c r="I18" s="350" t="s">
        <v>393</v>
      </c>
      <c r="J18" s="354">
        <v>116307.51</v>
      </c>
      <c r="K18" s="350" t="s">
        <v>394</v>
      </c>
      <c r="L18" s="354">
        <v>0</v>
      </c>
      <c r="M18" s="354">
        <v>56.76</v>
      </c>
      <c r="N18" s="354" t="s">
        <v>395</v>
      </c>
      <c r="O18" s="354">
        <v>46.52</v>
      </c>
      <c r="P18" s="374">
        <f t="shared" si="0"/>
        <v>3.5763417339135684</v>
      </c>
      <c r="Q18" s="354">
        <f t="shared" si="30"/>
        <v>0.3373035833826088</v>
      </c>
      <c r="R18" s="354">
        <f t="shared" si="31"/>
        <v>0.56859573760665261</v>
      </c>
      <c r="S18" s="354">
        <f t="shared" si="32"/>
        <v>0.50649746949016028</v>
      </c>
      <c r="T18" s="354">
        <f t="shared" si="33"/>
        <v>2.1614182147072816</v>
      </c>
      <c r="U18" s="374">
        <f t="shared" si="34"/>
        <v>14.353411143607515</v>
      </c>
      <c r="V18" s="354">
        <f t="shared" si="5"/>
        <v>0.37994507215780798</v>
      </c>
      <c r="W18" s="354">
        <f t="shared" si="35"/>
        <v>12.960713336928775</v>
      </c>
      <c r="X18" s="354">
        <f t="shared" si="36"/>
        <v>1.0127527345209335</v>
      </c>
      <c r="Y18" s="374">
        <f t="shared" si="37"/>
        <v>2.1041881234685209</v>
      </c>
      <c r="Z18" s="354">
        <f t="shared" si="9"/>
        <v>1.0854665411299307</v>
      </c>
      <c r="AA18" s="354">
        <f t="shared" si="38"/>
        <v>1.01872158233859</v>
      </c>
      <c r="AB18" s="374">
        <f t="shared" si="39"/>
        <v>11.49601260112709</v>
      </c>
      <c r="AC18" s="354">
        <f t="shared" si="12"/>
        <v>3.2624830612693465</v>
      </c>
      <c r="AD18" s="354">
        <f t="shared" si="40"/>
        <v>7.1017009206691188</v>
      </c>
      <c r="AE18" s="354">
        <f t="shared" si="41"/>
        <v>1.1318286191886247</v>
      </c>
      <c r="AF18" s="374">
        <f t="shared" si="42"/>
        <v>9.2008246973370511</v>
      </c>
      <c r="AG18" s="354">
        <f t="shared" si="16"/>
        <v>0.59130666097600793</v>
      </c>
      <c r="AH18" s="354">
        <f t="shared" si="43"/>
        <v>2.9751015183398732</v>
      </c>
      <c r="AI18" s="354">
        <f t="shared" si="44"/>
        <v>0</v>
      </c>
      <c r="AJ18" s="354">
        <f t="shared" si="45"/>
        <v>5.6344165180211707</v>
      </c>
      <c r="AK18" s="374">
        <f t="shared" si="46"/>
        <v>6.0770806819732055</v>
      </c>
      <c r="AL18" s="354">
        <f t="shared" si="21"/>
        <v>1.7411239550694202</v>
      </c>
      <c r="AM18" s="354">
        <f t="shared" si="47"/>
        <v>4.1065494100312865</v>
      </c>
      <c r="AN18" s="354">
        <f t="shared" si="48"/>
        <v>0.22940731687249877</v>
      </c>
      <c r="AO18" s="374">
        <f t="shared" si="49"/>
        <v>3.523765947948073</v>
      </c>
      <c r="AP18" s="354">
        <f t="shared" si="25"/>
        <v>0.80803659613641665</v>
      </c>
      <c r="AQ18" s="354">
        <f t="shared" si="50"/>
        <v>2.7157293518116563</v>
      </c>
      <c r="AR18" s="374">
        <f t="shared" si="51"/>
        <v>6.4283750706249698</v>
      </c>
      <c r="AS18" s="354">
        <f t="shared" si="28"/>
        <v>2.7856331494170643</v>
      </c>
      <c r="AT18" s="354">
        <f t="shared" si="52"/>
        <v>3.642741921207906</v>
      </c>
      <c r="AU18" s="355" t="s">
        <v>396</v>
      </c>
      <c r="AV18" s="353" t="s">
        <v>404</v>
      </c>
      <c r="AW18" s="355" t="s">
        <v>405</v>
      </c>
      <c r="AX18" s="355">
        <v>117427</v>
      </c>
      <c r="AY18" s="350" t="s">
        <v>406</v>
      </c>
      <c r="AZ18" s="351">
        <v>45021</v>
      </c>
      <c r="BA18" s="351">
        <v>45021</v>
      </c>
      <c r="BB18" s="350" t="s">
        <v>407</v>
      </c>
    </row>
    <row r="19" spans="1:54" x14ac:dyDescent="0.25">
      <c r="A19" s="348" t="s">
        <v>436</v>
      </c>
      <c r="B19" s="349">
        <v>4455</v>
      </c>
      <c r="C19" s="350" t="s">
        <v>402</v>
      </c>
      <c r="D19" s="351">
        <v>45016</v>
      </c>
      <c r="E19" s="352">
        <v>3110</v>
      </c>
      <c r="F19" s="352">
        <v>1</v>
      </c>
      <c r="H19" s="350" t="s">
        <v>437</v>
      </c>
      <c r="I19" s="350" t="s">
        <v>393</v>
      </c>
      <c r="J19" s="354">
        <v>842808</v>
      </c>
      <c r="K19" s="350" t="s">
        <v>394</v>
      </c>
      <c r="L19" s="354">
        <v>0</v>
      </c>
      <c r="M19" s="354">
        <v>411.27</v>
      </c>
      <c r="N19" s="354" t="s">
        <v>395</v>
      </c>
      <c r="O19" s="354">
        <v>337.12</v>
      </c>
      <c r="P19" s="374">
        <f t="shared" si="0"/>
        <v>25.913355618510099</v>
      </c>
      <c r="Q19" s="354">
        <f t="shared" si="30"/>
        <v>2.4440247487273701</v>
      </c>
      <c r="R19" s="354">
        <f t="shared" si="31"/>
        <v>4.1199148873412268</v>
      </c>
      <c r="S19" s="354">
        <f t="shared" si="32"/>
        <v>3.6699650154548662</v>
      </c>
      <c r="T19" s="354">
        <f t="shared" si="33"/>
        <v>15.66114286755926</v>
      </c>
      <c r="U19" s="374">
        <f t="shared" si="34"/>
        <v>104.00153983494474</v>
      </c>
      <c r="V19" s="354">
        <f t="shared" si="5"/>
        <v>2.7529952400694451</v>
      </c>
      <c r="W19" s="354">
        <f t="shared" si="35"/>
        <v>93.910369522175785</v>
      </c>
      <c r="X19" s="354">
        <f t="shared" si="36"/>
        <v>7.3381750726995127</v>
      </c>
      <c r="Y19" s="374">
        <f t="shared" si="37"/>
        <v>15.246466693779047</v>
      </c>
      <c r="Z19" s="354">
        <f t="shared" si="9"/>
        <v>7.8650427126586795</v>
      </c>
      <c r="AA19" s="354">
        <f t="shared" si="38"/>
        <v>7.3814239811203661</v>
      </c>
      <c r="AB19" s="374">
        <f t="shared" si="39"/>
        <v>83.297482425397078</v>
      </c>
      <c r="AC19" s="354">
        <f t="shared" si="12"/>
        <v>23.639207339821073</v>
      </c>
      <c r="AD19" s="354">
        <f t="shared" si="40"/>
        <v>51.457303341148489</v>
      </c>
      <c r="AE19" s="354">
        <f t="shared" si="41"/>
        <v>8.2009717444275143</v>
      </c>
      <c r="AF19" s="374">
        <f t="shared" si="42"/>
        <v>66.667074934351817</v>
      </c>
      <c r="AG19" s="354">
        <f t="shared" si="16"/>
        <v>4.2844730524947634</v>
      </c>
      <c r="AH19" s="354">
        <f t="shared" si="43"/>
        <v>21.556906297527124</v>
      </c>
      <c r="AI19" s="354">
        <f t="shared" si="44"/>
        <v>0</v>
      </c>
      <c r="AJ19" s="354">
        <f t="shared" si="45"/>
        <v>40.825695584329935</v>
      </c>
      <c r="AK19" s="374">
        <f t="shared" si="46"/>
        <v>44.03313904290205</v>
      </c>
      <c r="AL19" s="354">
        <f t="shared" si="21"/>
        <v>12.61578662793165</v>
      </c>
      <c r="AM19" s="354">
        <f t="shared" si="47"/>
        <v>29.755119377441286</v>
      </c>
      <c r="AN19" s="354">
        <f t="shared" si="48"/>
        <v>1.6622330375291152</v>
      </c>
      <c r="AO19" s="374">
        <f t="shared" si="49"/>
        <v>25.532403478023326</v>
      </c>
      <c r="AP19" s="354">
        <f t="shared" si="25"/>
        <v>5.854848676762229</v>
      </c>
      <c r="AQ19" s="354">
        <f t="shared" si="50"/>
        <v>19.677554801261099</v>
      </c>
      <c r="AR19" s="374">
        <f t="shared" si="51"/>
        <v>46.578537972091816</v>
      </c>
      <c r="AS19" s="354">
        <f t="shared" si="28"/>
        <v>20.184061757589078</v>
      </c>
      <c r="AT19" s="354">
        <f t="shared" si="52"/>
        <v>26.394476214502742</v>
      </c>
      <c r="AU19" s="355" t="s">
        <v>396</v>
      </c>
      <c r="AV19" s="353" t="s">
        <v>404</v>
      </c>
      <c r="AW19" s="355" t="s">
        <v>405</v>
      </c>
      <c r="AX19" s="355">
        <v>117872</v>
      </c>
      <c r="AY19" s="350" t="s">
        <v>406</v>
      </c>
      <c r="AZ19" s="351">
        <v>45021</v>
      </c>
      <c r="BA19" s="351">
        <v>45021</v>
      </c>
      <c r="BB19" s="350" t="s">
        <v>407</v>
      </c>
    </row>
    <row r="20" spans="1:54" x14ac:dyDescent="0.25">
      <c r="A20" s="348" t="s">
        <v>436</v>
      </c>
      <c r="B20" s="349">
        <v>4455</v>
      </c>
      <c r="C20" s="350" t="s">
        <v>402</v>
      </c>
      <c r="D20" s="351">
        <v>45016</v>
      </c>
      <c r="E20" s="352">
        <v>3110</v>
      </c>
      <c r="F20" s="352">
        <v>1</v>
      </c>
      <c r="H20" s="350" t="s">
        <v>437</v>
      </c>
      <c r="I20" s="350" t="s">
        <v>393</v>
      </c>
      <c r="J20" s="354">
        <v>265823.59999999998</v>
      </c>
      <c r="K20" s="350" t="s">
        <v>394</v>
      </c>
      <c r="L20" s="354">
        <v>0</v>
      </c>
      <c r="M20" s="354">
        <v>129.72</v>
      </c>
      <c r="N20" s="354" t="s">
        <v>395</v>
      </c>
      <c r="O20" s="354">
        <v>106.33</v>
      </c>
      <c r="P20" s="374">
        <f t="shared" si="0"/>
        <v>8.1734152523479224</v>
      </c>
      <c r="Q20" s="354">
        <f t="shared" si="30"/>
        <v>0.77087774553192412</v>
      </c>
      <c r="R20" s="354">
        <f t="shared" si="31"/>
        <v>1.2994756709361341</v>
      </c>
      <c r="S20" s="354">
        <f t="shared" si="32"/>
        <v>1.1575555275240237</v>
      </c>
      <c r="T20" s="354">
        <f t="shared" si="33"/>
        <v>4.9397316915403193</v>
      </c>
      <c r="U20" s="374">
        <f t="shared" si="34"/>
        <v>32.803461831373625</v>
      </c>
      <c r="V20" s="354">
        <f t="shared" si="5"/>
        <v>0.86833112685537095</v>
      </c>
      <c r="W20" s="354">
        <f t="shared" si="35"/>
        <v>29.620573186511638</v>
      </c>
      <c r="X20" s="354">
        <f t="shared" si="36"/>
        <v>2.3145575180066156</v>
      </c>
      <c r="Y20" s="374">
        <f t="shared" si="37"/>
        <v>4.8089373392589243</v>
      </c>
      <c r="Z20" s="354">
        <f t="shared" si="9"/>
        <v>2.4807385432588904</v>
      </c>
      <c r="AA20" s="354">
        <f t="shared" si="38"/>
        <v>2.3281987960000339</v>
      </c>
      <c r="AB20" s="374">
        <f t="shared" si="39"/>
        <v>26.273128164520898</v>
      </c>
      <c r="AC20" s="354">
        <f t="shared" si="12"/>
        <v>7.4561187933026716</v>
      </c>
      <c r="AD20" s="354">
        <f t="shared" si="40"/>
        <v>16.230314366264942</v>
      </c>
      <c r="AE20" s="354">
        <f t="shared" si="41"/>
        <v>2.5866950049532842</v>
      </c>
      <c r="AF20" s="374">
        <f t="shared" si="42"/>
        <v>21.027677585245989</v>
      </c>
      <c r="AG20" s="354">
        <f t="shared" si="16"/>
        <v>1.3513794936893544</v>
      </c>
      <c r="AH20" s="354">
        <f t="shared" si="43"/>
        <v>6.7993334911742132</v>
      </c>
      <c r="AI20" s="354">
        <f t="shared" si="44"/>
        <v>0</v>
      </c>
      <c r="AJ20" s="354">
        <f t="shared" si="45"/>
        <v>12.876964600382422</v>
      </c>
      <c r="AK20" s="374">
        <f t="shared" si="46"/>
        <v>13.888634708695635</v>
      </c>
      <c r="AL20" s="354">
        <f t="shared" si="21"/>
        <v>3.9791860368499856</v>
      </c>
      <c r="AM20" s="354">
        <f t="shared" si="47"/>
        <v>9.3851583768368307</v>
      </c>
      <c r="AN20" s="354">
        <f t="shared" si="48"/>
        <v>0.52429029500881863</v>
      </c>
      <c r="AO20" s="374">
        <f t="shared" si="49"/>
        <v>8.0532579064098666</v>
      </c>
      <c r="AP20" s="354">
        <f t="shared" si="25"/>
        <v>1.8466967450813245</v>
      </c>
      <c r="AQ20" s="354">
        <f t="shared" si="50"/>
        <v>6.2065611613285423</v>
      </c>
      <c r="AR20" s="374">
        <f t="shared" si="51"/>
        <v>14.69148721214713</v>
      </c>
      <c r="AS20" s="354">
        <f t="shared" si="28"/>
        <v>6.3663201575472437</v>
      </c>
      <c r="AT20" s="354">
        <f t="shared" si="52"/>
        <v>8.3251670545998877</v>
      </c>
      <c r="AU20" s="355" t="s">
        <v>396</v>
      </c>
      <c r="AV20" s="353" t="s">
        <v>404</v>
      </c>
      <c r="AW20" s="355" t="s">
        <v>405</v>
      </c>
      <c r="AX20" s="355">
        <v>117293</v>
      </c>
      <c r="AY20" s="350" t="s">
        <v>406</v>
      </c>
      <c r="AZ20" s="351">
        <v>45021</v>
      </c>
      <c r="BA20" s="351">
        <v>45021</v>
      </c>
      <c r="BB20" s="350" t="s">
        <v>407</v>
      </c>
    </row>
    <row r="21" spans="1:54" x14ac:dyDescent="0.25">
      <c r="A21" s="348" t="s">
        <v>436</v>
      </c>
      <c r="B21" s="349">
        <v>4455</v>
      </c>
      <c r="C21" s="350" t="s">
        <v>402</v>
      </c>
      <c r="D21" s="351">
        <v>45016</v>
      </c>
      <c r="E21" s="352">
        <v>3120</v>
      </c>
      <c r="F21" s="352">
        <v>1</v>
      </c>
      <c r="H21" s="350" t="s">
        <v>438</v>
      </c>
      <c r="I21" s="350" t="s">
        <v>393</v>
      </c>
      <c r="J21" s="354">
        <v>4410</v>
      </c>
      <c r="K21" s="350" t="s">
        <v>394</v>
      </c>
      <c r="L21" s="354">
        <v>0</v>
      </c>
      <c r="M21" s="354">
        <v>2.15</v>
      </c>
      <c r="N21" s="354" t="s">
        <v>395</v>
      </c>
      <c r="O21" s="354">
        <v>1.76</v>
      </c>
      <c r="P21" s="374">
        <f t="shared" si="0"/>
        <v>0.13546748992096849</v>
      </c>
      <c r="Q21" s="354">
        <f t="shared" si="30"/>
        <v>1.277665088570488E-2</v>
      </c>
      <c r="R21" s="354">
        <f t="shared" si="31"/>
        <v>2.1537717333585324E-2</v>
      </c>
      <c r="S21" s="354">
        <f t="shared" si="32"/>
        <v>1.9185510207960613E-2</v>
      </c>
      <c r="T21" s="354">
        <f t="shared" si="33"/>
        <v>8.1871902072245512E-2</v>
      </c>
      <c r="U21" s="374">
        <f t="shared" si="34"/>
        <v>0.54368981604573918</v>
      </c>
      <c r="V21" s="354">
        <f t="shared" si="5"/>
        <v>1.4391858793856363E-2</v>
      </c>
      <c r="W21" s="354">
        <f t="shared" si="35"/>
        <v>0.49093611124730202</v>
      </c>
      <c r="X21" s="354">
        <f t="shared" si="36"/>
        <v>3.8361846004580813E-2</v>
      </c>
      <c r="Y21" s="374">
        <f t="shared" si="37"/>
        <v>7.9704095585928822E-2</v>
      </c>
      <c r="Z21" s="354">
        <f t="shared" si="9"/>
        <v>4.1116156860982224E-2</v>
      </c>
      <c r="AA21" s="354">
        <f t="shared" si="38"/>
        <v>3.8587938724946591E-2</v>
      </c>
      <c r="AB21" s="374">
        <f t="shared" si="39"/>
        <v>0.43545502276996556</v>
      </c>
      <c r="AC21" s="354">
        <f t="shared" si="12"/>
        <v>0.1235789038359601</v>
      </c>
      <c r="AD21" s="354">
        <f t="shared" si="40"/>
        <v>0.26900382275261814</v>
      </c>
      <c r="AE21" s="354">
        <f t="shared" si="41"/>
        <v>4.2872296181387305E-2</v>
      </c>
      <c r="AF21" s="374">
        <f t="shared" si="42"/>
        <v>0.34851608702034287</v>
      </c>
      <c r="AG21" s="354">
        <f t="shared" si="16"/>
        <v>2.2397979582424545E-2</v>
      </c>
      <c r="AH21" s="354">
        <f t="shared" si="43"/>
        <v>0.11269323933105581</v>
      </c>
      <c r="AI21" s="354">
        <f t="shared" si="44"/>
        <v>0</v>
      </c>
      <c r="AJ21" s="354">
        <f t="shared" si="45"/>
        <v>0.21342486810686254</v>
      </c>
      <c r="AK21" s="374">
        <f t="shared" si="46"/>
        <v>0.23019245007474265</v>
      </c>
      <c r="AL21" s="354">
        <f t="shared" si="21"/>
        <v>6.5951664964750772E-2</v>
      </c>
      <c r="AM21" s="354">
        <f t="shared" si="47"/>
        <v>0.15555111401633662</v>
      </c>
      <c r="AN21" s="354">
        <f t="shared" si="48"/>
        <v>8.6896710936552567E-3</v>
      </c>
      <c r="AO21" s="374">
        <f t="shared" si="49"/>
        <v>0.13347598287682094</v>
      </c>
      <c r="AP21" s="354">
        <f t="shared" si="25"/>
        <v>3.0607446823349118E-2</v>
      </c>
      <c r="AQ21" s="354">
        <f t="shared" si="50"/>
        <v>0.10286853605347183</v>
      </c>
      <c r="AR21" s="374">
        <f t="shared" si="51"/>
        <v>0.24349905570549127</v>
      </c>
      <c r="AS21" s="354">
        <f t="shared" si="28"/>
        <v>0.10551640717488879</v>
      </c>
      <c r="AT21" s="354">
        <f t="shared" si="52"/>
        <v>0.13798264853060249</v>
      </c>
      <c r="AU21" s="355" t="s">
        <v>396</v>
      </c>
      <c r="AV21" s="353" t="s">
        <v>404</v>
      </c>
      <c r="AW21" s="355" t="s">
        <v>405</v>
      </c>
      <c r="AX21" s="355">
        <v>103265</v>
      </c>
      <c r="AY21" s="350" t="s">
        <v>406</v>
      </c>
      <c r="AZ21" s="351">
        <v>45021</v>
      </c>
      <c r="BA21" s="351">
        <v>45021</v>
      </c>
      <c r="BB21" s="350" t="s">
        <v>407</v>
      </c>
    </row>
    <row r="22" spans="1:54" x14ac:dyDescent="0.25">
      <c r="A22" s="348" t="s">
        <v>436</v>
      </c>
      <c r="B22" s="349">
        <v>4455</v>
      </c>
      <c r="C22" s="350" t="s">
        <v>402</v>
      </c>
      <c r="D22" s="351">
        <v>45016</v>
      </c>
      <c r="E22" s="352">
        <v>3120</v>
      </c>
      <c r="F22" s="352">
        <v>1</v>
      </c>
      <c r="H22" s="350" t="s">
        <v>438</v>
      </c>
      <c r="I22" s="350" t="s">
        <v>393</v>
      </c>
      <c r="J22" s="354">
        <v>29400</v>
      </c>
      <c r="K22" s="350" t="s">
        <v>394</v>
      </c>
      <c r="L22" s="354">
        <v>0</v>
      </c>
      <c r="M22" s="354">
        <v>14.35</v>
      </c>
      <c r="N22" s="354" t="s">
        <v>395</v>
      </c>
      <c r="O22" s="354">
        <v>11.76</v>
      </c>
      <c r="P22" s="374">
        <f t="shared" si="0"/>
        <v>0.90416673505390599</v>
      </c>
      <c r="Q22" s="354">
        <f t="shared" si="30"/>
        <v>8.5276716376681397E-2</v>
      </c>
      <c r="R22" s="354">
        <f t="shared" si="31"/>
        <v>0.14375174127299972</v>
      </c>
      <c r="S22" s="354">
        <f t="shared" si="32"/>
        <v>0.12805212627173712</v>
      </c>
      <c r="T22" s="354">
        <f t="shared" si="33"/>
        <v>0.54644734638917347</v>
      </c>
      <c r="U22" s="374">
        <f t="shared" si="34"/>
        <v>3.6288134233750502</v>
      </c>
      <c r="V22" s="354">
        <f t="shared" si="5"/>
        <v>9.6057290089227365E-2</v>
      </c>
      <c r="W22" s="354">
        <f t="shared" si="35"/>
        <v>3.2767131146040858</v>
      </c>
      <c r="X22" s="354">
        <f t="shared" si="36"/>
        <v>0.25604301868173707</v>
      </c>
      <c r="Y22" s="374">
        <f t="shared" si="37"/>
        <v>0.53197849844561795</v>
      </c>
      <c r="Z22" s="354">
        <f t="shared" si="9"/>
        <v>0.27442644230469532</v>
      </c>
      <c r="AA22" s="354">
        <f t="shared" si="38"/>
        <v>0.25755205614092264</v>
      </c>
      <c r="AB22" s="374">
        <f t="shared" si="39"/>
        <v>2.9064091054646539</v>
      </c>
      <c r="AC22" s="354">
        <f t="shared" si="12"/>
        <v>0.8248173349051291</v>
      </c>
      <c r="AD22" s="354">
        <f t="shared" si="40"/>
        <v>1.7954441193023585</v>
      </c>
      <c r="AE22" s="354">
        <f t="shared" si="41"/>
        <v>0.28614765125716646</v>
      </c>
      <c r="AF22" s="374">
        <f t="shared" si="42"/>
        <v>2.3261422552287998</v>
      </c>
      <c r="AG22" s="354">
        <f t="shared" si="16"/>
        <v>0.14949349163153125</v>
      </c>
      <c r="AH22" s="354">
        <f t="shared" si="43"/>
        <v>0.75216185320960494</v>
      </c>
      <c r="AI22" s="354">
        <f t="shared" si="44"/>
        <v>0</v>
      </c>
      <c r="AJ22" s="354">
        <f t="shared" si="45"/>
        <v>1.4244869103876638</v>
      </c>
      <c r="AK22" s="374">
        <f t="shared" si="46"/>
        <v>1.5364007714290964</v>
      </c>
      <c r="AL22" s="354">
        <f t="shared" si="21"/>
        <v>0.44018901964845281</v>
      </c>
      <c r="AM22" s="354">
        <f t="shared" si="47"/>
        <v>1.0382132493648515</v>
      </c>
      <c r="AN22" s="354">
        <f t="shared" si="48"/>
        <v>5.7998502415792068E-2</v>
      </c>
      <c r="AO22" s="374">
        <f t="shared" si="49"/>
        <v>0.89087458338715375</v>
      </c>
      <c r="AP22" s="354">
        <f t="shared" si="25"/>
        <v>0.20428691251863249</v>
      </c>
      <c r="AQ22" s="354">
        <f t="shared" si="50"/>
        <v>0.68658767086852124</v>
      </c>
      <c r="AR22" s="374">
        <f t="shared" si="51"/>
        <v>1.6252146276157209</v>
      </c>
      <c r="AS22" s="354">
        <f t="shared" si="28"/>
        <v>0.70426067114402524</v>
      </c>
      <c r="AT22" s="354">
        <f t="shared" si="52"/>
        <v>0.92095395647169576</v>
      </c>
      <c r="AU22" s="355" t="s">
        <v>396</v>
      </c>
      <c r="AV22" s="353" t="s">
        <v>404</v>
      </c>
      <c r="AW22" s="355" t="s">
        <v>405</v>
      </c>
      <c r="AX22" s="355">
        <v>117871</v>
      </c>
      <c r="AY22" s="350" t="s">
        <v>406</v>
      </c>
      <c r="AZ22" s="351">
        <v>45021</v>
      </c>
      <c r="BA22" s="351">
        <v>45021</v>
      </c>
      <c r="BB22" s="350" t="s">
        <v>407</v>
      </c>
    </row>
    <row r="23" spans="1:54" x14ac:dyDescent="0.25">
      <c r="A23" s="348" t="s">
        <v>436</v>
      </c>
      <c r="B23" s="349">
        <v>4455</v>
      </c>
      <c r="C23" s="350" t="s">
        <v>402</v>
      </c>
      <c r="D23" s="351">
        <v>45016</v>
      </c>
      <c r="E23" s="352">
        <v>3120</v>
      </c>
      <c r="F23" s="352">
        <v>1</v>
      </c>
      <c r="H23" s="350" t="s">
        <v>438</v>
      </c>
      <c r="I23" s="350" t="s">
        <v>393</v>
      </c>
      <c r="J23" s="354">
        <v>882</v>
      </c>
      <c r="K23" s="350" t="s">
        <v>394</v>
      </c>
      <c r="L23" s="354">
        <v>0</v>
      </c>
      <c r="M23" s="354">
        <v>0.43</v>
      </c>
      <c r="N23" s="354" t="s">
        <v>395</v>
      </c>
      <c r="O23" s="354">
        <v>0.35</v>
      </c>
      <c r="P23" s="374">
        <f t="shared" si="0"/>
        <v>2.70934979841937E-2</v>
      </c>
      <c r="Q23" s="354">
        <f t="shared" si="30"/>
        <v>2.5553301771409761E-3</v>
      </c>
      <c r="R23" s="354">
        <f t="shared" si="31"/>
        <v>4.3075434667170648E-3</v>
      </c>
      <c r="S23" s="354">
        <f t="shared" si="32"/>
        <v>3.8371020415921232E-3</v>
      </c>
      <c r="T23" s="354">
        <f t="shared" si="33"/>
        <v>1.6374380414449101E-2</v>
      </c>
      <c r="U23" s="374">
        <f t="shared" si="34"/>
        <v>0.10873796320914784</v>
      </c>
      <c r="V23" s="354">
        <f t="shared" si="5"/>
        <v>2.8783717587712726E-3</v>
      </c>
      <c r="W23" s="354">
        <f t="shared" si="35"/>
        <v>9.8187222249460415E-2</v>
      </c>
      <c r="X23" s="354">
        <f t="shared" si="36"/>
        <v>7.6723692009161622E-3</v>
      </c>
      <c r="Y23" s="374">
        <f t="shared" si="37"/>
        <v>1.5940819117185766E-2</v>
      </c>
      <c r="Z23" s="354">
        <f t="shared" si="9"/>
        <v>8.2232313721964465E-3</v>
      </c>
      <c r="AA23" s="354">
        <f t="shared" si="38"/>
        <v>7.7175877449893199E-3</v>
      </c>
      <c r="AB23" s="374">
        <f t="shared" si="39"/>
        <v>8.7091004553993115E-2</v>
      </c>
      <c r="AC23" s="354">
        <f t="shared" si="12"/>
        <v>2.4715780767192021E-2</v>
      </c>
      <c r="AD23" s="354">
        <f t="shared" si="40"/>
        <v>5.3800764550523635E-2</v>
      </c>
      <c r="AE23" s="354">
        <f t="shared" si="41"/>
        <v>8.5744592362774607E-3</v>
      </c>
      <c r="AF23" s="374">
        <f t="shared" si="42"/>
        <v>6.9703217404068568E-2</v>
      </c>
      <c r="AG23" s="354">
        <f t="shared" si="16"/>
        <v>4.4795959164849082E-3</v>
      </c>
      <c r="AH23" s="354">
        <f t="shared" si="43"/>
        <v>2.253864786621116E-2</v>
      </c>
      <c r="AI23" s="354">
        <f t="shared" si="44"/>
        <v>0</v>
      </c>
      <c r="AJ23" s="354">
        <f t="shared" si="45"/>
        <v>4.2684973621372503E-2</v>
      </c>
      <c r="AK23" s="374">
        <f t="shared" si="46"/>
        <v>4.603849001494853E-2</v>
      </c>
      <c r="AL23" s="354">
        <f t="shared" si="21"/>
        <v>1.3190332992950153E-2</v>
      </c>
      <c r="AM23" s="354">
        <f t="shared" si="47"/>
        <v>3.1110222803267328E-2</v>
      </c>
      <c r="AN23" s="354">
        <f t="shared" si="48"/>
        <v>1.7379342187310515E-3</v>
      </c>
      <c r="AO23" s="374">
        <f t="shared" si="49"/>
        <v>2.6695196575364191E-2</v>
      </c>
      <c r="AP23" s="354">
        <f t="shared" si="25"/>
        <v>6.1214893646698238E-3</v>
      </c>
      <c r="AQ23" s="354">
        <f t="shared" si="50"/>
        <v>2.0573707210694368E-2</v>
      </c>
      <c r="AR23" s="374">
        <f t="shared" si="51"/>
        <v>4.8699811141098254E-2</v>
      </c>
      <c r="AS23" s="354">
        <f t="shared" si="28"/>
        <v>2.1103281434977757E-2</v>
      </c>
      <c r="AT23" s="354">
        <f t="shared" si="52"/>
        <v>2.75965297061205E-2</v>
      </c>
      <c r="AU23" s="355" t="s">
        <v>396</v>
      </c>
      <c r="AV23" s="353" t="s">
        <v>404</v>
      </c>
      <c r="AW23" s="355" t="s">
        <v>405</v>
      </c>
      <c r="AX23" s="355">
        <v>117427</v>
      </c>
      <c r="AY23" s="350" t="s">
        <v>406</v>
      </c>
      <c r="AZ23" s="351">
        <v>45021</v>
      </c>
      <c r="BA23" s="351">
        <v>45021</v>
      </c>
      <c r="BB23" s="350" t="s">
        <v>407</v>
      </c>
    </row>
    <row r="24" spans="1:54" x14ac:dyDescent="0.25">
      <c r="A24" s="348" t="s">
        <v>436</v>
      </c>
      <c r="B24" s="349">
        <v>4455</v>
      </c>
      <c r="C24" s="350" t="s">
        <v>402</v>
      </c>
      <c r="D24" s="351">
        <v>45016</v>
      </c>
      <c r="E24" s="352">
        <v>3120</v>
      </c>
      <c r="F24" s="352">
        <v>1</v>
      </c>
      <c r="H24" s="350" t="s">
        <v>438</v>
      </c>
      <c r="I24" s="350" t="s">
        <v>393</v>
      </c>
      <c r="J24" s="354">
        <v>1176</v>
      </c>
      <c r="K24" s="350" t="s">
        <v>394</v>
      </c>
      <c r="L24" s="354">
        <v>0</v>
      </c>
      <c r="M24" s="354">
        <v>0.56999999999999995</v>
      </c>
      <c r="N24" s="354" t="s">
        <v>395</v>
      </c>
      <c r="O24" s="354">
        <v>0.47</v>
      </c>
      <c r="P24" s="374">
        <f t="shared" si="0"/>
        <v>3.5914636862768391E-2</v>
      </c>
      <c r="Q24" s="354">
        <f t="shared" si="30"/>
        <v>3.387298141791526E-3</v>
      </c>
      <c r="R24" s="354">
        <f t="shared" si="31"/>
        <v>5.7099994791365745E-3</v>
      </c>
      <c r="S24" s="354">
        <f t="shared" si="32"/>
        <v>5.0863910783895579E-3</v>
      </c>
      <c r="T24" s="354">
        <f t="shared" si="33"/>
        <v>2.1705574037758111E-2</v>
      </c>
      <c r="U24" s="374">
        <f t="shared" si="34"/>
        <v>0.14414102099817272</v>
      </c>
      <c r="V24" s="354">
        <f t="shared" si="5"/>
        <v>3.8155160523247102E-3</v>
      </c>
      <c r="W24" s="354">
        <f t="shared" si="35"/>
        <v>0.13015515507486614</v>
      </c>
      <c r="X24" s="354">
        <f t="shared" si="36"/>
        <v>1.0170349870981889E-2</v>
      </c>
      <c r="Y24" s="374">
        <f t="shared" si="37"/>
        <v>2.1130853248362527E-2</v>
      </c>
      <c r="Z24" s="354">
        <f t="shared" si="9"/>
        <v>1.0900562516632498E-2</v>
      </c>
      <c r="AA24" s="354">
        <f t="shared" si="38"/>
        <v>1.0230290731730029E-2</v>
      </c>
      <c r="AB24" s="374">
        <f t="shared" si="39"/>
        <v>0.11544621533901411</v>
      </c>
      <c r="AC24" s="354">
        <f t="shared" si="12"/>
        <v>3.2762779156510352E-2</v>
      </c>
      <c r="AD24" s="354">
        <f t="shared" si="40"/>
        <v>7.1317292543717367E-2</v>
      </c>
      <c r="AE24" s="354">
        <f t="shared" si="41"/>
        <v>1.1366143638786401E-2</v>
      </c>
      <c r="AF24" s="374">
        <f t="shared" si="42"/>
        <v>9.2397288186788565E-2</v>
      </c>
      <c r="AG24" s="354">
        <f t="shared" si="16"/>
        <v>5.9380690055730184E-3</v>
      </c>
      <c r="AH24" s="354">
        <f t="shared" si="43"/>
        <v>2.9876812287768281E-2</v>
      </c>
      <c r="AI24" s="354">
        <f t="shared" si="44"/>
        <v>0</v>
      </c>
      <c r="AJ24" s="354">
        <f t="shared" si="45"/>
        <v>5.6582406893447269E-2</v>
      </c>
      <c r="AK24" s="374">
        <f t="shared" si="46"/>
        <v>6.1027765833768975E-2</v>
      </c>
      <c r="AL24" s="354">
        <f t="shared" si="21"/>
        <v>1.7484860013910666E-2</v>
      </c>
      <c r="AM24" s="354">
        <f t="shared" si="47"/>
        <v>4.1239132553168314E-2</v>
      </c>
      <c r="AN24" s="354">
        <f t="shared" si="48"/>
        <v>2.3037732666899981E-3</v>
      </c>
      <c r="AO24" s="374">
        <f t="shared" si="49"/>
        <v>3.5386655925482763E-2</v>
      </c>
      <c r="AP24" s="354">
        <f t="shared" si="25"/>
        <v>8.1145324136320911E-3</v>
      </c>
      <c r="AQ24" s="354">
        <f t="shared" si="50"/>
        <v>2.7272123511850672E-2</v>
      </c>
      <c r="AR24" s="374">
        <f t="shared" si="51"/>
        <v>6.4555563605641866E-2</v>
      </c>
      <c r="AS24" s="354">
        <f t="shared" si="28"/>
        <v>2.7974117251017026E-2</v>
      </c>
      <c r="AT24" s="354">
        <f t="shared" si="52"/>
        <v>3.6581446354624847E-2</v>
      </c>
      <c r="AU24" s="355" t="s">
        <v>396</v>
      </c>
      <c r="AV24" s="353" t="s">
        <v>404</v>
      </c>
      <c r="AW24" s="355" t="s">
        <v>405</v>
      </c>
      <c r="AX24" s="355">
        <v>117293</v>
      </c>
      <c r="AY24" s="350" t="s">
        <v>406</v>
      </c>
      <c r="AZ24" s="351">
        <v>45021</v>
      </c>
      <c r="BA24" s="351">
        <v>45021</v>
      </c>
      <c r="BB24" s="350" t="s">
        <v>407</v>
      </c>
    </row>
    <row r="25" spans="1:54" x14ac:dyDescent="0.25">
      <c r="A25" s="348" t="s">
        <v>436</v>
      </c>
      <c r="B25" s="349">
        <v>4455</v>
      </c>
      <c r="C25" s="350" t="s">
        <v>402</v>
      </c>
      <c r="D25" s="351">
        <v>45016</v>
      </c>
      <c r="E25" s="352">
        <v>3130</v>
      </c>
      <c r="F25" s="352">
        <v>1</v>
      </c>
      <c r="H25" s="350" t="s">
        <v>439</v>
      </c>
      <c r="I25" s="350" t="s">
        <v>393</v>
      </c>
      <c r="J25" s="354">
        <v>53768.4</v>
      </c>
      <c r="K25" s="350" t="s">
        <v>394</v>
      </c>
      <c r="L25" s="354">
        <v>0</v>
      </c>
      <c r="M25" s="354">
        <v>26.24</v>
      </c>
      <c r="N25" s="354" t="s">
        <v>395</v>
      </c>
      <c r="O25" s="354">
        <v>21.51</v>
      </c>
      <c r="P25" s="374">
        <f t="shared" si="0"/>
        <v>1.6533334583842851</v>
      </c>
      <c r="Q25" s="354">
        <f t="shared" si="30"/>
        <v>0.15593456708878883</v>
      </c>
      <c r="R25" s="354">
        <f t="shared" si="31"/>
        <v>0.26286032689919947</v>
      </c>
      <c r="S25" s="354">
        <f t="shared" si="32"/>
        <v>0.23415245946831931</v>
      </c>
      <c r="T25" s="354">
        <f t="shared" si="33"/>
        <v>0.99921800482591716</v>
      </c>
      <c r="U25" s="374">
        <f t="shared" si="34"/>
        <v>6.6355445456000917</v>
      </c>
      <c r="V25" s="354">
        <f t="shared" si="5"/>
        <v>0.1756476161631586</v>
      </c>
      <c r="W25" s="354">
        <f t="shared" si="35"/>
        <v>5.9917039809903283</v>
      </c>
      <c r="X25" s="354">
        <f t="shared" si="36"/>
        <v>0.46819294844660492</v>
      </c>
      <c r="Y25" s="374">
        <f t="shared" si="37"/>
        <v>0.97276068287198714</v>
      </c>
      <c r="Z25" s="354">
        <f t="shared" si="9"/>
        <v>0.50180835164287141</v>
      </c>
      <c r="AA25" s="354">
        <f t="shared" si="38"/>
        <v>0.47095233122911567</v>
      </c>
      <c r="AB25" s="374">
        <f t="shared" si="39"/>
        <v>5.3145766499925093</v>
      </c>
      <c r="AC25" s="354">
        <f t="shared" si="12"/>
        <v>1.5082374123979501</v>
      </c>
      <c r="AD25" s="354">
        <f t="shared" si="40"/>
        <v>3.2830978181528834</v>
      </c>
      <c r="AE25" s="354">
        <f t="shared" si="41"/>
        <v>0.52324141944167568</v>
      </c>
      <c r="AF25" s="374">
        <f t="shared" si="42"/>
        <v>4.2535172667040912</v>
      </c>
      <c r="AG25" s="354">
        <f t="shared" si="16"/>
        <v>0.27335952755480003</v>
      </c>
      <c r="AH25" s="354">
        <f t="shared" si="43"/>
        <v>1.3753816744404206</v>
      </c>
      <c r="AI25" s="354">
        <f t="shared" si="44"/>
        <v>0</v>
      </c>
      <c r="AJ25" s="354">
        <f t="shared" si="45"/>
        <v>2.6047760647088709</v>
      </c>
      <c r="AK25" s="374">
        <f t="shared" si="46"/>
        <v>2.8094185534703473</v>
      </c>
      <c r="AL25" s="354">
        <f t="shared" si="21"/>
        <v>0.80491706450002798</v>
      </c>
      <c r="AM25" s="354">
        <f t="shared" si="47"/>
        <v>1.8984470845528711</v>
      </c>
      <c r="AN25" s="354">
        <f t="shared" si="48"/>
        <v>0.10605440441744834</v>
      </c>
      <c r="AO25" s="374">
        <f t="shared" si="49"/>
        <v>1.6290278096222239</v>
      </c>
      <c r="AP25" s="354">
        <f t="shared" si="25"/>
        <v>0.37355321146264225</v>
      </c>
      <c r="AQ25" s="354">
        <f t="shared" si="50"/>
        <v>1.2554745981595818</v>
      </c>
      <c r="AR25" s="374">
        <f t="shared" si="51"/>
        <v>2.9718210333544608</v>
      </c>
      <c r="AS25" s="354">
        <f t="shared" si="28"/>
        <v>1.2877909415205031</v>
      </c>
      <c r="AT25" s="354">
        <f t="shared" si="52"/>
        <v>1.6840300918339579</v>
      </c>
      <c r="AU25" s="355" t="s">
        <v>396</v>
      </c>
      <c r="AV25" s="353" t="s">
        <v>404</v>
      </c>
      <c r="AW25" s="355" t="s">
        <v>405</v>
      </c>
      <c r="AX25" s="355">
        <v>103265</v>
      </c>
      <c r="AY25" s="350" t="s">
        <v>406</v>
      </c>
      <c r="AZ25" s="351">
        <v>45021</v>
      </c>
      <c r="BA25" s="351">
        <v>45021</v>
      </c>
      <c r="BB25" s="350" t="s">
        <v>407</v>
      </c>
    </row>
    <row r="26" spans="1:54" x14ac:dyDescent="0.25">
      <c r="A26" s="348" t="s">
        <v>436</v>
      </c>
      <c r="B26" s="349">
        <v>4455</v>
      </c>
      <c r="C26" s="350" t="s">
        <v>402</v>
      </c>
      <c r="D26" s="351">
        <v>45016</v>
      </c>
      <c r="E26" s="352">
        <v>3130</v>
      </c>
      <c r="F26" s="352">
        <v>1</v>
      </c>
      <c r="H26" s="350" t="s">
        <v>439</v>
      </c>
      <c r="I26" s="350" t="s">
        <v>393</v>
      </c>
      <c r="J26" s="354">
        <v>327102</v>
      </c>
      <c r="K26" s="350" t="s">
        <v>394</v>
      </c>
      <c r="L26" s="354">
        <v>0</v>
      </c>
      <c r="M26" s="354">
        <v>159.62</v>
      </c>
      <c r="N26" s="354" t="s">
        <v>395</v>
      </c>
      <c r="O26" s="354">
        <v>130.84</v>
      </c>
      <c r="P26" s="374">
        <f t="shared" si="0"/>
        <v>10.05735848427209</v>
      </c>
      <c r="Q26" s="354">
        <f t="shared" si="30"/>
        <v>0.94856233226800601</v>
      </c>
      <c r="R26" s="354">
        <f t="shared" si="31"/>
        <v>1.5990002050171581</v>
      </c>
      <c r="S26" s="354">
        <f t="shared" si="32"/>
        <v>1.4243679718114761</v>
      </c>
      <c r="T26" s="354">
        <f t="shared" si="33"/>
        <v>6.078322329661316</v>
      </c>
      <c r="U26" s="374">
        <f t="shared" si="34"/>
        <v>40.364543459172509</v>
      </c>
      <c r="V26" s="354">
        <f t="shared" si="5"/>
        <v>1.0684783724071409</v>
      </c>
      <c r="W26" s="354">
        <f t="shared" si="35"/>
        <v>36.448010268509002</v>
      </c>
      <c r="X26" s="354">
        <f t="shared" si="36"/>
        <v>2.848054818256367</v>
      </c>
      <c r="Y26" s="374">
        <f t="shared" si="37"/>
        <v>5.9173803429888183</v>
      </c>
      <c r="Z26" s="354">
        <f t="shared" si="9"/>
        <v>3.0525399805348759</v>
      </c>
      <c r="AA26" s="354">
        <f t="shared" si="38"/>
        <v>2.864840362453942</v>
      </c>
      <c r="AB26" s="374">
        <f t="shared" si="39"/>
        <v>32.328991039321814</v>
      </c>
      <c r="AC26" s="354">
        <f t="shared" si="12"/>
        <v>9.1747277350213725</v>
      </c>
      <c r="AD26" s="354">
        <f t="shared" si="40"/>
        <v>19.971344273382748</v>
      </c>
      <c r="AE26" s="354">
        <f t="shared" si="41"/>
        <v>3.1829190309176938</v>
      </c>
      <c r="AF26" s="374">
        <f t="shared" si="42"/>
        <v>25.874482702412617</v>
      </c>
      <c r="AG26" s="354">
        <f t="shared" si="16"/>
        <v>1.6628676748588864</v>
      </c>
      <c r="AH26" s="354">
        <f t="shared" si="43"/>
        <v>8.3665557497781986</v>
      </c>
      <c r="AI26" s="354">
        <f t="shared" si="44"/>
        <v>0</v>
      </c>
      <c r="AJ26" s="354">
        <f t="shared" si="45"/>
        <v>15.845059277775533</v>
      </c>
      <c r="AK26" s="374">
        <f t="shared" si="46"/>
        <v>17.089915758572289</v>
      </c>
      <c r="AL26" s="354">
        <f t="shared" si="21"/>
        <v>4.8963743077551243</v>
      </c>
      <c r="AM26" s="354">
        <f t="shared" si="47"/>
        <v>11.548404101994256</v>
      </c>
      <c r="AN26" s="354">
        <f t="shared" si="48"/>
        <v>0.64513734882290796</v>
      </c>
      <c r="AO26" s="374">
        <f t="shared" si="49"/>
        <v>9.9095052961851913</v>
      </c>
      <c r="AP26" s="354">
        <f t="shared" si="25"/>
        <v>2.2723537962525517</v>
      </c>
      <c r="AQ26" s="354">
        <f t="shared" si="50"/>
        <v>7.6371514999326395</v>
      </c>
      <c r="AR26" s="374">
        <f t="shared" si="51"/>
        <v>18.077822917074659</v>
      </c>
      <c r="AS26" s="354">
        <f t="shared" si="28"/>
        <v>7.8337343782584874</v>
      </c>
      <c r="AT26" s="354">
        <f t="shared" si="52"/>
        <v>10.244088538816172</v>
      </c>
      <c r="AU26" s="355" t="s">
        <v>396</v>
      </c>
      <c r="AV26" s="353" t="s">
        <v>404</v>
      </c>
      <c r="AW26" s="355" t="s">
        <v>405</v>
      </c>
      <c r="AX26" s="355">
        <v>117871</v>
      </c>
      <c r="AY26" s="350" t="s">
        <v>406</v>
      </c>
      <c r="AZ26" s="351">
        <v>45021</v>
      </c>
      <c r="BA26" s="351">
        <v>45021</v>
      </c>
      <c r="BB26" s="350" t="s">
        <v>407</v>
      </c>
    </row>
    <row r="27" spans="1:54" x14ac:dyDescent="0.25">
      <c r="A27" s="348" t="s">
        <v>436</v>
      </c>
      <c r="B27" s="349">
        <v>4455</v>
      </c>
      <c r="C27" s="350" t="s">
        <v>402</v>
      </c>
      <c r="D27" s="351">
        <v>45016</v>
      </c>
      <c r="E27" s="352">
        <v>3130</v>
      </c>
      <c r="F27" s="352">
        <v>1</v>
      </c>
      <c r="H27" s="350" t="s">
        <v>439</v>
      </c>
      <c r="I27" s="350" t="s">
        <v>393</v>
      </c>
      <c r="J27" s="354">
        <v>130166.5</v>
      </c>
      <c r="K27" s="350" t="s">
        <v>394</v>
      </c>
      <c r="L27" s="354">
        <v>0</v>
      </c>
      <c r="M27" s="354">
        <v>63.52</v>
      </c>
      <c r="N27" s="354" t="s">
        <v>395</v>
      </c>
      <c r="O27" s="354">
        <v>52.07</v>
      </c>
      <c r="P27" s="374">
        <f t="shared" si="0"/>
        <v>4.0022767254790326</v>
      </c>
      <c r="Q27" s="354">
        <f t="shared" si="30"/>
        <v>0.37747575081859258</v>
      </c>
      <c r="R27" s="354">
        <f t="shared" si="31"/>
        <v>0.63631432792062326</v>
      </c>
      <c r="S27" s="354">
        <f t="shared" si="32"/>
        <v>0.56682028298123643</v>
      </c>
      <c r="T27" s="354">
        <f t="shared" si="33"/>
        <v>2.4188387068042023</v>
      </c>
      <c r="U27" s="374">
        <f t="shared" si="34"/>
        <v>16.062873076849005</v>
      </c>
      <c r="V27" s="354">
        <f t="shared" si="5"/>
        <v>0.42519575376081692</v>
      </c>
      <c r="W27" s="354">
        <f t="shared" si="35"/>
        <v>14.504307807641224</v>
      </c>
      <c r="X27" s="354">
        <f t="shared" si="36"/>
        <v>1.1333695154469645</v>
      </c>
      <c r="Y27" s="374">
        <f t="shared" si="37"/>
        <v>2.3547926286596277</v>
      </c>
      <c r="Z27" s="354">
        <f t="shared" si="9"/>
        <v>1.2147433878184146</v>
      </c>
      <c r="AA27" s="354">
        <f t="shared" si="38"/>
        <v>1.1400492408412131</v>
      </c>
      <c r="AB27" s="374">
        <f t="shared" si="39"/>
        <v>12.86516420760382</v>
      </c>
      <c r="AC27" s="354">
        <f t="shared" si="12"/>
        <v>3.6510381263535749</v>
      </c>
      <c r="AD27" s="354">
        <f t="shared" si="40"/>
        <v>7.9474989866261883</v>
      </c>
      <c r="AE27" s="354">
        <f t="shared" si="41"/>
        <v>1.2666270946240565</v>
      </c>
      <c r="AF27" s="374">
        <f t="shared" si="42"/>
        <v>10.296624115131246</v>
      </c>
      <c r="AG27" s="354">
        <f t="shared" si="16"/>
        <v>0.66173007584911958</v>
      </c>
      <c r="AH27" s="354">
        <f t="shared" si="43"/>
        <v>3.3294300289807746</v>
      </c>
      <c r="AI27" s="354">
        <f t="shared" si="44"/>
        <v>0</v>
      </c>
      <c r="AJ27" s="354">
        <f t="shared" si="45"/>
        <v>6.3054640103013533</v>
      </c>
      <c r="AK27" s="374">
        <f t="shared" si="46"/>
        <v>6.8008485715105369</v>
      </c>
      <c r="AL27" s="354">
        <f t="shared" si="21"/>
        <v>1.9484882597957995</v>
      </c>
      <c r="AM27" s="354">
        <f t="shared" si="47"/>
        <v>4.5956310522407922</v>
      </c>
      <c r="AN27" s="354">
        <f t="shared" si="48"/>
        <v>0.25672925947394509</v>
      </c>
      <c r="AO27" s="374">
        <f t="shared" si="49"/>
        <v>3.9434392708537986</v>
      </c>
      <c r="AP27" s="354">
        <f t="shared" si="25"/>
        <v>0.90427210335773767</v>
      </c>
      <c r="AQ27" s="354">
        <f t="shared" si="50"/>
        <v>3.039167167496061</v>
      </c>
      <c r="AR27" s="374">
        <f t="shared" si="51"/>
        <v>7.1939814039129333</v>
      </c>
      <c r="AS27" s="354">
        <f t="shared" si="28"/>
        <v>3.1173963645343892</v>
      </c>
      <c r="AT27" s="354">
        <f t="shared" si="52"/>
        <v>4.0765850393785446</v>
      </c>
      <c r="AU27" s="355" t="s">
        <v>396</v>
      </c>
      <c r="AV27" s="353" t="s">
        <v>404</v>
      </c>
      <c r="AW27" s="355" t="s">
        <v>405</v>
      </c>
      <c r="AX27" s="355">
        <v>103321</v>
      </c>
      <c r="AY27" s="350" t="s">
        <v>406</v>
      </c>
      <c r="AZ27" s="351">
        <v>45021</v>
      </c>
      <c r="BA27" s="351">
        <v>45021</v>
      </c>
      <c r="BB27" s="350" t="s">
        <v>407</v>
      </c>
    </row>
    <row r="28" spans="1:54" x14ac:dyDescent="0.25">
      <c r="A28" s="348" t="s">
        <v>436</v>
      </c>
      <c r="B28" s="349">
        <v>4455</v>
      </c>
      <c r="C28" s="350" t="s">
        <v>402</v>
      </c>
      <c r="D28" s="351">
        <v>45016</v>
      </c>
      <c r="E28" s="352">
        <v>3130</v>
      </c>
      <c r="F28" s="352">
        <v>1</v>
      </c>
      <c r="H28" s="350" t="s">
        <v>439</v>
      </c>
      <c r="I28" s="350" t="s">
        <v>393</v>
      </c>
      <c r="J28" s="354">
        <v>10820.76</v>
      </c>
      <c r="K28" s="350" t="s">
        <v>394</v>
      </c>
      <c r="L28" s="354">
        <v>0</v>
      </c>
      <c r="M28" s="354">
        <v>5.28</v>
      </c>
      <c r="N28" s="354" t="s">
        <v>395</v>
      </c>
      <c r="O28" s="354">
        <v>4.33</v>
      </c>
      <c r="P28" s="374">
        <f t="shared" si="0"/>
        <v>0.33268295199195985</v>
      </c>
      <c r="Q28" s="354">
        <f t="shared" si="30"/>
        <v>3.1377077523963612E-2</v>
      </c>
      <c r="R28" s="354">
        <f t="shared" si="31"/>
        <v>5.2892626754107219E-2</v>
      </c>
      <c r="S28" s="354">
        <f t="shared" si="32"/>
        <v>4.7116043673503277E-2</v>
      </c>
      <c r="T28" s="354">
        <f t="shared" si="33"/>
        <v>0.2010621595076541</v>
      </c>
      <c r="U28" s="374">
        <f t="shared" si="34"/>
        <v>1.3352010366146527</v>
      </c>
      <c r="V28" s="354">
        <f t="shared" si="5"/>
        <v>3.5343727642586795E-2</v>
      </c>
      <c r="W28" s="354">
        <f t="shared" si="35"/>
        <v>1.2056477522724443</v>
      </c>
      <c r="X28" s="354">
        <f t="shared" si="36"/>
        <v>9.4209556699621722E-2</v>
      </c>
      <c r="Y28" s="374">
        <f t="shared" si="37"/>
        <v>0.19573843009009501</v>
      </c>
      <c r="Z28" s="354">
        <f t="shared" si="9"/>
        <v>0.10097363173301684</v>
      </c>
      <c r="AA28" s="354">
        <f t="shared" si="38"/>
        <v>9.476479835707817E-2</v>
      </c>
      <c r="AB28" s="374">
        <f t="shared" si="39"/>
        <v>1.0693965210350782</v>
      </c>
      <c r="AC28" s="354">
        <f t="shared" si="12"/>
        <v>0.30348679639714854</v>
      </c>
      <c r="AD28" s="354">
        <f t="shared" si="40"/>
        <v>0.66062334145759249</v>
      </c>
      <c r="AE28" s="354">
        <f t="shared" si="41"/>
        <v>0.1052863831803372</v>
      </c>
      <c r="AF28" s="374">
        <f t="shared" si="42"/>
        <v>0.85589066951972581</v>
      </c>
      <c r="AG28" s="354">
        <f t="shared" si="16"/>
        <v>5.5005270788465864E-2</v>
      </c>
      <c r="AH28" s="354">
        <f t="shared" si="43"/>
        <v>0.27675362961301148</v>
      </c>
      <c r="AI28" s="354">
        <f t="shared" si="44"/>
        <v>0</v>
      </c>
      <c r="AJ28" s="354">
        <f t="shared" si="45"/>
        <v>0.52413176911824855</v>
      </c>
      <c r="AK28" s="374">
        <f t="shared" si="46"/>
        <v>0.56530983088122844</v>
      </c>
      <c r="AL28" s="354">
        <f t="shared" si="21"/>
        <v>0.16196501907622513</v>
      </c>
      <c r="AM28" s="354">
        <f t="shared" si="47"/>
        <v>0.38200459628198019</v>
      </c>
      <c r="AN28" s="354">
        <f t="shared" si="48"/>
        <v>2.1340215523023141E-2</v>
      </c>
      <c r="AO28" s="374">
        <f t="shared" si="49"/>
        <v>0.32779218120447196</v>
      </c>
      <c r="AP28" s="354">
        <f t="shared" si="25"/>
        <v>7.5166194989434124E-2</v>
      </c>
      <c r="AQ28" s="354">
        <f t="shared" si="50"/>
        <v>0.25262598621503785</v>
      </c>
      <c r="AR28" s="374">
        <f t="shared" si="51"/>
        <v>0.59798837866278798</v>
      </c>
      <c r="AS28" s="354">
        <f t="shared" si="28"/>
        <v>0.25912866506205251</v>
      </c>
      <c r="AT28" s="354">
        <f t="shared" si="52"/>
        <v>0.33885971360073552</v>
      </c>
      <c r="AU28" s="355" t="s">
        <v>396</v>
      </c>
      <c r="AV28" s="353" t="s">
        <v>404</v>
      </c>
      <c r="AW28" s="355" t="s">
        <v>405</v>
      </c>
      <c r="AX28" s="355">
        <v>117427</v>
      </c>
      <c r="AY28" s="350" t="s">
        <v>406</v>
      </c>
      <c r="AZ28" s="351">
        <v>45021</v>
      </c>
      <c r="BA28" s="351">
        <v>45021</v>
      </c>
      <c r="BB28" s="350" t="s">
        <v>407</v>
      </c>
    </row>
    <row r="29" spans="1:54" x14ac:dyDescent="0.25">
      <c r="A29" s="348" t="s">
        <v>436</v>
      </c>
      <c r="B29" s="349">
        <v>4455</v>
      </c>
      <c r="C29" s="350" t="s">
        <v>402</v>
      </c>
      <c r="D29" s="351">
        <v>45016</v>
      </c>
      <c r="E29" s="352">
        <v>3130</v>
      </c>
      <c r="F29" s="352">
        <v>1</v>
      </c>
      <c r="H29" s="350" t="s">
        <v>439</v>
      </c>
      <c r="I29" s="350" t="s">
        <v>393</v>
      </c>
      <c r="J29" s="354">
        <v>84281</v>
      </c>
      <c r="K29" s="350" t="s">
        <v>394</v>
      </c>
      <c r="L29" s="354">
        <v>0</v>
      </c>
      <c r="M29" s="354">
        <v>41.13</v>
      </c>
      <c r="N29" s="354" t="s">
        <v>395</v>
      </c>
      <c r="O29" s="354">
        <v>33.71</v>
      </c>
      <c r="P29" s="374">
        <f t="shared" si="0"/>
        <v>2.5915245862555509</v>
      </c>
      <c r="Q29" s="354">
        <f t="shared" si="30"/>
        <v>0.24442030275769383</v>
      </c>
      <c r="R29" s="354">
        <f t="shared" si="31"/>
        <v>0.41202154136296021</v>
      </c>
      <c r="S29" s="354">
        <f t="shared" si="32"/>
        <v>0.36702327202484658</v>
      </c>
      <c r="T29" s="354">
        <f t="shared" si="33"/>
        <v>1.5662285266192828</v>
      </c>
      <c r="U29" s="374">
        <f t="shared" si="34"/>
        <v>10.400912620447096</v>
      </c>
      <c r="V29" s="354">
        <f t="shared" si="5"/>
        <v>0.27531960567037783</v>
      </c>
      <c r="W29" s="354">
        <f t="shared" si="35"/>
        <v>9.3917219793495512</v>
      </c>
      <c r="X29" s="354">
        <f t="shared" si="36"/>
        <v>0.73387103542716703</v>
      </c>
      <c r="Y29" s="374">
        <f t="shared" si="37"/>
        <v>1.5247578843950014</v>
      </c>
      <c r="Z29" s="354">
        <f t="shared" si="9"/>
        <v>0.78656164264753448</v>
      </c>
      <c r="AA29" s="354">
        <f t="shared" si="38"/>
        <v>0.73819624174746679</v>
      </c>
      <c r="AB29" s="374">
        <f t="shared" si="39"/>
        <v>8.3303558541993876</v>
      </c>
      <c r="AC29" s="354">
        <f t="shared" si="12"/>
        <v>2.3640931696618788</v>
      </c>
      <c r="AD29" s="354">
        <f t="shared" si="40"/>
        <v>5.1461056882861325</v>
      </c>
      <c r="AE29" s="354">
        <f t="shared" si="41"/>
        <v>0.82015699625137672</v>
      </c>
      <c r="AF29" s="374">
        <f t="shared" si="42"/>
        <v>6.6671937949519551</v>
      </c>
      <c r="AG29" s="354">
        <f t="shared" si="16"/>
        <v>0.42847855824424264</v>
      </c>
      <c r="AH29" s="354">
        <f t="shared" si="43"/>
        <v>2.155847876133175</v>
      </c>
      <c r="AI29" s="354">
        <f t="shared" si="44"/>
        <v>0</v>
      </c>
      <c r="AJ29" s="354">
        <f t="shared" si="45"/>
        <v>4.0828673605745385</v>
      </c>
      <c r="AK29" s="374">
        <f t="shared" si="46"/>
        <v>4.4036351030577512</v>
      </c>
      <c r="AL29" s="354">
        <f t="shared" si="21"/>
        <v>1.2616706883721855</v>
      </c>
      <c r="AM29" s="354">
        <f t="shared" si="47"/>
        <v>2.9757289858101981</v>
      </c>
      <c r="AN29" s="354">
        <f t="shared" si="48"/>
        <v>0.16623542887536777</v>
      </c>
      <c r="AO29" s="374">
        <f t="shared" si="49"/>
        <v>2.5534265933598355</v>
      </c>
      <c r="AP29" s="354">
        <f t="shared" si="25"/>
        <v>0.58552757574155789</v>
      </c>
      <c r="AQ29" s="354">
        <f t="shared" si="50"/>
        <v>1.9678990176182778</v>
      </c>
      <c r="AR29" s="374">
        <f t="shared" si="51"/>
        <v>4.6581935633334224</v>
      </c>
      <c r="AS29" s="354">
        <f t="shared" si="28"/>
        <v>2.0185534079549661</v>
      </c>
      <c r="AT29" s="354">
        <f t="shared" si="52"/>
        <v>2.6396401553784568</v>
      </c>
      <c r="AU29" s="355" t="s">
        <v>396</v>
      </c>
      <c r="AV29" s="353" t="s">
        <v>404</v>
      </c>
      <c r="AW29" s="355" t="s">
        <v>405</v>
      </c>
      <c r="AX29" s="355">
        <v>117872</v>
      </c>
      <c r="AY29" s="350" t="s">
        <v>406</v>
      </c>
      <c r="AZ29" s="351">
        <v>45021</v>
      </c>
      <c r="BA29" s="351">
        <v>45021</v>
      </c>
      <c r="BB29" s="350" t="s">
        <v>407</v>
      </c>
    </row>
    <row r="30" spans="1:54" x14ac:dyDescent="0.25">
      <c r="A30" s="348" t="s">
        <v>436</v>
      </c>
      <c r="B30" s="349">
        <v>4455</v>
      </c>
      <c r="C30" s="350" t="s">
        <v>402</v>
      </c>
      <c r="D30" s="351">
        <v>45016</v>
      </c>
      <c r="E30" s="352">
        <v>3130</v>
      </c>
      <c r="F30" s="352">
        <v>1</v>
      </c>
      <c r="H30" s="350" t="s">
        <v>439</v>
      </c>
      <c r="I30" s="350" t="s">
        <v>393</v>
      </c>
      <c r="J30" s="354">
        <v>25502.36</v>
      </c>
      <c r="K30" s="350" t="s">
        <v>394</v>
      </c>
      <c r="L30" s="354">
        <v>0</v>
      </c>
      <c r="M30" s="354">
        <v>12.44</v>
      </c>
      <c r="N30" s="354" t="s">
        <v>395</v>
      </c>
      <c r="O30" s="354">
        <v>10.199999999999999</v>
      </c>
      <c r="P30" s="374">
        <f t="shared" si="0"/>
        <v>0.78382119749620838</v>
      </c>
      <c r="Q30" s="354">
        <f t="shared" si="30"/>
        <v>7.3926296287520316E-2</v>
      </c>
      <c r="R30" s="354">
        <f t="shared" si="31"/>
        <v>0.12461823424641927</v>
      </c>
      <c r="S30" s="354">
        <f t="shared" si="32"/>
        <v>0.11100825441257212</v>
      </c>
      <c r="T30" s="354">
        <f t="shared" si="33"/>
        <v>0.47371463338545772</v>
      </c>
      <c r="U30" s="374">
        <f t="shared" si="34"/>
        <v>3.145814563539068</v>
      </c>
      <c r="V30" s="354">
        <f t="shared" si="5"/>
        <v>8.3271964370034035E-2</v>
      </c>
      <c r="W30" s="354">
        <f t="shared" si="35"/>
        <v>2.8405791739146222</v>
      </c>
      <c r="X30" s="354">
        <f t="shared" si="36"/>
        <v>0.22196342525441179</v>
      </c>
      <c r="Y30" s="374">
        <f t="shared" si="37"/>
        <v>0.46117160422742076</v>
      </c>
      <c r="Z30" s="354">
        <f t="shared" si="9"/>
        <v>0.23789999597703204</v>
      </c>
      <c r="AA30" s="354">
        <f t="shared" si="38"/>
        <v>0.22327160825038869</v>
      </c>
      <c r="AB30" s="374">
        <f t="shared" si="39"/>
        <v>2.5195630154690098</v>
      </c>
      <c r="AC30" s="354">
        <f t="shared" si="12"/>
        <v>0.71503328545085743</v>
      </c>
      <c r="AD30" s="354">
        <f t="shared" si="40"/>
        <v>1.5564686302523578</v>
      </c>
      <c r="AE30" s="354">
        <f t="shared" si="41"/>
        <v>0.24806109976579443</v>
      </c>
      <c r="AF30" s="374">
        <f t="shared" si="42"/>
        <v>2.0165302895502628</v>
      </c>
      <c r="AG30" s="354">
        <f t="shared" si="16"/>
        <v>0.1295957516304006</v>
      </c>
      <c r="AH30" s="354">
        <f t="shared" si="43"/>
        <v>0.6520483243155043</v>
      </c>
      <c r="AI30" s="354">
        <f t="shared" si="44"/>
        <v>0</v>
      </c>
      <c r="AJ30" s="354">
        <f t="shared" si="45"/>
        <v>1.2348862136043581</v>
      </c>
      <c r="AK30" s="374">
        <f t="shared" si="46"/>
        <v>1.3319042227580458</v>
      </c>
      <c r="AL30" s="354">
        <f t="shared" si="21"/>
        <v>0.38159940100534862</v>
      </c>
      <c r="AM30" s="354">
        <f t="shared" si="47"/>
        <v>0.90002598063405936</v>
      </c>
      <c r="AN30" s="354">
        <f t="shared" si="48"/>
        <v>5.0278841118637861E-2</v>
      </c>
      <c r="AO30" s="374">
        <f t="shared" si="49"/>
        <v>0.77229824511053613</v>
      </c>
      <c r="AP30" s="354">
        <f t="shared" si="25"/>
        <v>0.17709611092207583</v>
      </c>
      <c r="AQ30" s="354">
        <f t="shared" si="50"/>
        <v>0.59520213418846035</v>
      </c>
      <c r="AR30" s="374">
        <f t="shared" si="51"/>
        <v>1.4088968618494473</v>
      </c>
      <c r="AS30" s="354">
        <f t="shared" si="28"/>
        <v>0.61052283965377518</v>
      </c>
      <c r="AT30" s="354">
        <f t="shared" si="52"/>
        <v>0.79837402219567222</v>
      </c>
      <c r="AU30" s="355" t="s">
        <v>396</v>
      </c>
      <c r="AV30" s="353" t="s">
        <v>404</v>
      </c>
      <c r="AW30" s="355" t="s">
        <v>405</v>
      </c>
      <c r="AX30" s="355">
        <v>117293</v>
      </c>
      <c r="AY30" s="350" t="s">
        <v>406</v>
      </c>
      <c r="AZ30" s="351">
        <v>45021</v>
      </c>
      <c r="BA30" s="351">
        <v>45021</v>
      </c>
      <c r="BB30" s="350" t="s">
        <v>407</v>
      </c>
    </row>
    <row r="31" spans="1:54" x14ac:dyDescent="0.25">
      <c r="A31" s="348" t="s">
        <v>440</v>
      </c>
      <c r="B31" s="349">
        <v>4743</v>
      </c>
      <c r="C31" s="350" t="s">
        <v>441</v>
      </c>
      <c r="D31" s="351">
        <v>45028</v>
      </c>
      <c r="E31" s="352">
        <v>3490</v>
      </c>
      <c r="F31" s="352">
        <v>7</v>
      </c>
      <c r="H31" s="350" t="s">
        <v>442</v>
      </c>
      <c r="I31" s="350" t="s">
        <v>393</v>
      </c>
      <c r="J31" s="354">
        <v>112000</v>
      </c>
      <c r="K31" s="350" t="s">
        <v>394</v>
      </c>
      <c r="L31" s="354">
        <v>0</v>
      </c>
      <c r="M31" s="354">
        <v>54.32</v>
      </c>
      <c r="N31" s="354" t="s">
        <v>395</v>
      </c>
      <c r="O31" s="354">
        <v>44.06</v>
      </c>
      <c r="P31" s="374">
        <f t="shared" si="0"/>
        <v>3.4226018848869808</v>
      </c>
      <c r="Q31" s="354">
        <f t="shared" si="30"/>
        <v>0.32280357028441353</v>
      </c>
      <c r="R31" s="354">
        <f t="shared" si="31"/>
        <v>0.54415293281876975</v>
      </c>
      <c r="S31" s="354">
        <f t="shared" si="32"/>
        <v>0.48472414627740495</v>
      </c>
      <c r="T31" s="354">
        <f t="shared" si="33"/>
        <v>2.068503125843896</v>
      </c>
      <c r="U31" s="374">
        <f t="shared" si="34"/>
        <v>13.736386422141655</v>
      </c>
      <c r="V31" s="354">
        <f t="shared" si="5"/>
        <v>0.36361198589873384</v>
      </c>
      <c r="W31" s="354">
        <f t="shared" si="35"/>
        <v>12.403557936257419</v>
      </c>
      <c r="X31" s="354">
        <f t="shared" si="36"/>
        <v>0.9692164999855023</v>
      </c>
      <c r="Y31" s="374">
        <f t="shared" si="37"/>
        <v>2.0137332428965831</v>
      </c>
      <c r="Z31" s="354">
        <f t="shared" si="9"/>
        <v>1.0388044840411881</v>
      </c>
      <c r="AA31" s="354">
        <f t="shared" si="38"/>
        <v>0.97492875885539487</v>
      </c>
      <c r="AB31" s="374">
        <f t="shared" si="39"/>
        <v>11.001821784588154</v>
      </c>
      <c r="AC31" s="354">
        <f t="shared" si="12"/>
        <v>3.1222353750555132</v>
      </c>
      <c r="AD31" s="354">
        <f t="shared" si="40"/>
        <v>6.7964128613591717</v>
      </c>
      <c r="AE31" s="354">
        <f t="shared" si="41"/>
        <v>1.0831735481734692</v>
      </c>
      <c r="AF31" s="374">
        <f t="shared" si="42"/>
        <v>8.805299463695361</v>
      </c>
      <c r="AG31" s="354">
        <f t="shared" si="16"/>
        <v>0.56588755856618667</v>
      </c>
      <c r="AH31" s="354">
        <f t="shared" si="43"/>
        <v>2.8472077955641635</v>
      </c>
      <c r="AI31" s="354">
        <f t="shared" si="44"/>
        <v>0</v>
      </c>
      <c r="AJ31" s="354">
        <f t="shared" si="45"/>
        <v>5.3922041095650108</v>
      </c>
      <c r="AK31" s="374">
        <f t="shared" si="46"/>
        <v>5.8158390177023351</v>
      </c>
      <c r="AL31" s="354">
        <f t="shared" si="21"/>
        <v>1.6662764841326798</v>
      </c>
      <c r="AM31" s="354">
        <f t="shared" si="47"/>
        <v>3.9300169829615839</v>
      </c>
      <c r="AN31" s="354">
        <f t="shared" si="48"/>
        <v>0.21954555060807143</v>
      </c>
      <c r="AO31" s="374">
        <f t="shared" si="49"/>
        <v>3.3722862278460064</v>
      </c>
      <c r="AP31" s="354">
        <f t="shared" si="25"/>
        <v>0.77330070299735998</v>
      </c>
      <c r="AQ31" s="354">
        <f t="shared" si="50"/>
        <v>2.5989855248486466</v>
      </c>
      <c r="AR31" s="374">
        <f t="shared" si="51"/>
        <v>6.152031956242924</v>
      </c>
      <c r="AS31" s="354">
        <f t="shared" si="28"/>
        <v>2.6658842966232368</v>
      </c>
      <c r="AT31" s="354">
        <f t="shared" si="52"/>
        <v>3.4861476596196876</v>
      </c>
      <c r="AU31" s="355" t="s">
        <v>396</v>
      </c>
      <c r="AV31" s="353" t="s">
        <v>404</v>
      </c>
      <c r="AW31" s="355" t="s">
        <v>405</v>
      </c>
      <c r="AX31" s="355">
        <v>0</v>
      </c>
      <c r="AY31" s="350" t="s">
        <v>410</v>
      </c>
      <c r="AZ31" s="351">
        <v>45051</v>
      </c>
      <c r="BA31" s="351">
        <v>45055</v>
      </c>
      <c r="BB31" s="350" t="s">
        <v>407</v>
      </c>
    </row>
    <row r="32" spans="1:54" x14ac:dyDescent="0.25">
      <c r="A32" s="348" t="s">
        <v>443</v>
      </c>
      <c r="B32" s="349">
        <v>4785</v>
      </c>
      <c r="C32" s="350" t="s">
        <v>441</v>
      </c>
      <c r="D32" s="351">
        <v>45044</v>
      </c>
      <c r="E32" s="352">
        <v>3400</v>
      </c>
      <c r="F32" s="352">
        <v>7</v>
      </c>
      <c r="H32" s="350" t="s">
        <v>444</v>
      </c>
      <c r="I32" s="350" t="s">
        <v>393</v>
      </c>
      <c r="J32" s="354">
        <v>3116699</v>
      </c>
      <c r="K32" s="350" t="s">
        <v>394</v>
      </c>
      <c r="L32" s="354">
        <v>0</v>
      </c>
      <c r="M32" s="354">
        <v>1511.5</v>
      </c>
      <c r="N32" s="354" t="s">
        <v>395</v>
      </c>
      <c r="O32" s="354">
        <v>1226.18</v>
      </c>
      <c r="P32" s="374">
        <f t="shared" si="0"/>
        <v>95.236795821183208</v>
      </c>
      <c r="Q32" s="354">
        <f t="shared" si="30"/>
        <v>8.9822827040664777</v>
      </c>
      <c r="R32" s="354">
        <f t="shared" si="31"/>
        <v>15.141516162657778</v>
      </c>
      <c r="S32" s="354">
        <f t="shared" si="32"/>
        <v>13.487859850852312</v>
      </c>
      <c r="T32" s="354">
        <f t="shared" si="33"/>
        <v>57.557851154511205</v>
      </c>
      <c r="U32" s="374">
        <f t="shared" si="34"/>
        <v>382.22658462936505</v>
      </c>
      <c r="V32" s="354">
        <f t="shared" si="5"/>
        <v>10.117811426471579</v>
      </c>
      <c r="W32" s="354">
        <f t="shared" si="35"/>
        <v>345.1395033257196</v>
      </c>
      <c r="X32" s="354">
        <f t="shared" si="36"/>
        <v>26.969269877173907</v>
      </c>
      <c r="Y32" s="374">
        <f t="shared" si="37"/>
        <v>56.033832780526247</v>
      </c>
      <c r="Z32" s="354">
        <f t="shared" si="9"/>
        <v>28.905614462964948</v>
      </c>
      <c r="AA32" s="354">
        <f t="shared" si="38"/>
        <v>27.128218317561295</v>
      </c>
      <c r="AB32" s="374">
        <f t="shared" si="39"/>
        <v>306.13500786828047</v>
      </c>
      <c r="AC32" s="354">
        <f t="shared" si="12"/>
        <v>86.87884332467614</v>
      </c>
      <c r="AD32" s="354">
        <f t="shared" si="40"/>
        <v>189.11594329794528</v>
      </c>
      <c r="AE32" s="354">
        <f t="shared" si="41"/>
        <v>30.140221245659031</v>
      </c>
      <c r="AF32" s="374">
        <f t="shared" si="42"/>
        <v>245.01491420058059</v>
      </c>
      <c r="AG32" s="354">
        <f t="shared" si="16"/>
        <v>15.74630052969056</v>
      </c>
      <c r="AH32" s="354">
        <f t="shared" si="43"/>
        <v>79.225968022739934</v>
      </c>
      <c r="AI32" s="354">
        <f t="shared" si="44"/>
        <v>0</v>
      </c>
      <c r="AJ32" s="354">
        <f t="shared" si="45"/>
        <v>150.04264564815011</v>
      </c>
      <c r="AK32" s="374">
        <f t="shared" si="46"/>
        <v>161.83064571533652</v>
      </c>
      <c r="AL32" s="354">
        <f t="shared" si="21"/>
        <v>46.365554229870135</v>
      </c>
      <c r="AM32" s="354">
        <f t="shared" si="47"/>
        <v>109.35605062125246</v>
      </c>
      <c r="AN32" s="354">
        <f t="shared" si="48"/>
        <v>6.1090408642139167</v>
      </c>
      <c r="AO32" s="374">
        <f t="shared" si="49"/>
        <v>93.83672005503017</v>
      </c>
      <c r="AP32" s="354">
        <f t="shared" si="25"/>
        <v>21.517746917903345</v>
      </c>
      <c r="AQ32" s="354">
        <f t="shared" si="50"/>
        <v>72.318973137126832</v>
      </c>
      <c r="AR32" s="374">
        <f t="shared" si="51"/>
        <v>171.1854989296977</v>
      </c>
      <c r="AS32" s="354">
        <f t="shared" si="28"/>
        <v>74.180488113881111</v>
      </c>
      <c r="AT32" s="354">
        <f t="shared" si="52"/>
        <v>97.00501081581659</v>
      </c>
      <c r="AU32" s="355" t="s">
        <v>396</v>
      </c>
      <c r="AV32" s="353" t="s">
        <v>404</v>
      </c>
      <c r="AW32" s="355" t="s">
        <v>405</v>
      </c>
      <c r="AX32" s="355">
        <v>0</v>
      </c>
      <c r="AY32" s="350" t="s">
        <v>410</v>
      </c>
      <c r="AZ32" s="351">
        <v>45055</v>
      </c>
      <c r="BA32" s="351">
        <v>45055</v>
      </c>
      <c r="BB32" s="350" t="s">
        <v>407</v>
      </c>
    </row>
    <row r="33" spans="1:54" x14ac:dyDescent="0.25">
      <c r="A33" s="348" t="s">
        <v>445</v>
      </c>
      <c r="B33" s="349">
        <v>4699</v>
      </c>
      <c r="C33" s="350" t="s">
        <v>441</v>
      </c>
      <c r="D33" s="351">
        <v>45046</v>
      </c>
      <c r="E33" s="352">
        <v>3110</v>
      </c>
      <c r="F33" s="352">
        <v>1</v>
      </c>
      <c r="H33" s="350" t="s">
        <v>437</v>
      </c>
      <c r="I33" s="350" t="s">
        <v>393</v>
      </c>
      <c r="J33" s="354">
        <v>1462335.8</v>
      </c>
      <c r="K33" s="350" t="s">
        <v>394</v>
      </c>
      <c r="L33" s="354">
        <v>0</v>
      </c>
      <c r="M33" s="354">
        <v>709.19</v>
      </c>
      <c r="N33" s="354" t="s">
        <v>395</v>
      </c>
      <c r="O33" s="354">
        <v>584.92999999999995</v>
      </c>
      <c r="P33" s="374">
        <f t="shared" si="0"/>
        <v>44.684739152117047</v>
      </c>
      <c r="Q33" s="354">
        <f t="shared" si="30"/>
        <v>4.2144525775037414</v>
      </c>
      <c r="R33" s="354">
        <f t="shared" si="31"/>
        <v>7.1043412817699432</v>
      </c>
      <c r="S33" s="354">
        <f t="shared" si="32"/>
        <v>6.3284520857598086</v>
      </c>
      <c r="T33" s="354">
        <f t="shared" si="33"/>
        <v>27.005922897960833</v>
      </c>
      <c r="U33" s="374">
        <f t="shared" si="34"/>
        <v>179.3392468099897</v>
      </c>
      <c r="V33" s="354">
        <f t="shared" si="5"/>
        <v>4.7472382967511608</v>
      </c>
      <c r="W33" s="354">
        <f t="shared" si="35"/>
        <v>161.93813057463916</v>
      </c>
      <c r="X33" s="354">
        <f t="shared" si="36"/>
        <v>12.653877938599381</v>
      </c>
      <c r="Y33" s="374">
        <f t="shared" si="37"/>
        <v>26.290859324923197</v>
      </c>
      <c r="Z33" s="354">
        <f t="shared" si="9"/>
        <v>13.5624033880186</v>
      </c>
      <c r="AA33" s="354">
        <f t="shared" si="38"/>
        <v>12.728455936904595</v>
      </c>
      <c r="AB33" s="374">
        <f t="shared" si="39"/>
        <v>143.63737097592181</v>
      </c>
      <c r="AC33" s="354">
        <f t="shared" si="12"/>
        <v>40.763219912290488</v>
      </c>
      <c r="AD33" s="354">
        <f t="shared" si="40"/>
        <v>88.732474910664777</v>
      </c>
      <c r="AE33" s="354">
        <f t="shared" si="41"/>
        <v>14.141676152966541</v>
      </c>
      <c r="AF33" s="374">
        <f t="shared" si="42"/>
        <v>114.96005755997999</v>
      </c>
      <c r="AG33" s="354">
        <f t="shared" si="16"/>
        <v>7.3881037860742627</v>
      </c>
      <c r="AH33" s="354">
        <f t="shared" si="43"/>
        <v>37.172520186600686</v>
      </c>
      <c r="AI33" s="354">
        <f t="shared" si="44"/>
        <v>0</v>
      </c>
      <c r="AJ33" s="354">
        <f t="shared" si="45"/>
        <v>70.399433587305055</v>
      </c>
      <c r="AK33" s="374">
        <f t="shared" si="46"/>
        <v>75.930317985351977</v>
      </c>
      <c r="AL33" s="354">
        <f t="shared" si="21"/>
        <v>21.754540128535627</v>
      </c>
      <c r="AM33" s="354">
        <f t="shared" si="47"/>
        <v>51.309439325230599</v>
      </c>
      <c r="AN33" s="354">
        <f t="shared" si="48"/>
        <v>2.8663385315857544</v>
      </c>
      <c r="AO33" s="374">
        <f t="shared" si="49"/>
        <v>44.027828975075657</v>
      </c>
      <c r="AP33" s="354">
        <f t="shared" si="25"/>
        <v>10.096044284953937</v>
      </c>
      <c r="AQ33" s="354">
        <f t="shared" si="50"/>
        <v>33.931784690121724</v>
      </c>
      <c r="AR33" s="374">
        <f t="shared" si="51"/>
        <v>80.319579216640648</v>
      </c>
      <c r="AS33" s="354">
        <f t="shared" si="28"/>
        <v>34.805200374120652</v>
      </c>
      <c r="AT33" s="354">
        <f t="shared" si="52"/>
        <v>45.514378842520003</v>
      </c>
      <c r="AU33" s="355" t="s">
        <v>396</v>
      </c>
      <c r="AV33" s="353" t="s">
        <v>404</v>
      </c>
      <c r="AW33" s="355" t="s">
        <v>405</v>
      </c>
      <c r="AX33" s="355">
        <v>102955</v>
      </c>
      <c r="AY33" s="350" t="s">
        <v>406</v>
      </c>
      <c r="AZ33" s="351">
        <v>45054</v>
      </c>
      <c r="BA33" s="351">
        <v>45054</v>
      </c>
      <c r="BB33" s="350" t="s">
        <v>407</v>
      </c>
    </row>
    <row r="34" spans="1:54" x14ac:dyDescent="0.25">
      <c r="A34" s="348" t="s">
        <v>445</v>
      </c>
      <c r="B34" s="349">
        <v>4699</v>
      </c>
      <c r="C34" s="350" t="s">
        <v>441</v>
      </c>
      <c r="D34" s="351">
        <v>45046</v>
      </c>
      <c r="E34" s="352">
        <v>3110</v>
      </c>
      <c r="F34" s="352">
        <v>1</v>
      </c>
      <c r="H34" s="350" t="s">
        <v>437</v>
      </c>
      <c r="I34" s="350" t="s">
        <v>393</v>
      </c>
      <c r="J34" s="354">
        <v>578183.4</v>
      </c>
      <c r="K34" s="350" t="s">
        <v>394</v>
      </c>
      <c r="L34" s="354">
        <v>0</v>
      </c>
      <c r="M34" s="354">
        <v>280.39999999999998</v>
      </c>
      <c r="N34" s="354" t="s">
        <v>395</v>
      </c>
      <c r="O34" s="354">
        <v>231.27</v>
      </c>
      <c r="P34" s="374">
        <f t="shared" si="0"/>
        <v>17.667481011088167</v>
      </c>
      <c r="Q34" s="354">
        <f t="shared" si="30"/>
        <v>1.6663129806286732</v>
      </c>
      <c r="R34" s="354">
        <f t="shared" si="31"/>
        <v>2.8089190420173602</v>
      </c>
      <c r="S34" s="354">
        <f t="shared" si="32"/>
        <v>2.5021474708428628</v>
      </c>
      <c r="T34" s="354">
        <f t="shared" si="33"/>
        <v>10.6776192283989</v>
      </c>
      <c r="U34" s="374">
        <f t="shared" si="34"/>
        <v>70.907267171732684</v>
      </c>
      <c r="V34" s="354">
        <f t="shared" si="5"/>
        <v>1.8769661422313135</v>
      </c>
      <c r="W34" s="354">
        <f t="shared" si="35"/>
        <v>64.027202601741166</v>
      </c>
      <c r="X34" s="354">
        <f t="shared" si="36"/>
        <v>5.0030984277602135</v>
      </c>
      <c r="Y34" s="374">
        <f t="shared" si="37"/>
        <v>10.394896931299741</v>
      </c>
      <c r="Z34" s="354">
        <f t="shared" si="9"/>
        <v>5.3623118064276349</v>
      </c>
      <c r="AA34" s="354">
        <f t="shared" si="38"/>
        <v>5.0325851248721047</v>
      </c>
      <c r="AB34" s="374">
        <f t="shared" si="39"/>
        <v>56.791436457999225</v>
      </c>
      <c r="AC34" s="354">
        <f t="shared" si="12"/>
        <v>16.116988202606144</v>
      </c>
      <c r="AD34" s="354">
        <f t="shared" si="40"/>
        <v>35.083103209225172</v>
      </c>
      <c r="AE34" s="354">
        <f t="shared" si="41"/>
        <v>5.5913450461679064</v>
      </c>
      <c r="AF34" s="374">
        <f t="shared" si="42"/>
        <v>45.452981767676341</v>
      </c>
      <c r="AG34" s="354">
        <f t="shared" si="16"/>
        <v>2.9211132441450429</v>
      </c>
      <c r="AH34" s="354">
        <f t="shared" si="43"/>
        <v>14.697295027175835</v>
      </c>
      <c r="AI34" s="354">
        <f t="shared" si="44"/>
        <v>0</v>
      </c>
      <c r="AJ34" s="354">
        <f t="shared" si="45"/>
        <v>27.834573496355468</v>
      </c>
      <c r="AK34" s="374">
        <f t="shared" si="46"/>
        <v>30.021378139980389</v>
      </c>
      <c r="AL34" s="354">
        <f t="shared" si="21"/>
        <v>8.6013241191237739</v>
      </c>
      <c r="AM34" s="354">
        <f t="shared" si="47"/>
        <v>20.286759241944551</v>
      </c>
      <c r="AN34" s="354">
        <f t="shared" si="48"/>
        <v>1.1332947789120624</v>
      </c>
      <c r="AO34" s="374">
        <f t="shared" si="49"/>
        <v>17.407751441237483</v>
      </c>
      <c r="AP34" s="354">
        <f t="shared" si="25"/>
        <v>3.9917805066358567</v>
      </c>
      <c r="AQ34" s="354">
        <f t="shared" si="50"/>
        <v>13.415970934601628</v>
      </c>
      <c r="AR34" s="374">
        <f t="shared" si="51"/>
        <v>31.756807078985933</v>
      </c>
      <c r="AS34" s="354">
        <f t="shared" si="28"/>
        <v>13.761302591552939</v>
      </c>
      <c r="AT34" s="354">
        <f t="shared" si="52"/>
        <v>17.995504487432996</v>
      </c>
      <c r="AU34" s="355" t="s">
        <v>396</v>
      </c>
      <c r="AV34" s="353" t="s">
        <v>404</v>
      </c>
      <c r="AW34" s="355" t="s">
        <v>405</v>
      </c>
      <c r="AX34" s="355">
        <v>103265</v>
      </c>
      <c r="AY34" s="350" t="s">
        <v>406</v>
      </c>
      <c r="AZ34" s="351">
        <v>45054</v>
      </c>
      <c r="BA34" s="351">
        <v>45054</v>
      </c>
      <c r="BB34" s="350" t="s">
        <v>407</v>
      </c>
    </row>
    <row r="35" spans="1:54" x14ac:dyDescent="0.25">
      <c r="A35" s="348" t="s">
        <v>445</v>
      </c>
      <c r="B35" s="349">
        <v>4699</v>
      </c>
      <c r="C35" s="350" t="s">
        <v>441</v>
      </c>
      <c r="D35" s="351">
        <v>45046</v>
      </c>
      <c r="E35" s="352">
        <v>3110</v>
      </c>
      <c r="F35" s="352">
        <v>1</v>
      </c>
      <c r="H35" s="350" t="s">
        <v>437</v>
      </c>
      <c r="I35" s="350" t="s">
        <v>393</v>
      </c>
      <c r="J35" s="354">
        <v>5429558</v>
      </c>
      <c r="K35" s="350" t="s">
        <v>394</v>
      </c>
      <c r="L35" s="354">
        <v>0</v>
      </c>
      <c r="M35" s="354">
        <v>2633.17</v>
      </c>
      <c r="N35" s="354" t="s">
        <v>395</v>
      </c>
      <c r="O35" s="354">
        <v>2171.8200000000002</v>
      </c>
      <c r="P35" s="374">
        <f t="shared" si="0"/>
        <v>165.91113043497518</v>
      </c>
      <c r="Q35" s="354">
        <f t="shared" si="30"/>
        <v>15.647950610563496</v>
      </c>
      <c r="R35" s="354">
        <f t="shared" si="31"/>
        <v>26.37789355873343</v>
      </c>
      <c r="S35" s="354">
        <f t="shared" si="32"/>
        <v>23.497074378742166</v>
      </c>
      <c r="T35" s="354">
        <f t="shared" si="33"/>
        <v>100.27099366491848</v>
      </c>
      <c r="U35" s="374">
        <f t="shared" si="34"/>
        <v>665.87335484519031</v>
      </c>
      <c r="V35" s="354">
        <f t="shared" si="5"/>
        <v>17.626144567543609</v>
      </c>
      <c r="W35" s="354">
        <f t="shared" si="35"/>
        <v>601.26429769909691</v>
      </c>
      <c r="X35" s="354">
        <f t="shared" si="36"/>
        <v>46.982912578549794</v>
      </c>
      <c r="Y35" s="374">
        <f t="shared" si="37"/>
        <v>97.616015522790804</v>
      </c>
      <c r="Z35" s="354">
        <f t="shared" si="9"/>
        <v>50.356200354247711</v>
      </c>
      <c r="AA35" s="354">
        <f t="shared" si="38"/>
        <v>47.259815168543085</v>
      </c>
      <c r="AB35" s="374">
        <f t="shared" si="39"/>
        <v>533.31493130566992</v>
      </c>
      <c r="AC35" s="354">
        <f t="shared" si="12"/>
        <v>151.35081963429539</v>
      </c>
      <c r="AD35" s="354">
        <f t="shared" si="40"/>
        <v>329.45711439884258</v>
      </c>
      <c r="AE35" s="354">
        <f t="shared" si="41"/>
        <v>52.506997272531919</v>
      </c>
      <c r="AF35" s="374">
        <f t="shared" si="42"/>
        <v>426.83818830667735</v>
      </c>
      <c r="AG35" s="354">
        <f t="shared" si="16"/>
        <v>27.431482742815277</v>
      </c>
      <c r="AH35" s="354">
        <f t="shared" si="43"/>
        <v>138.01881721365407</v>
      </c>
      <c r="AI35" s="354">
        <f t="shared" si="44"/>
        <v>0</v>
      </c>
      <c r="AJ35" s="354">
        <f t="shared" si="45"/>
        <v>261.38788835020802</v>
      </c>
      <c r="AK35" s="374">
        <f t="shared" si="46"/>
        <v>281.92365291316747</v>
      </c>
      <c r="AL35" s="354">
        <f t="shared" si="21"/>
        <v>80.772997969875703</v>
      </c>
      <c r="AM35" s="354">
        <f t="shared" si="47"/>
        <v>190.50815204390562</v>
      </c>
      <c r="AN35" s="354">
        <f t="shared" si="48"/>
        <v>10.642502899386145</v>
      </c>
      <c r="AO35" s="374">
        <f t="shared" si="49"/>
        <v>163.47207154965517</v>
      </c>
      <c r="AP35" s="354">
        <f t="shared" si="25"/>
        <v>37.485865465971251</v>
      </c>
      <c r="AQ35" s="354">
        <f t="shared" si="50"/>
        <v>125.98620608368392</v>
      </c>
      <c r="AR35" s="374">
        <f t="shared" si="51"/>
        <v>298.22065512187373</v>
      </c>
      <c r="AS35" s="354">
        <f t="shared" si="28"/>
        <v>129.2291338980009</v>
      </c>
      <c r="AT35" s="354">
        <f t="shared" si="52"/>
        <v>168.99152122387284</v>
      </c>
      <c r="AU35" s="355" t="s">
        <v>396</v>
      </c>
      <c r="AV35" s="353" t="s">
        <v>404</v>
      </c>
      <c r="AW35" s="355" t="s">
        <v>405</v>
      </c>
      <c r="AX35" s="355">
        <v>117871</v>
      </c>
      <c r="AY35" s="350" t="s">
        <v>406</v>
      </c>
      <c r="AZ35" s="351">
        <v>45054</v>
      </c>
      <c r="BA35" s="351">
        <v>45054</v>
      </c>
      <c r="BB35" s="350" t="s">
        <v>407</v>
      </c>
    </row>
    <row r="36" spans="1:54" x14ac:dyDescent="0.25">
      <c r="A36" s="348" t="s">
        <v>445</v>
      </c>
      <c r="B36" s="349">
        <v>4699</v>
      </c>
      <c r="C36" s="350" t="s">
        <v>441</v>
      </c>
      <c r="D36" s="351">
        <v>45046</v>
      </c>
      <c r="E36" s="352">
        <v>3110</v>
      </c>
      <c r="F36" s="352">
        <v>1</v>
      </c>
      <c r="H36" s="350" t="s">
        <v>437</v>
      </c>
      <c r="I36" s="350" t="s">
        <v>393</v>
      </c>
      <c r="J36" s="354">
        <v>1871143.5</v>
      </c>
      <c r="K36" s="350" t="s">
        <v>394</v>
      </c>
      <c r="L36" s="354">
        <v>0</v>
      </c>
      <c r="M36" s="354">
        <v>907.45</v>
      </c>
      <c r="N36" s="354" t="s">
        <v>395</v>
      </c>
      <c r="O36" s="354">
        <v>748.46</v>
      </c>
      <c r="P36" s="374">
        <f t="shared" si="0"/>
        <v>57.176731966875749</v>
      </c>
      <c r="Q36" s="354">
        <f t="shared" si="30"/>
        <v>5.392638068015299</v>
      </c>
      <c r="R36" s="354">
        <f t="shared" si="31"/>
        <v>9.090419346214885</v>
      </c>
      <c r="S36" s="354">
        <f t="shared" si="32"/>
        <v>8.0976238317273772</v>
      </c>
      <c r="T36" s="354">
        <f t="shared" si="33"/>
        <v>34.555654667655432</v>
      </c>
      <c r="U36" s="374">
        <f t="shared" si="34"/>
        <v>229.47503421893308</v>
      </c>
      <c r="V36" s="354">
        <f t="shared" si="5"/>
        <v>6.0743684941790503</v>
      </c>
      <c r="W36" s="354">
        <f t="shared" si="35"/>
        <v>207.20929030296014</v>
      </c>
      <c r="X36" s="354">
        <f t="shared" si="36"/>
        <v>16.191375421793889</v>
      </c>
      <c r="Y36" s="374">
        <f t="shared" si="37"/>
        <v>33.640689088116801</v>
      </c>
      <c r="Z36" s="354">
        <f t="shared" si="9"/>
        <v>17.353886764417826</v>
      </c>
      <c r="AA36" s="354">
        <f t="shared" si="38"/>
        <v>16.286802323698975</v>
      </c>
      <c r="AB36" s="374">
        <f t="shared" si="39"/>
        <v>183.79240019190942</v>
      </c>
      <c r="AC36" s="354">
        <f t="shared" si="12"/>
        <v>52.15891920276372</v>
      </c>
      <c r="AD36" s="354">
        <f t="shared" si="40"/>
        <v>113.538380910169</v>
      </c>
      <c r="AE36" s="354">
        <f t="shared" si="41"/>
        <v>18.095100078976703</v>
      </c>
      <c r="AF36" s="374">
        <f t="shared" si="42"/>
        <v>147.09810379842332</v>
      </c>
      <c r="AG36" s="354">
        <f t="shared" si="16"/>
        <v>9.4535100335214661</v>
      </c>
      <c r="AH36" s="354">
        <f t="shared" si="43"/>
        <v>47.56440931672865</v>
      </c>
      <c r="AI36" s="354">
        <f t="shared" si="44"/>
        <v>0</v>
      </c>
      <c r="AJ36" s="354">
        <f t="shared" si="45"/>
        <v>90.080184448173213</v>
      </c>
      <c r="AK36" s="374">
        <f t="shared" si="46"/>
        <v>97.157273869918711</v>
      </c>
      <c r="AL36" s="354">
        <f t="shared" si="21"/>
        <v>27.836203894075854</v>
      </c>
      <c r="AM36" s="354">
        <f t="shared" si="47"/>
        <v>65.65342251819753</v>
      </c>
      <c r="AN36" s="354">
        <f t="shared" si="48"/>
        <v>3.667647457645332</v>
      </c>
      <c r="AO36" s="374">
        <f t="shared" si="49"/>
        <v>56.336177051893571</v>
      </c>
      <c r="AP36" s="354">
        <f t="shared" si="25"/>
        <v>12.918477962720074</v>
      </c>
      <c r="AQ36" s="354">
        <f t="shared" si="50"/>
        <v>43.417699089173496</v>
      </c>
      <c r="AR36" s="374">
        <f t="shared" si="51"/>
        <v>102.77358981392933</v>
      </c>
      <c r="AS36" s="354">
        <f t="shared" si="28"/>
        <v>44.535285437605971</v>
      </c>
      <c r="AT36" s="354">
        <f t="shared" si="52"/>
        <v>58.23830437632337</v>
      </c>
      <c r="AU36" s="355" t="s">
        <v>396</v>
      </c>
      <c r="AV36" s="353" t="s">
        <v>404</v>
      </c>
      <c r="AW36" s="355" t="s">
        <v>405</v>
      </c>
      <c r="AX36" s="355">
        <v>103321</v>
      </c>
      <c r="AY36" s="350" t="s">
        <v>406</v>
      </c>
      <c r="AZ36" s="351">
        <v>45054</v>
      </c>
      <c r="BA36" s="351">
        <v>45054</v>
      </c>
      <c r="BB36" s="350" t="s">
        <v>407</v>
      </c>
    </row>
    <row r="37" spans="1:54" x14ac:dyDescent="0.25">
      <c r="A37" s="348" t="s">
        <v>445</v>
      </c>
      <c r="B37" s="349">
        <v>4699</v>
      </c>
      <c r="C37" s="350" t="s">
        <v>441</v>
      </c>
      <c r="D37" s="351">
        <v>45046</v>
      </c>
      <c r="E37" s="352">
        <v>3110</v>
      </c>
      <c r="F37" s="352">
        <v>1</v>
      </c>
      <c r="H37" s="350" t="s">
        <v>437</v>
      </c>
      <c r="I37" s="350" t="s">
        <v>393</v>
      </c>
      <c r="J37" s="354">
        <v>581537.55000000005</v>
      </c>
      <c r="K37" s="350" t="s">
        <v>394</v>
      </c>
      <c r="L37" s="354">
        <v>0</v>
      </c>
      <c r="M37" s="354">
        <v>282.02999999999997</v>
      </c>
      <c r="N37" s="354" t="s">
        <v>395</v>
      </c>
      <c r="O37" s="354">
        <v>232.62</v>
      </c>
      <c r="P37" s="374">
        <f t="shared" si="0"/>
        <v>17.770184270888716</v>
      </c>
      <c r="Q37" s="354">
        <f t="shared" si="30"/>
        <v>1.6759994647885332</v>
      </c>
      <c r="R37" s="354">
        <f t="shared" si="31"/>
        <v>2.8252476370191015</v>
      </c>
      <c r="S37" s="354">
        <f t="shared" si="32"/>
        <v>2.5166927646284334</v>
      </c>
      <c r="T37" s="354">
        <f t="shared" si="33"/>
        <v>10.739689554156</v>
      </c>
      <c r="U37" s="374">
        <f t="shared" si="34"/>
        <v>71.31945991599062</v>
      </c>
      <c r="V37" s="354">
        <f t="shared" si="5"/>
        <v>1.8878771793634002</v>
      </c>
      <c r="W37" s="354">
        <f t="shared" si="35"/>
        <v>64.39940067677982</v>
      </c>
      <c r="X37" s="354">
        <f t="shared" si="36"/>
        <v>5.0321820598474076</v>
      </c>
      <c r="Y37" s="374">
        <f t="shared" si="37"/>
        <v>10.455323757255584</v>
      </c>
      <c r="Z37" s="354">
        <f t="shared" si="9"/>
        <v>5.3934835904664267</v>
      </c>
      <c r="AA37" s="354">
        <f t="shared" si="38"/>
        <v>5.0618401667891577</v>
      </c>
      <c r="AB37" s="374">
        <f t="shared" si="39"/>
        <v>57.12157212642483</v>
      </c>
      <c r="AC37" s="354">
        <f t="shared" si="12"/>
        <v>16.210678255281781</v>
      </c>
      <c r="AD37" s="354">
        <f t="shared" si="40"/>
        <v>35.287045642288788</v>
      </c>
      <c r="AE37" s="354">
        <f t="shared" si="41"/>
        <v>5.6238482288542615</v>
      </c>
      <c r="AF37" s="374">
        <f t="shared" si="42"/>
        <v>45.717205591789437</v>
      </c>
      <c r="AG37" s="354">
        <f t="shared" si="16"/>
        <v>2.9380940379679972</v>
      </c>
      <c r="AH37" s="354">
        <f t="shared" si="43"/>
        <v>14.782732227226822</v>
      </c>
      <c r="AI37" s="354">
        <f t="shared" si="44"/>
        <v>0</v>
      </c>
      <c r="AJ37" s="354">
        <f t="shared" si="45"/>
        <v>27.996379326594621</v>
      </c>
      <c r="AK37" s="374">
        <f t="shared" si="46"/>
        <v>30.195896137013797</v>
      </c>
      <c r="AL37" s="354">
        <f t="shared" si="21"/>
        <v>8.6513246837249564</v>
      </c>
      <c r="AM37" s="354">
        <f t="shared" si="47"/>
        <v>20.404688691175544</v>
      </c>
      <c r="AN37" s="354">
        <f t="shared" si="48"/>
        <v>1.1398827621132985</v>
      </c>
      <c r="AO37" s="374">
        <f t="shared" si="49"/>
        <v>17.508944860813866</v>
      </c>
      <c r="AP37" s="354">
        <f t="shared" si="25"/>
        <v>4.0149852221344888</v>
      </c>
      <c r="AQ37" s="354">
        <f t="shared" si="50"/>
        <v>13.493959638679378</v>
      </c>
      <c r="AR37" s="374">
        <f t="shared" si="51"/>
        <v>31.941413339823118</v>
      </c>
      <c r="AS37" s="354">
        <f t="shared" si="28"/>
        <v>13.841298751411109</v>
      </c>
      <c r="AT37" s="354">
        <f t="shared" si="52"/>
        <v>18.100114588412012</v>
      </c>
      <c r="AU37" s="355" t="s">
        <v>396</v>
      </c>
      <c r="AV37" s="353" t="s">
        <v>404</v>
      </c>
      <c r="AW37" s="355" t="s">
        <v>405</v>
      </c>
      <c r="AX37" s="355">
        <v>117427</v>
      </c>
      <c r="AY37" s="350" t="s">
        <v>406</v>
      </c>
      <c r="AZ37" s="351">
        <v>45054</v>
      </c>
      <c r="BA37" s="351">
        <v>45054</v>
      </c>
      <c r="BB37" s="350" t="s">
        <v>407</v>
      </c>
    </row>
    <row r="38" spans="1:54" x14ac:dyDescent="0.25">
      <c r="A38" s="348" t="s">
        <v>445</v>
      </c>
      <c r="B38" s="349">
        <v>4699</v>
      </c>
      <c r="C38" s="350" t="s">
        <v>441</v>
      </c>
      <c r="D38" s="351">
        <v>45046</v>
      </c>
      <c r="E38" s="352">
        <v>3110</v>
      </c>
      <c r="F38" s="352">
        <v>1</v>
      </c>
      <c r="H38" s="350" t="s">
        <v>437</v>
      </c>
      <c r="I38" s="350" t="s">
        <v>393</v>
      </c>
      <c r="J38" s="354">
        <v>1938458.5</v>
      </c>
      <c r="K38" s="350" t="s">
        <v>394</v>
      </c>
      <c r="L38" s="354">
        <v>0</v>
      </c>
      <c r="M38" s="354">
        <v>940.09</v>
      </c>
      <c r="N38" s="354" t="s">
        <v>395</v>
      </c>
      <c r="O38" s="354">
        <v>775.38</v>
      </c>
      <c r="P38" s="374">
        <f t="shared" si="0"/>
        <v>59.233317488280598</v>
      </c>
      <c r="Q38" s="354">
        <f t="shared" si="30"/>
        <v>5.5866054563452563</v>
      </c>
      <c r="R38" s="354">
        <f t="shared" si="31"/>
        <v>9.4173919479675483</v>
      </c>
      <c r="S38" s="354">
        <f t="shared" si="32"/>
        <v>8.388886647163579</v>
      </c>
      <c r="T38" s="354">
        <f t="shared" si="33"/>
        <v>35.798584380975484</v>
      </c>
      <c r="U38" s="374">
        <f t="shared" si="34"/>
        <v>237.72900426346001</v>
      </c>
      <c r="V38" s="354">
        <f t="shared" si="5"/>
        <v>6.2928569923332232</v>
      </c>
      <c r="W38" s="354">
        <f t="shared" si="35"/>
        <v>214.66238549882615</v>
      </c>
      <c r="X38" s="354">
        <f t="shared" si="36"/>
        <v>16.773761772300642</v>
      </c>
      <c r="Y38" s="374">
        <f t="shared" si="37"/>
        <v>34.850708474128297</v>
      </c>
      <c r="Z38" s="354">
        <f t="shared" si="9"/>
        <v>17.978087396949203</v>
      </c>
      <c r="AA38" s="354">
        <f t="shared" si="38"/>
        <v>16.872621077179094</v>
      </c>
      <c r="AB38" s="374">
        <f t="shared" si="39"/>
        <v>190.40321504921718</v>
      </c>
      <c r="AC38" s="354">
        <f t="shared" si="12"/>
        <v>54.035019398673363</v>
      </c>
      <c r="AD38" s="354">
        <f t="shared" si="40"/>
        <v>117.62223429372503</v>
      </c>
      <c r="AE38" s="354">
        <f t="shared" si="41"/>
        <v>18.745961356818789</v>
      </c>
      <c r="AF38" s="374">
        <f t="shared" si="42"/>
        <v>152.3890643009089</v>
      </c>
      <c r="AG38" s="354">
        <f t="shared" si="16"/>
        <v>9.7935426165774384</v>
      </c>
      <c r="AH38" s="354">
        <f t="shared" si="43"/>
        <v>49.275249936154538</v>
      </c>
      <c r="AI38" s="354">
        <f t="shared" si="44"/>
        <v>0</v>
      </c>
      <c r="AJ38" s="354">
        <f t="shared" si="45"/>
        <v>93.320271748176935</v>
      </c>
      <c r="AK38" s="374">
        <f t="shared" si="46"/>
        <v>100.65191646082084</v>
      </c>
      <c r="AL38" s="354">
        <f t="shared" si="21"/>
        <v>28.83744219381979</v>
      </c>
      <c r="AM38" s="354">
        <f t="shared" si="47"/>
        <v>68.014905477031576</v>
      </c>
      <c r="AN38" s="354">
        <f t="shared" si="48"/>
        <v>3.7995687899694746</v>
      </c>
      <c r="AO38" s="374">
        <f t="shared" si="49"/>
        <v>58.362528717521215</v>
      </c>
      <c r="AP38" s="354">
        <f t="shared" si="25"/>
        <v>13.383141713563848</v>
      </c>
      <c r="AQ38" s="354">
        <f t="shared" si="50"/>
        <v>44.97938700395737</v>
      </c>
      <c r="AR38" s="374">
        <f t="shared" si="51"/>
        <v>106.47024524566294</v>
      </c>
      <c r="AS38" s="354">
        <f t="shared" si="28"/>
        <v>46.137171730716844</v>
      </c>
      <c r="AT38" s="354">
        <f t="shared" si="52"/>
        <v>60.333073514946101</v>
      </c>
      <c r="AU38" s="355" t="s">
        <v>396</v>
      </c>
      <c r="AV38" s="353" t="s">
        <v>404</v>
      </c>
      <c r="AW38" s="355" t="s">
        <v>405</v>
      </c>
      <c r="AX38" s="355">
        <v>117872</v>
      </c>
      <c r="AY38" s="350" t="s">
        <v>406</v>
      </c>
      <c r="AZ38" s="351">
        <v>45054</v>
      </c>
      <c r="BA38" s="351">
        <v>45054</v>
      </c>
      <c r="BB38" s="350" t="s">
        <v>407</v>
      </c>
    </row>
    <row r="39" spans="1:54" x14ac:dyDescent="0.25">
      <c r="A39" s="348" t="s">
        <v>445</v>
      </c>
      <c r="B39" s="349">
        <v>4699</v>
      </c>
      <c r="C39" s="350" t="s">
        <v>441</v>
      </c>
      <c r="D39" s="351">
        <v>45046</v>
      </c>
      <c r="E39" s="352">
        <v>3110</v>
      </c>
      <c r="F39" s="352">
        <v>1</v>
      </c>
      <c r="H39" s="350" t="s">
        <v>437</v>
      </c>
      <c r="I39" s="350" t="s">
        <v>393</v>
      </c>
      <c r="J39" s="354">
        <v>467310.3</v>
      </c>
      <c r="K39" s="350" t="s">
        <v>394</v>
      </c>
      <c r="L39" s="354">
        <v>0</v>
      </c>
      <c r="M39" s="354">
        <v>226.63</v>
      </c>
      <c r="N39" s="354" t="s">
        <v>395</v>
      </c>
      <c r="O39" s="354">
        <v>186.92</v>
      </c>
      <c r="P39" s="374">
        <f t="shared" si="0"/>
        <v>14.279533600367019</v>
      </c>
      <c r="Q39" s="354">
        <f t="shared" si="30"/>
        <v>1.346777855919673</v>
      </c>
      <c r="R39" s="354">
        <f t="shared" si="31"/>
        <v>2.2702757578188102</v>
      </c>
      <c r="S39" s="354">
        <f t="shared" si="32"/>
        <v>2.0223312457814484</v>
      </c>
      <c r="T39" s="354">
        <f t="shared" si="33"/>
        <v>8.6300600775037211</v>
      </c>
      <c r="U39" s="374">
        <f t="shared" si="34"/>
        <v>57.309964190905063</v>
      </c>
      <c r="V39" s="354">
        <f t="shared" si="5"/>
        <v>1.5170357946286828</v>
      </c>
      <c r="W39" s="354">
        <f t="shared" si="35"/>
        <v>51.749232973012127</v>
      </c>
      <c r="X39" s="354">
        <f t="shared" si="36"/>
        <v>4.0436954232642561</v>
      </c>
      <c r="Y39" s="374">
        <f t="shared" si="37"/>
        <v>8.4015531082042099</v>
      </c>
      <c r="Z39" s="354">
        <f t="shared" si="9"/>
        <v>4.3340254090253039</v>
      </c>
      <c r="AA39" s="354">
        <f t="shared" si="38"/>
        <v>4.067527699178906</v>
      </c>
      <c r="AB39" s="374">
        <f t="shared" si="39"/>
        <v>45.901010144352227</v>
      </c>
      <c r="AC39" s="354">
        <f t="shared" si="12"/>
        <v>13.026366035508667</v>
      </c>
      <c r="AD39" s="354">
        <f t="shared" si="40"/>
        <v>28.355505279267835</v>
      </c>
      <c r="AE39" s="354">
        <f t="shared" si="41"/>
        <v>4.5191388295757227</v>
      </c>
      <c r="AF39" s="374">
        <f t="shared" si="42"/>
        <v>36.736837582055955</v>
      </c>
      <c r="AG39" s="354">
        <f t="shared" si="16"/>
        <v>2.3609554012859881</v>
      </c>
      <c r="AH39" s="354">
        <f t="shared" si="43"/>
        <v>11.878915734696362</v>
      </c>
      <c r="AI39" s="354">
        <f t="shared" si="44"/>
        <v>0</v>
      </c>
      <c r="AJ39" s="354">
        <f t="shared" si="45"/>
        <v>22.496966446073607</v>
      </c>
      <c r="AK39" s="374">
        <f t="shared" si="46"/>
        <v>24.264425562994848</v>
      </c>
      <c r="AL39" s="354">
        <f t="shared" si="21"/>
        <v>6.9519189911448676</v>
      </c>
      <c r="AM39" s="354">
        <f t="shared" si="47"/>
        <v>16.396534404429008</v>
      </c>
      <c r="AN39" s="354">
        <f t="shared" si="48"/>
        <v>0.91597216742097254</v>
      </c>
      <c r="AO39" s="374">
        <f t="shared" si="49"/>
        <v>14.069610232266944</v>
      </c>
      <c r="AP39" s="354">
        <f t="shared" si="25"/>
        <v>3.2263096156165632</v>
      </c>
      <c r="AQ39" s="354">
        <f t="shared" si="50"/>
        <v>10.843300616650382</v>
      </c>
      <c r="AR39" s="374">
        <f t="shared" si="51"/>
        <v>25.667065578853716</v>
      </c>
      <c r="AS39" s="354">
        <f t="shared" si="28"/>
        <v>11.122410864206998</v>
      </c>
      <c r="AT39" s="354">
        <f t="shared" si="52"/>
        <v>14.544654714646718</v>
      </c>
      <c r="AU39" s="355" t="s">
        <v>396</v>
      </c>
      <c r="AV39" s="353" t="s">
        <v>404</v>
      </c>
      <c r="AW39" s="355" t="s">
        <v>405</v>
      </c>
      <c r="AX39" s="355">
        <v>103328</v>
      </c>
      <c r="AY39" s="350" t="s">
        <v>406</v>
      </c>
      <c r="AZ39" s="351">
        <v>45054</v>
      </c>
      <c r="BA39" s="351">
        <v>45054</v>
      </c>
      <c r="BB39" s="350" t="s">
        <v>407</v>
      </c>
    </row>
    <row r="40" spans="1:54" x14ac:dyDescent="0.25">
      <c r="A40" s="348" t="s">
        <v>445</v>
      </c>
      <c r="B40" s="349">
        <v>4699</v>
      </c>
      <c r="C40" s="350" t="s">
        <v>441</v>
      </c>
      <c r="D40" s="351">
        <v>45046</v>
      </c>
      <c r="E40" s="352">
        <v>3110</v>
      </c>
      <c r="F40" s="352">
        <v>1</v>
      </c>
      <c r="H40" s="350" t="s">
        <v>437</v>
      </c>
      <c r="I40" s="350" t="s">
        <v>393</v>
      </c>
      <c r="J40" s="354">
        <v>664559</v>
      </c>
      <c r="K40" s="350" t="s">
        <v>394</v>
      </c>
      <c r="L40" s="354">
        <v>0</v>
      </c>
      <c r="M40" s="354">
        <v>322.29000000000002</v>
      </c>
      <c r="N40" s="354" t="s">
        <v>395</v>
      </c>
      <c r="O40" s="354">
        <v>265.82</v>
      </c>
      <c r="P40" s="374">
        <f t="shared" si="0"/>
        <v>20.306891779827414</v>
      </c>
      <c r="Q40" s="354">
        <f t="shared" si="30"/>
        <v>1.9152496809087562</v>
      </c>
      <c r="R40" s="354">
        <f t="shared" si="31"/>
        <v>3.2285539160191696</v>
      </c>
      <c r="S40" s="354">
        <f t="shared" si="32"/>
        <v>2.8759525976388964</v>
      </c>
      <c r="T40" s="354">
        <f t="shared" si="33"/>
        <v>12.272788520401864</v>
      </c>
      <c r="U40" s="374">
        <f t="shared" si="34"/>
        <v>81.50036782017736</v>
      </c>
      <c r="V40" s="354">
        <f t="shared" si="5"/>
        <v>2.1573731026381249</v>
      </c>
      <c r="W40" s="354">
        <f t="shared" si="35"/>
        <v>73.59246478785721</v>
      </c>
      <c r="X40" s="354">
        <f t="shared" si="36"/>
        <v>5.750529929682024</v>
      </c>
      <c r="Y40" s="374">
        <f t="shared" si="37"/>
        <v>11.94782928669256</v>
      </c>
      <c r="Z40" s="354">
        <f t="shared" si="9"/>
        <v>6.1634075324306803</v>
      </c>
      <c r="AA40" s="354">
        <f t="shared" si="38"/>
        <v>5.7844217542618788</v>
      </c>
      <c r="AB40" s="374">
        <f t="shared" si="39"/>
        <v>65.27572059931731</v>
      </c>
      <c r="AC40" s="354">
        <f t="shared" si="12"/>
        <v>18.524765077810041</v>
      </c>
      <c r="AD40" s="354">
        <f t="shared" si="40"/>
        <v>40.324298620902937</v>
      </c>
      <c r="AE40" s="354">
        <f t="shared" si="41"/>
        <v>6.4266569006043328</v>
      </c>
      <c r="AF40" s="374">
        <f t="shared" si="42"/>
        <v>52.243371946877353</v>
      </c>
      <c r="AG40" s="354">
        <f t="shared" si="16"/>
        <v>3.3575092277300498</v>
      </c>
      <c r="AH40" s="354">
        <f t="shared" si="43"/>
        <v>16.892978653026038</v>
      </c>
      <c r="AI40" s="354">
        <f t="shared" si="44"/>
        <v>0</v>
      </c>
      <c r="AJ40" s="354">
        <f t="shared" si="45"/>
        <v>31.99288406612127</v>
      </c>
      <c r="AK40" s="374">
        <f t="shared" si="46"/>
        <v>34.506383597483172</v>
      </c>
      <c r="AL40" s="354">
        <f t="shared" si="21"/>
        <v>9.8863079541811754</v>
      </c>
      <c r="AM40" s="354">
        <f t="shared" si="47"/>
        <v>23.317473737825647</v>
      </c>
      <c r="AN40" s="354">
        <f t="shared" si="48"/>
        <v>1.3026019054763505</v>
      </c>
      <c r="AO40" s="374">
        <f t="shared" si="49"/>
        <v>20.008360242497965</v>
      </c>
      <c r="AP40" s="354">
        <f t="shared" si="25"/>
        <v>4.5881274589289243</v>
      </c>
      <c r="AQ40" s="354">
        <f t="shared" si="50"/>
        <v>15.420232783569041</v>
      </c>
      <c r="AR40" s="374">
        <f t="shared" si="51"/>
        <v>36.501074727126877</v>
      </c>
      <c r="AS40" s="354">
        <f t="shared" si="28"/>
        <v>15.817154822509259</v>
      </c>
      <c r="AT40" s="354">
        <f t="shared" si="52"/>
        <v>20.683919904617618</v>
      </c>
      <c r="AU40" s="355" t="s">
        <v>396</v>
      </c>
      <c r="AV40" s="353" t="s">
        <v>404</v>
      </c>
      <c r="AW40" s="355" t="s">
        <v>405</v>
      </c>
      <c r="AX40" s="355">
        <v>117293</v>
      </c>
      <c r="AY40" s="350" t="s">
        <v>406</v>
      </c>
      <c r="AZ40" s="351">
        <v>45054</v>
      </c>
      <c r="BA40" s="351">
        <v>45054</v>
      </c>
      <c r="BB40" s="350" t="s">
        <v>407</v>
      </c>
    </row>
    <row r="41" spans="1:54" x14ac:dyDescent="0.25">
      <c r="A41" s="348" t="s">
        <v>445</v>
      </c>
      <c r="B41" s="349">
        <v>4699</v>
      </c>
      <c r="C41" s="350" t="s">
        <v>441</v>
      </c>
      <c r="D41" s="351">
        <v>45046</v>
      </c>
      <c r="E41" s="352">
        <v>3120</v>
      </c>
      <c r="F41" s="352">
        <v>1</v>
      </c>
      <c r="H41" s="350" t="s">
        <v>438</v>
      </c>
      <c r="I41" s="350" t="s">
        <v>393</v>
      </c>
      <c r="J41" s="354">
        <v>4410</v>
      </c>
      <c r="K41" s="350" t="s">
        <v>394</v>
      </c>
      <c r="L41" s="354">
        <v>0</v>
      </c>
      <c r="M41" s="354">
        <v>2.14</v>
      </c>
      <c r="N41" s="354" t="s">
        <v>395</v>
      </c>
      <c r="O41" s="354">
        <v>1.76</v>
      </c>
      <c r="P41" s="374">
        <f t="shared" si="0"/>
        <v>0.13483740857249887</v>
      </c>
      <c r="Q41" s="354">
        <f t="shared" si="30"/>
        <v>1.2717224602515554E-2</v>
      </c>
      <c r="R41" s="354">
        <f t="shared" si="31"/>
        <v>2.1437541904126788E-2</v>
      </c>
      <c r="S41" s="354">
        <f t="shared" si="32"/>
        <v>1.9096275276760798E-2</v>
      </c>
      <c r="T41" s="354">
        <f t="shared" si="33"/>
        <v>8.149110252772343E-2</v>
      </c>
      <c r="U41" s="374">
        <f t="shared" si="34"/>
        <v>0.54116102620366602</v>
      </c>
      <c r="V41" s="354">
        <f t="shared" si="5"/>
        <v>1.4324919915745403E-2</v>
      </c>
      <c r="W41" s="354">
        <f t="shared" si="35"/>
        <v>0.48865268747405882</v>
      </c>
      <c r="X41" s="354">
        <f t="shared" si="36"/>
        <v>3.8183418813861829E-2</v>
      </c>
      <c r="Y41" s="374">
        <f t="shared" si="37"/>
        <v>7.9333378862273346E-2</v>
      </c>
      <c r="Z41" s="354">
        <f t="shared" si="9"/>
        <v>4.092491892209394E-2</v>
      </c>
      <c r="AA41" s="354">
        <f t="shared" si="38"/>
        <v>3.8408459940179406E-2</v>
      </c>
      <c r="AB41" s="374">
        <f t="shared" si="39"/>
        <v>0.4334296505710355</v>
      </c>
      <c r="AC41" s="354">
        <f t="shared" si="12"/>
        <v>0.12300411823672308</v>
      </c>
      <c r="AD41" s="354">
        <f t="shared" si="40"/>
        <v>0.26775264218167572</v>
      </c>
      <c r="AE41" s="354">
        <f t="shared" si="41"/>
        <v>4.2672890152636665E-2</v>
      </c>
      <c r="AF41" s="374">
        <f t="shared" si="42"/>
        <v>0.3468950819644343</v>
      </c>
      <c r="AG41" s="354">
        <f t="shared" si="16"/>
        <v>2.2293802933203967E-2</v>
      </c>
      <c r="AH41" s="354">
        <f t="shared" si="43"/>
        <v>0.11216908472951602</v>
      </c>
      <c r="AI41" s="354">
        <f t="shared" si="44"/>
        <v>0</v>
      </c>
      <c r="AJ41" s="354">
        <f t="shared" si="45"/>
        <v>0.21243219430171434</v>
      </c>
      <c r="AK41" s="374">
        <f t="shared" si="46"/>
        <v>0.22912178751625548</v>
      </c>
      <c r="AL41" s="354">
        <f t="shared" si="21"/>
        <v>6.5644913034682159E-2</v>
      </c>
      <c r="AM41" s="354">
        <f t="shared" si="47"/>
        <v>0.15482762046277226</v>
      </c>
      <c r="AN41" s="354">
        <f t="shared" si="48"/>
        <v>8.6492540188010461E-3</v>
      </c>
      <c r="AO41" s="374">
        <f t="shared" si="49"/>
        <v>0.13285516435181249</v>
      </c>
      <c r="AP41" s="354">
        <f t="shared" si="25"/>
        <v>3.0465086605566103E-2</v>
      </c>
      <c r="AQ41" s="354">
        <f t="shared" si="50"/>
        <v>0.10239007774624639</v>
      </c>
      <c r="AR41" s="374">
        <f t="shared" si="51"/>
        <v>0.24236650195802389</v>
      </c>
      <c r="AS41" s="354">
        <f t="shared" si="28"/>
        <v>0.10502563318802885</v>
      </c>
      <c r="AT41" s="354">
        <f t="shared" si="52"/>
        <v>0.13734086876999504</v>
      </c>
      <c r="AU41" s="355" t="s">
        <v>396</v>
      </c>
      <c r="AV41" s="353" t="s">
        <v>404</v>
      </c>
      <c r="AW41" s="355" t="s">
        <v>405</v>
      </c>
      <c r="AX41" s="355">
        <v>103265</v>
      </c>
      <c r="AY41" s="350" t="s">
        <v>406</v>
      </c>
      <c r="AZ41" s="351">
        <v>45054</v>
      </c>
      <c r="BA41" s="351">
        <v>45054</v>
      </c>
      <c r="BB41" s="350" t="s">
        <v>407</v>
      </c>
    </row>
    <row r="42" spans="1:54" x14ac:dyDescent="0.25">
      <c r="A42" s="348" t="s">
        <v>445</v>
      </c>
      <c r="B42" s="349">
        <v>4699</v>
      </c>
      <c r="C42" s="350" t="s">
        <v>441</v>
      </c>
      <c r="D42" s="351">
        <v>45046</v>
      </c>
      <c r="E42" s="352">
        <v>3120</v>
      </c>
      <c r="F42" s="352">
        <v>1</v>
      </c>
      <c r="H42" s="350" t="s">
        <v>438</v>
      </c>
      <c r="I42" s="350" t="s">
        <v>393</v>
      </c>
      <c r="J42" s="354">
        <v>29400</v>
      </c>
      <c r="K42" s="350" t="s">
        <v>394</v>
      </c>
      <c r="L42" s="354">
        <v>0</v>
      </c>
      <c r="M42" s="354">
        <v>14.26</v>
      </c>
      <c r="N42" s="354" t="s">
        <v>395</v>
      </c>
      <c r="O42" s="354">
        <v>11.76</v>
      </c>
      <c r="P42" s="374">
        <f t="shared" si="0"/>
        <v>0.89849600291767939</v>
      </c>
      <c r="Q42" s="354">
        <f t="shared" si="30"/>
        <v>8.474187982797747E-2</v>
      </c>
      <c r="R42" s="354">
        <f t="shared" si="31"/>
        <v>0.1428501624078729</v>
      </c>
      <c r="S42" s="354">
        <f t="shared" si="32"/>
        <v>0.12724901189093876</v>
      </c>
      <c r="T42" s="354">
        <f t="shared" si="33"/>
        <v>0.54302015048847485</v>
      </c>
      <c r="U42" s="374">
        <f t="shared" si="34"/>
        <v>3.6060543147963915</v>
      </c>
      <c r="V42" s="354">
        <f t="shared" si="5"/>
        <v>9.5454840186228726E-2</v>
      </c>
      <c r="W42" s="354">
        <f t="shared" si="35"/>
        <v>3.2561623006448968</v>
      </c>
      <c r="X42" s="354">
        <f t="shared" si="36"/>
        <v>0.25443717396526622</v>
      </c>
      <c r="Y42" s="374">
        <f t="shared" si="37"/>
        <v>0.52864204793271863</v>
      </c>
      <c r="Z42" s="354">
        <f t="shared" si="9"/>
        <v>0.27270530085470074</v>
      </c>
      <c r="AA42" s="354">
        <f t="shared" si="38"/>
        <v>0.25593674707801789</v>
      </c>
      <c r="AB42" s="374">
        <f t="shared" si="39"/>
        <v>2.8881807556742833</v>
      </c>
      <c r="AC42" s="354">
        <f t="shared" si="12"/>
        <v>0.8196442645119959</v>
      </c>
      <c r="AD42" s="354">
        <f t="shared" si="40"/>
        <v>1.7841834941638768</v>
      </c>
      <c r="AE42" s="354">
        <f t="shared" si="41"/>
        <v>0.28435299699841071</v>
      </c>
      <c r="AF42" s="374">
        <f t="shared" si="42"/>
        <v>2.3115532097256231</v>
      </c>
      <c r="AG42" s="354">
        <f t="shared" si="16"/>
        <v>0.14855590178854605</v>
      </c>
      <c r="AH42" s="354">
        <f t="shared" si="43"/>
        <v>0.74744446179574697</v>
      </c>
      <c r="AI42" s="354">
        <f t="shared" si="44"/>
        <v>0</v>
      </c>
      <c r="AJ42" s="354">
        <f t="shared" si="45"/>
        <v>1.4155528461413303</v>
      </c>
      <c r="AK42" s="374">
        <f t="shared" si="46"/>
        <v>1.5267648084027117</v>
      </c>
      <c r="AL42" s="354">
        <f t="shared" si="21"/>
        <v>0.43742825227783533</v>
      </c>
      <c r="AM42" s="354">
        <f t="shared" si="47"/>
        <v>1.0317018073827722</v>
      </c>
      <c r="AN42" s="354">
        <f t="shared" si="48"/>
        <v>5.7634748742104169E-2</v>
      </c>
      <c r="AO42" s="374">
        <f t="shared" si="49"/>
        <v>0.88528721666207755</v>
      </c>
      <c r="AP42" s="354">
        <f t="shared" si="25"/>
        <v>0.20300567055858532</v>
      </c>
      <c r="AQ42" s="354">
        <f t="shared" si="50"/>
        <v>0.68228154610349223</v>
      </c>
      <c r="AR42" s="374">
        <f t="shared" si="51"/>
        <v>1.6150216438885143</v>
      </c>
      <c r="AS42" s="354">
        <f t="shared" si="28"/>
        <v>0.69984370526228568</v>
      </c>
      <c r="AT42" s="354">
        <f t="shared" si="52"/>
        <v>0.91517793862622876</v>
      </c>
      <c r="AU42" s="355" t="s">
        <v>396</v>
      </c>
      <c r="AV42" s="353" t="s">
        <v>404</v>
      </c>
      <c r="AW42" s="355" t="s">
        <v>405</v>
      </c>
      <c r="AX42" s="355">
        <v>117871</v>
      </c>
      <c r="AY42" s="350" t="s">
        <v>406</v>
      </c>
      <c r="AZ42" s="351">
        <v>45054</v>
      </c>
      <c r="BA42" s="351">
        <v>45054</v>
      </c>
      <c r="BB42" s="350" t="s">
        <v>407</v>
      </c>
    </row>
    <row r="43" spans="1:54" x14ac:dyDescent="0.25">
      <c r="A43" s="348" t="s">
        <v>445</v>
      </c>
      <c r="B43" s="349">
        <v>4699</v>
      </c>
      <c r="C43" s="350" t="s">
        <v>441</v>
      </c>
      <c r="D43" s="351">
        <v>45046</v>
      </c>
      <c r="E43" s="352">
        <v>3120</v>
      </c>
      <c r="F43" s="352">
        <v>1</v>
      </c>
      <c r="H43" s="350" t="s">
        <v>438</v>
      </c>
      <c r="I43" s="350" t="s">
        <v>393</v>
      </c>
      <c r="J43" s="354">
        <v>14700</v>
      </c>
      <c r="K43" s="350" t="s">
        <v>394</v>
      </c>
      <c r="L43" s="354">
        <v>0</v>
      </c>
      <c r="M43" s="354">
        <v>7.13</v>
      </c>
      <c r="N43" s="354" t="s">
        <v>395</v>
      </c>
      <c r="O43" s="354">
        <v>5.88</v>
      </c>
      <c r="P43" s="374">
        <f t="shared" si="0"/>
        <v>0.4492480014588397</v>
      </c>
      <c r="Q43" s="354">
        <f t="shared" si="30"/>
        <v>4.2370939913988735E-2</v>
      </c>
      <c r="R43" s="354">
        <f t="shared" si="31"/>
        <v>7.1425081203936452E-2</v>
      </c>
      <c r="S43" s="354">
        <f t="shared" si="32"/>
        <v>6.3624505945469381E-2</v>
      </c>
      <c r="T43" s="354">
        <f t="shared" si="33"/>
        <v>0.27151007524423743</v>
      </c>
      <c r="U43" s="374">
        <f t="shared" si="34"/>
        <v>1.8030271573981957</v>
      </c>
      <c r="V43" s="354">
        <f t="shared" si="5"/>
        <v>4.7727420093114363E-2</v>
      </c>
      <c r="W43" s="354">
        <f t="shared" si="35"/>
        <v>1.6280811503224484</v>
      </c>
      <c r="X43" s="354">
        <f t="shared" si="36"/>
        <v>0.12721858698263311</v>
      </c>
      <c r="Y43" s="374">
        <f t="shared" si="37"/>
        <v>0.26432102396635931</v>
      </c>
      <c r="Z43" s="354">
        <f t="shared" si="9"/>
        <v>0.13635265042735037</v>
      </c>
      <c r="AA43" s="354">
        <f t="shared" si="38"/>
        <v>0.12796837353900894</v>
      </c>
      <c r="AB43" s="374">
        <f t="shared" si="39"/>
        <v>1.4440903778371417</v>
      </c>
      <c r="AC43" s="354">
        <f t="shared" si="12"/>
        <v>0.40982213225599795</v>
      </c>
      <c r="AD43" s="354">
        <f t="shared" si="40"/>
        <v>0.89209174708193839</v>
      </c>
      <c r="AE43" s="354">
        <f t="shared" si="41"/>
        <v>0.14217649849920536</v>
      </c>
      <c r="AF43" s="374">
        <f t="shared" si="42"/>
        <v>1.1557766048628115</v>
      </c>
      <c r="AG43" s="354">
        <f t="shared" si="16"/>
        <v>7.4277950894273026E-2</v>
      </c>
      <c r="AH43" s="354">
        <f t="shared" si="43"/>
        <v>0.37372223089787349</v>
      </c>
      <c r="AI43" s="354">
        <f t="shared" si="44"/>
        <v>0</v>
      </c>
      <c r="AJ43" s="354">
        <f t="shared" si="45"/>
        <v>0.70777642307066513</v>
      </c>
      <c r="AK43" s="374">
        <f t="shared" si="46"/>
        <v>0.76338240420135584</v>
      </c>
      <c r="AL43" s="354">
        <f t="shared" si="21"/>
        <v>0.21871412613891766</v>
      </c>
      <c r="AM43" s="354">
        <f t="shared" si="47"/>
        <v>0.51585090369138609</v>
      </c>
      <c r="AN43" s="354">
        <f t="shared" si="48"/>
        <v>2.8817374371052085E-2</v>
      </c>
      <c r="AO43" s="374">
        <f t="shared" si="49"/>
        <v>0.44264360833103877</v>
      </c>
      <c r="AP43" s="354">
        <f t="shared" si="25"/>
        <v>0.10150283527929266</v>
      </c>
      <c r="AQ43" s="354">
        <f t="shared" si="50"/>
        <v>0.34114077305174612</v>
      </c>
      <c r="AR43" s="374">
        <f t="shared" si="51"/>
        <v>0.80751082194425716</v>
      </c>
      <c r="AS43" s="354">
        <f t="shared" si="28"/>
        <v>0.34992185263114284</v>
      </c>
      <c r="AT43" s="354">
        <f t="shared" si="52"/>
        <v>0.45758896931311438</v>
      </c>
      <c r="AU43" s="355" t="s">
        <v>396</v>
      </c>
      <c r="AV43" s="353" t="s">
        <v>404</v>
      </c>
      <c r="AW43" s="355" t="s">
        <v>405</v>
      </c>
      <c r="AX43" s="355">
        <v>103321</v>
      </c>
      <c r="AY43" s="350" t="s">
        <v>406</v>
      </c>
      <c r="AZ43" s="351">
        <v>45054</v>
      </c>
      <c r="BA43" s="351">
        <v>45054</v>
      </c>
      <c r="BB43" s="350" t="s">
        <v>407</v>
      </c>
    </row>
    <row r="44" spans="1:54" x14ac:dyDescent="0.25">
      <c r="A44" s="348" t="s">
        <v>445</v>
      </c>
      <c r="B44" s="349">
        <v>4699</v>
      </c>
      <c r="C44" s="350" t="s">
        <v>441</v>
      </c>
      <c r="D44" s="351">
        <v>45046</v>
      </c>
      <c r="E44" s="352">
        <v>3120</v>
      </c>
      <c r="F44" s="352">
        <v>1</v>
      </c>
      <c r="H44" s="350" t="s">
        <v>438</v>
      </c>
      <c r="I44" s="350" t="s">
        <v>393</v>
      </c>
      <c r="J44" s="354">
        <v>4410</v>
      </c>
      <c r="K44" s="350" t="s">
        <v>394</v>
      </c>
      <c r="L44" s="354">
        <v>0</v>
      </c>
      <c r="M44" s="354">
        <v>2.14</v>
      </c>
      <c r="N44" s="354" t="s">
        <v>395</v>
      </c>
      <c r="O44" s="354">
        <v>1.76</v>
      </c>
      <c r="P44" s="374">
        <f t="shared" si="0"/>
        <v>0.13483740857249887</v>
      </c>
      <c r="Q44" s="354">
        <f t="shared" si="30"/>
        <v>1.2717224602515554E-2</v>
      </c>
      <c r="R44" s="354">
        <f t="shared" si="31"/>
        <v>2.1437541904126788E-2</v>
      </c>
      <c r="S44" s="354">
        <f t="shared" si="32"/>
        <v>1.9096275276760798E-2</v>
      </c>
      <c r="T44" s="354">
        <f t="shared" si="33"/>
        <v>8.149110252772343E-2</v>
      </c>
      <c r="U44" s="374">
        <f t="shared" si="34"/>
        <v>0.54116102620366602</v>
      </c>
      <c r="V44" s="354">
        <f t="shared" si="5"/>
        <v>1.4324919915745403E-2</v>
      </c>
      <c r="W44" s="354">
        <f t="shared" si="35"/>
        <v>0.48865268747405882</v>
      </c>
      <c r="X44" s="354">
        <f t="shared" si="36"/>
        <v>3.8183418813861829E-2</v>
      </c>
      <c r="Y44" s="374">
        <f t="shared" si="37"/>
        <v>7.9333378862273346E-2</v>
      </c>
      <c r="Z44" s="354">
        <f t="shared" si="9"/>
        <v>4.092491892209394E-2</v>
      </c>
      <c r="AA44" s="354">
        <f t="shared" si="38"/>
        <v>3.8408459940179406E-2</v>
      </c>
      <c r="AB44" s="374">
        <f t="shared" si="39"/>
        <v>0.4334296505710355</v>
      </c>
      <c r="AC44" s="354">
        <f t="shared" si="12"/>
        <v>0.12300411823672308</v>
      </c>
      <c r="AD44" s="354">
        <f t="shared" si="40"/>
        <v>0.26775264218167572</v>
      </c>
      <c r="AE44" s="354">
        <f t="shared" si="41"/>
        <v>4.2672890152636665E-2</v>
      </c>
      <c r="AF44" s="374">
        <f t="shared" si="42"/>
        <v>0.3468950819644343</v>
      </c>
      <c r="AG44" s="354">
        <f t="shared" si="16"/>
        <v>2.2293802933203967E-2</v>
      </c>
      <c r="AH44" s="354">
        <f t="shared" si="43"/>
        <v>0.11216908472951602</v>
      </c>
      <c r="AI44" s="354">
        <f t="shared" si="44"/>
        <v>0</v>
      </c>
      <c r="AJ44" s="354">
        <f t="shared" si="45"/>
        <v>0.21243219430171434</v>
      </c>
      <c r="AK44" s="374">
        <f t="shared" si="46"/>
        <v>0.22912178751625548</v>
      </c>
      <c r="AL44" s="354">
        <f t="shared" si="21"/>
        <v>6.5644913034682159E-2</v>
      </c>
      <c r="AM44" s="354">
        <f t="shared" si="47"/>
        <v>0.15482762046277226</v>
      </c>
      <c r="AN44" s="354">
        <f t="shared" si="48"/>
        <v>8.6492540188010461E-3</v>
      </c>
      <c r="AO44" s="374">
        <f t="shared" si="49"/>
        <v>0.13285516435181249</v>
      </c>
      <c r="AP44" s="354">
        <f t="shared" si="25"/>
        <v>3.0465086605566103E-2</v>
      </c>
      <c r="AQ44" s="354">
        <f t="shared" si="50"/>
        <v>0.10239007774624639</v>
      </c>
      <c r="AR44" s="374">
        <f t="shared" si="51"/>
        <v>0.24236650195802389</v>
      </c>
      <c r="AS44" s="354">
        <f t="shared" si="28"/>
        <v>0.10502563318802885</v>
      </c>
      <c r="AT44" s="354">
        <f t="shared" si="52"/>
        <v>0.13734086876999504</v>
      </c>
      <c r="AU44" s="355" t="s">
        <v>396</v>
      </c>
      <c r="AV44" s="353" t="s">
        <v>404</v>
      </c>
      <c r="AW44" s="355" t="s">
        <v>405</v>
      </c>
      <c r="AX44" s="355">
        <v>117427</v>
      </c>
      <c r="AY44" s="350" t="s">
        <v>406</v>
      </c>
      <c r="AZ44" s="351">
        <v>45054</v>
      </c>
      <c r="BA44" s="351">
        <v>45054</v>
      </c>
      <c r="BB44" s="350" t="s">
        <v>407</v>
      </c>
    </row>
    <row r="45" spans="1:54" x14ac:dyDescent="0.25">
      <c r="A45" s="348" t="s">
        <v>445</v>
      </c>
      <c r="B45" s="349">
        <v>4699</v>
      </c>
      <c r="C45" s="350" t="s">
        <v>441</v>
      </c>
      <c r="D45" s="351">
        <v>45046</v>
      </c>
      <c r="E45" s="352">
        <v>3120</v>
      </c>
      <c r="F45" s="352">
        <v>1</v>
      </c>
      <c r="H45" s="350" t="s">
        <v>438</v>
      </c>
      <c r="I45" s="350" t="s">
        <v>393</v>
      </c>
      <c r="J45" s="354">
        <v>14700</v>
      </c>
      <c r="K45" s="350" t="s">
        <v>394</v>
      </c>
      <c r="L45" s="354">
        <v>0</v>
      </c>
      <c r="M45" s="354">
        <v>7.13</v>
      </c>
      <c r="N45" s="354" t="s">
        <v>395</v>
      </c>
      <c r="O45" s="354">
        <v>5.88</v>
      </c>
      <c r="P45" s="374">
        <f t="shared" si="0"/>
        <v>0.4492480014588397</v>
      </c>
      <c r="Q45" s="354">
        <f t="shared" si="30"/>
        <v>4.2370939913988735E-2</v>
      </c>
      <c r="R45" s="354">
        <f t="shared" si="31"/>
        <v>7.1425081203936452E-2</v>
      </c>
      <c r="S45" s="354">
        <f t="shared" si="32"/>
        <v>6.3624505945469381E-2</v>
      </c>
      <c r="T45" s="354">
        <f t="shared" si="33"/>
        <v>0.27151007524423743</v>
      </c>
      <c r="U45" s="374">
        <f t="shared" si="34"/>
        <v>1.8030271573981957</v>
      </c>
      <c r="V45" s="354">
        <f t="shared" si="5"/>
        <v>4.7727420093114363E-2</v>
      </c>
      <c r="W45" s="354">
        <f t="shared" si="35"/>
        <v>1.6280811503224484</v>
      </c>
      <c r="X45" s="354">
        <f t="shared" si="36"/>
        <v>0.12721858698263311</v>
      </c>
      <c r="Y45" s="374">
        <f t="shared" si="37"/>
        <v>0.26432102396635931</v>
      </c>
      <c r="Z45" s="354">
        <f t="shared" si="9"/>
        <v>0.13635265042735037</v>
      </c>
      <c r="AA45" s="354">
        <f t="shared" si="38"/>
        <v>0.12796837353900894</v>
      </c>
      <c r="AB45" s="374">
        <f t="shared" si="39"/>
        <v>1.4440903778371417</v>
      </c>
      <c r="AC45" s="354">
        <f t="shared" si="12"/>
        <v>0.40982213225599795</v>
      </c>
      <c r="AD45" s="354">
        <f t="shared" si="40"/>
        <v>0.89209174708193839</v>
      </c>
      <c r="AE45" s="354">
        <f t="shared" si="41"/>
        <v>0.14217649849920536</v>
      </c>
      <c r="AF45" s="374">
        <f t="shared" si="42"/>
        <v>1.1557766048628115</v>
      </c>
      <c r="AG45" s="354">
        <f t="shared" si="16"/>
        <v>7.4277950894273026E-2</v>
      </c>
      <c r="AH45" s="354">
        <f t="shared" si="43"/>
        <v>0.37372223089787349</v>
      </c>
      <c r="AI45" s="354">
        <f t="shared" si="44"/>
        <v>0</v>
      </c>
      <c r="AJ45" s="354">
        <f t="shared" si="45"/>
        <v>0.70777642307066513</v>
      </c>
      <c r="AK45" s="374">
        <f t="shared" si="46"/>
        <v>0.76338240420135584</v>
      </c>
      <c r="AL45" s="354">
        <f t="shared" si="21"/>
        <v>0.21871412613891766</v>
      </c>
      <c r="AM45" s="354">
        <f t="shared" si="47"/>
        <v>0.51585090369138609</v>
      </c>
      <c r="AN45" s="354">
        <f t="shared" si="48"/>
        <v>2.8817374371052085E-2</v>
      </c>
      <c r="AO45" s="374">
        <f t="shared" si="49"/>
        <v>0.44264360833103877</v>
      </c>
      <c r="AP45" s="354">
        <f t="shared" si="25"/>
        <v>0.10150283527929266</v>
      </c>
      <c r="AQ45" s="354">
        <f t="shared" si="50"/>
        <v>0.34114077305174612</v>
      </c>
      <c r="AR45" s="374">
        <f t="shared" si="51"/>
        <v>0.80751082194425716</v>
      </c>
      <c r="AS45" s="354">
        <f t="shared" si="28"/>
        <v>0.34992185263114284</v>
      </c>
      <c r="AT45" s="354">
        <f t="shared" si="52"/>
        <v>0.45758896931311438</v>
      </c>
      <c r="AU45" s="355" t="s">
        <v>396</v>
      </c>
      <c r="AV45" s="353" t="s">
        <v>404</v>
      </c>
      <c r="AW45" s="355" t="s">
        <v>405</v>
      </c>
      <c r="AX45" s="355">
        <v>117872</v>
      </c>
      <c r="AY45" s="350" t="s">
        <v>406</v>
      </c>
      <c r="AZ45" s="351">
        <v>45054</v>
      </c>
      <c r="BA45" s="351">
        <v>45054</v>
      </c>
      <c r="BB45" s="350" t="s">
        <v>407</v>
      </c>
    </row>
    <row r="46" spans="1:54" x14ac:dyDescent="0.25">
      <c r="A46" s="348" t="s">
        <v>445</v>
      </c>
      <c r="B46" s="349">
        <v>4699</v>
      </c>
      <c r="C46" s="350" t="s">
        <v>441</v>
      </c>
      <c r="D46" s="351">
        <v>45046</v>
      </c>
      <c r="E46" s="352">
        <v>3120</v>
      </c>
      <c r="F46" s="352">
        <v>1</v>
      </c>
      <c r="H46" s="350" t="s">
        <v>438</v>
      </c>
      <c r="I46" s="350" t="s">
        <v>393</v>
      </c>
      <c r="J46" s="354">
        <v>8820</v>
      </c>
      <c r="K46" s="350" t="s">
        <v>394</v>
      </c>
      <c r="L46" s="354">
        <v>0</v>
      </c>
      <c r="M46" s="354">
        <v>4.28</v>
      </c>
      <c r="N46" s="354" t="s">
        <v>395</v>
      </c>
      <c r="O46" s="354">
        <v>3.53</v>
      </c>
      <c r="P46" s="374">
        <f t="shared" si="0"/>
        <v>0.26967481714499775</v>
      </c>
      <c r="Q46" s="354">
        <f t="shared" si="30"/>
        <v>2.5434449205031108E-2</v>
      </c>
      <c r="R46" s="354">
        <f t="shared" si="31"/>
        <v>4.2875083808253577E-2</v>
      </c>
      <c r="S46" s="354">
        <f t="shared" si="32"/>
        <v>3.8192550553521595E-2</v>
      </c>
      <c r="T46" s="354">
        <f t="shared" si="33"/>
        <v>0.16298220505544686</v>
      </c>
      <c r="U46" s="374">
        <f t="shared" si="34"/>
        <v>1.082322052407332</v>
      </c>
      <c r="V46" s="354">
        <f t="shared" si="5"/>
        <v>2.8649839831490807E-2</v>
      </c>
      <c r="W46" s="354">
        <f t="shared" si="35"/>
        <v>0.97730537494811764</v>
      </c>
      <c r="X46" s="354">
        <f t="shared" si="36"/>
        <v>7.6366837627723658E-2</v>
      </c>
      <c r="Y46" s="374">
        <f t="shared" si="37"/>
        <v>0.15866675772454669</v>
      </c>
      <c r="Z46" s="354">
        <f t="shared" si="9"/>
        <v>8.1849837844187881E-2</v>
      </c>
      <c r="AA46" s="354">
        <f t="shared" si="38"/>
        <v>7.6816919880358811E-2</v>
      </c>
      <c r="AB46" s="374">
        <f t="shared" si="39"/>
        <v>0.86685930114207099</v>
      </c>
      <c r="AC46" s="354">
        <f t="shared" si="12"/>
        <v>0.24600823647344616</v>
      </c>
      <c r="AD46" s="354">
        <f t="shared" si="40"/>
        <v>0.53550528436335143</v>
      </c>
      <c r="AE46" s="354">
        <f t="shared" si="41"/>
        <v>8.534578030527333E-2</v>
      </c>
      <c r="AF46" s="374">
        <f t="shared" si="42"/>
        <v>0.69379016392886861</v>
      </c>
      <c r="AG46" s="354">
        <f t="shared" si="16"/>
        <v>4.4587605866407934E-2</v>
      </c>
      <c r="AH46" s="354">
        <f t="shared" si="43"/>
        <v>0.22433816945903204</v>
      </c>
      <c r="AI46" s="354">
        <f t="shared" si="44"/>
        <v>0</v>
      </c>
      <c r="AJ46" s="354">
        <f t="shared" si="45"/>
        <v>0.42486438860342868</v>
      </c>
      <c r="AK46" s="374">
        <f t="shared" si="46"/>
        <v>0.45824357503251095</v>
      </c>
      <c r="AL46" s="354">
        <f t="shared" si="21"/>
        <v>0.13128982606936432</v>
      </c>
      <c r="AM46" s="354">
        <f t="shared" si="47"/>
        <v>0.30965524092554453</v>
      </c>
      <c r="AN46" s="354">
        <f t="shared" si="48"/>
        <v>1.7298508037602092E-2</v>
      </c>
      <c r="AO46" s="374">
        <f t="shared" si="49"/>
        <v>0.26571032870362499</v>
      </c>
      <c r="AP46" s="354">
        <f t="shared" si="25"/>
        <v>6.0930173211132206E-2</v>
      </c>
      <c r="AQ46" s="354">
        <f t="shared" si="50"/>
        <v>0.20478015549249279</v>
      </c>
      <c r="AR46" s="374">
        <f t="shared" si="51"/>
        <v>0.48473300391604779</v>
      </c>
      <c r="AS46" s="354">
        <f t="shared" si="28"/>
        <v>0.2100512663760577</v>
      </c>
      <c r="AT46" s="354">
        <f t="shared" si="52"/>
        <v>0.27468173753999009</v>
      </c>
      <c r="AU46" s="355" t="s">
        <v>396</v>
      </c>
      <c r="AV46" s="353" t="s">
        <v>404</v>
      </c>
      <c r="AW46" s="355" t="s">
        <v>405</v>
      </c>
      <c r="AX46" s="355">
        <v>103328</v>
      </c>
      <c r="AY46" s="350" t="s">
        <v>406</v>
      </c>
      <c r="AZ46" s="351">
        <v>45054</v>
      </c>
      <c r="BA46" s="351">
        <v>45054</v>
      </c>
      <c r="BB46" s="350" t="s">
        <v>407</v>
      </c>
    </row>
    <row r="47" spans="1:54" x14ac:dyDescent="0.25">
      <c r="A47" s="348" t="s">
        <v>445</v>
      </c>
      <c r="B47" s="349">
        <v>4699</v>
      </c>
      <c r="C47" s="350" t="s">
        <v>441</v>
      </c>
      <c r="D47" s="351">
        <v>45046</v>
      </c>
      <c r="E47" s="352">
        <v>3120</v>
      </c>
      <c r="F47" s="352">
        <v>1</v>
      </c>
      <c r="H47" s="350" t="s">
        <v>438</v>
      </c>
      <c r="I47" s="350" t="s">
        <v>393</v>
      </c>
      <c r="J47" s="354">
        <v>2940</v>
      </c>
      <c r="K47" s="350" t="s">
        <v>394</v>
      </c>
      <c r="L47" s="354">
        <v>0</v>
      </c>
      <c r="M47" s="354">
        <v>1.43</v>
      </c>
      <c r="N47" s="354" t="s">
        <v>395</v>
      </c>
      <c r="O47" s="354">
        <v>1.18</v>
      </c>
      <c r="P47" s="374">
        <f t="shared" si="0"/>
        <v>9.0101632831155784E-2</v>
      </c>
      <c r="Q47" s="354">
        <f t="shared" si="30"/>
        <v>8.4979584960734773E-3</v>
      </c>
      <c r="R47" s="354">
        <f t="shared" si="31"/>
        <v>1.4325086412570704E-2</v>
      </c>
      <c r="S47" s="354">
        <f t="shared" si="32"/>
        <v>1.2760595161573804E-2</v>
      </c>
      <c r="T47" s="354">
        <f t="shared" si="33"/>
        <v>5.4454334866656309E-2</v>
      </c>
      <c r="U47" s="374">
        <f t="shared" si="34"/>
        <v>0.36161694741646844</v>
      </c>
      <c r="V47" s="354">
        <f t="shared" si="5"/>
        <v>9.5722595698672572E-3</v>
      </c>
      <c r="W47" s="354">
        <f t="shared" si="35"/>
        <v>0.32652959957378697</v>
      </c>
      <c r="X47" s="354">
        <f t="shared" si="36"/>
        <v>2.5515088272814217E-2</v>
      </c>
      <c r="Y47" s="374">
        <f t="shared" si="37"/>
        <v>5.3012491482734056E-2</v>
      </c>
      <c r="Z47" s="354">
        <f t="shared" si="9"/>
        <v>2.7347025261025386E-2</v>
      </c>
      <c r="AA47" s="354">
        <f t="shared" si="38"/>
        <v>2.5665466221708667E-2</v>
      </c>
      <c r="AB47" s="374">
        <f t="shared" si="39"/>
        <v>0.28962822444700037</v>
      </c>
      <c r="AC47" s="354">
        <f t="shared" si="12"/>
        <v>8.2194340690894402E-2</v>
      </c>
      <c r="AD47" s="354">
        <f t="shared" si="40"/>
        <v>0.17891882164476464</v>
      </c>
      <c r="AE47" s="354">
        <f t="shared" si="41"/>
        <v>2.8515062111341326E-2</v>
      </c>
      <c r="AF47" s="374">
        <f t="shared" si="42"/>
        <v>0.23180372299492571</v>
      </c>
      <c r="AG47" s="354">
        <f t="shared" si="16"/>
        <v>1.4897260838542837E-2</v>
      </c>
      <c r="AH47" s="354">
        <f t="shared" si="43"/>
        <v>7.4954108020190605E-2</v>
      </c>
      <c r="AI47" s="354">
        <f t="shared" si="44"/>
        <v>0</v>
      </c>
      <c r="AJ47" s="354">
        <f t="shared" si="45"/>
        <v>0.14195235413619228</v>
      </c>
      <c r="AK47" s="374">
        <f t="shared" si="46"/>
        <v>0.15310474586366604</v>
      </c>
      <c r="AL47" s="354">
        <f t="shared" si="21"/>
        <v>4.3865525999810979E-2</v>
      </c>
      <c r="AM47" s="354">
        <f t="shared" si="47"/>
        <v>0.10345957815970297</v>
      </c>
      <c r="AN47" s="354">
        <f t="shared" si="48"/>
        <v>5.7796417041521015E-3</v>
      </c>
      <c r="AO47" s="374">
        <f t="shared" si="49"/>
        <v>8.8777049076211145E-2</v>
      </c>
      <c r="AP47" s="354">
        <f t="shared" si="25"/>
        <v>2.035751114297174E-2</v>
      </c>
      <c r="AQ47" s="354">
        <f t="shared" si="50"/>
        <v>6.8419537933239405E-2</v>
      </c>
      <c r="AR47" s="374">
        <f t="shared" si="51"/>
        <v>0.16195518588783839</v>
      </c>
      <c r="AS47" s="354">
        <f t="shared" si="28"/>
        <v>7.0180680120972547E-2</v>
      </c>
      <c r="AT47" s="354">
        <f t="shared" si="52"/>
        <v>9.1774505766865855E-2</v>
      </c>
      <c r="AU47" s="355" t="s">
        <v>396</v>
      </c>
      <c r="AV47" s="353" t="s">
        <v>404</v>
      </c>
      <c r="AW47" s="355" t="s">
        <v>405</v>
      </c>
      <c r="AX47" s="355">
        <v>117293</v>
      </c>
      <c r="AY47" s="350" t="s">
        <v>406</v>
      </c>
      <c r="AZ47" s="351">
        <v>45054</v>
      </c>
      <c r="BA47" s="351">
        <v>45054</v>
      </c>
      <c r="BB47" s="350" t="s">
        <v>407</v>
      </c>
    </row>
    <row r="48" spans="1:54" x14ac:dyDescent="0.25">
      <c r="A48" s="348" t="s">
        <v>445</v>
      </c>
      <c r="B48" s="349">
        <v>4699</v>
      </c>
      <c r="C48" s="350" t="s">
        <v>441</v>
      </c>
      <c r="D48" s="351">
        <v>45046</v>
      </c>
      <c r="E48" s="352">
        <v>3130</v>
      </c>
      <c r="F48" s="352">
        <v>1</v>
      </c>
      <c r="H48" s="350" t="s">
        <v>439</v>
      </c>
      <c r="I48" s="350" t="s">
        <v>393</v>
      </c>
      <c r="J48" s="354">
        <v>146233.5</v>
      </c>
      <c r="K48" s="350" t="s">
        <v>394</v>
      </c>
      <c r="L48" s="354">
        <v>0</v>
      </c>
      <c r="M48" s="354">
        <v>70.92</v>
      </c>
      <c r="N48" s="354" t="s">
        <v>395</v>
      </c>
      <c r="O48" s="354">
        <v>58.49</v>
      </c>
      <c r="P48" s="374">
        <f t="shared" si="0"/>
        <v>4.4685369233465515</v>
      </c>
      <c r="Q48" s="354">
        <f t="shared" si="30"/>
        <v>0.42145120037869305</v>
      </c>
      <c r="R48" s="354">
        <f t="shared" si="31"/>
        <v>0.71044414571994008</v>
      </c>
      <c r="S48" s="354">
        <f t="shared" si="32"/>
        <v>0.63285413206910079</v>
      </c>
      <c r="T48" s="354">
        <f t="shared" si="33"/>
        <v>2.7006303697505354</v>
      </c>
      <c r="U48" s="374">
        <f t="shared" si="34"/>
        <v>17.934177559983176</v>
      </c>
      <c r="V48" s="354">
        <f t="shared" si="5"/>
        <v>0.47473052356292716</v>
      </c>
      <c r="W48" s="354">
        <f t="shared" si="35"/>
        <v>16.19404139984124</v>
      </c>
      <c r="X48" s="354">
        <f t="shared" si="36"/>
        <v>1.2654056365790101</v>
      </c>
      <c r="Y48" s="374">
        <f t="shared" si="37"/>
        <v>2.6291230041646849</v>
      </c>
      <c r="Z48" s="354">
        <f t="shared" si="9"/>
        <v>1.3562594625957487</v>
      </c>
      <c r="AA48" s="354">
        <f t="shared" si="38"/>
        <v>1.2728635415689362</v>
      </c>
      <c r="AB48" s="374">
        <f t="shared" si="39"/>
        <v>14.363939634812073</v>
      </c>
      <c r="AC48" s="354">
        <f t="shared" si="12"/>
        <v>4.0763794697889724</v>
      </c>
      <c r="AD48" s="354">
        <f t="shared" si="40"/>
        <v>8.873372609123571</v>
      </c>
      <c r="AE48" s="354">
        <f t="shared" si="41"/>
        <v>1.4141875558995292</v>
      </c>
      <c r="AF48" s="374">
        <f t="shared" si="42"/>
        <v>11.49616785650359</v>
      </c>
      <c r="AG48" s="354">
        <f t="shared" si="16"/>
        <v>0.73882079627234831</v>
      </c>
      <c r="AH48" s="354">
        <f t="shared" si="43"/>
        <v>3.7173044341202224</v>
      </c>
      <c r="AI48" s="354">
        <f t="shared" si="44"/>
        <v>0</v>
      </c>
      <c r="AJ48" s="354">
        <f t="shared" si="45"/>
        <v>7.0400426261110196</v>
      </c>
      <c r="AK48" s="374">
        <f t="shared" si="46"/>
        <v>7.5931388647910465</v>
      </c>
      <c r="AL48" s="354">
        <f t="shared" si="21"/>
        <v>2.1754846880465699</v>
      </c>
      <c r="AM48" s="354">
        <f t="shared" si="47"/>
        <v>5.1310162818784164</v>
      </c>
      <c r="AN48" s="354">
        <f t="shared" si="48"/>
        <v>0.28663789486606089</v>
      </c>
      <c r="AO48" s="374">
        <f t="shared" si="49"/>
        <v>4.4028449793600659</v>
      </c>
      <c r="AP48" s="354">
        <f t="shared" si="25"/>
        <v>1.0096186645171719</v>
      </c>
      <c r="AQ48" s="354">
        <f t="shared" si="50"/>
        <v>3.3932263148428943</v>
      </c>
      <c r="AR48" s="374">
        <f t="shared" si="51"/>
        <v>8.0320711770388105</v>
      </c>
      <c r="AS48" s="354">
        <f t="shared" si="28"/>
        <v>3.4805691148107503</v>
      </c>
      <c r="AT48" s="354">
        <f t="shared" si="52"/>
        <v>4.5515020622280602</v>
      </c>
      <c r="AU48" s="355" t="s">
        <v>396</v>
      </c>
      <c r="AV48" s="353" t="s">
        <v>404</v>
      </c>
      <c r="AW48" s="355" t="s">
        <v>405</v>
      </c>
      <c r="AX48" s="355">
        <v>102955</v>
      </c>
      <c r="AY48" s="350" t="s">
        <v>406</v>
      </c>
      <c r="AZ48" s="351">
        <v>45054</v>
      </c>
      <c r="BA48" s="351">
        <v>45054</v>
      </c>
      <c r="BB48" s="350" t="s">
        <v>407</v>
      </c>
    </row>
    <row r="49" spans="1:54" x14ac:dyDescent="0.25">
      <c r="A49" s="348" t="s">
        <v>445</v>
      </c>
      <c r="B49" s="349">
        <v>4699</v>
      </c>
      <c r="C49" s="350" t="s">
        <v>441</v>
      </c>
      <c r="D49" s="351">
        <v>45046</v>
      </c>
      <c r="E49" s="352">
        <v>3130</v>
      </c>
      <c r="F49" s="352">
        <v>1</v>
      </c>
      <c r="H49" s="350" t="s">
        <v>439</v>
      </c>
      <c r="I49" s="350" t="s">
        <v>393</v>
      </c>
      <c r="J49" s="354">
        <v>53768.4</v>
      </c>
      <c r="K49" s="350" t="s">
        <v>394</v>
      </c>
      <c r="L49" s="354">
        <v>0</v>
      </c>
      <c r="M49" s="354">
        <v>26.08</v>
      </c>
      <c r="N49" s="354" t="s">
        <v>395</v>
      </c>
      <c r="O49" s="354">
        <v>21.51</v>
      </c>
      <c r="P49" s="374">
        <f t="shared" si="0"/>
        <v>1.6432521568087712</v>
      </c>
      <c r="Q49" s="354">
        <f t="shared" si="30"/>
        <v>0.15498374655775965</v>
      </c>
      <c r="R49" s="354">
        <f t="shared" si="31"/>
        <v>0.2612575200278629</v>
      </c>
      <c r="S49" s="354">
        <f t="shared" si="32"/>
        <v>0.23272470056912223</v>
      </c>
      <c r="T49" s="354">
        <f t="shared" si="33"/>
        <v>0.99312521211356408</v>
      </c>
      <c r="U49" s="374">
        <f t="shared" si="34"/>
        <v>6.5950839081269201</v>
      </c>
      <c r="V49" s="354">
        <f t="shared" si="5"/>
        <v>0.17457659411338322</v>
      </c>
      <c r="W49" s="354">
        <f t="shared" si="35"/>
        <v>5.9551692006184362</v>
      </c>
      <c r="X49" s="354">
        <f t="shared" si="36"/>
        <v>0.46533811339510117</v>
      </c>
      <c r="Y49" s="374">
        <f t="shared" si="37"/>
        <v>0.96682921529349941</v>
      </c>
      <c r="Z49" s="354">
        <f t="shared" si="9"/>
        <v>0.49874854462065882</v>
      </c>
      <c r="AA49" s="354">
        <f t="shared" si="38"/>
        <v>0.46808067067284054</v>
      </c>
      <c r="AB49" s="374">
        <f t="shared" si="39"/>
        <v>5.2821706948096283</v>
      </c>
      <c r="AC49" s="354">
        <f t="shared" si="12"/>
        <v>1.4990408428101578</v>
      </c>
      <c r="AD49" s="354">
        <f t="shared" si="40"/>
        <v>3.2630789290178051</v>
      </c>
      <c r="AE49" s="354">
        <f t="shared" si="41"/>
        <v>0.52005092298166555</v>
      </c>
      <c r="AF49" s="374">
        <f t="shared" si="42"/>
        <v>4.2275811858095542</v>
      </c>
      <c r="AG49" s="354">
        <f t="shared" si="16"/>
        <v>0.27169270116727073</v>
      </c>
      <c r="AH49" s="354">
        <f t="shared" si="43"/>
        <v>1.366995200815784</v>
      </c>
      <c r="AI49" s="354">
        <f t="shared" si="44"/>
        <v>0</v>
      </c>
      <c r="AJ49" s="354">
        <f t="shared" si="45"/>
        <v>2.5888932838264997</v>
      </c>
      <c r="AK49" s="374">
        <f t="shared" si="46"/>
        <v>2.7922879525345525</v>
      </c>
      <c r="AL49" s="354">
        <f t="shared" si="21"/>
        <v>0.80000903361893017</v>
      </c>
      <c r="AM49" s="354">
        <f t="shared" si="47"/>
        <v>1.8868711876958415</v>
      </c>
      <c r="AN49" s="354">
        <f t="shared" si="48"/>
        <v>0.10540773121978098</v>
      </c>
      <c r="AO49" s="374">
        <f t="shared" si="49"/>
        <v>1.6190947132220885</v>
      </c>
      <c r="AP49" s="354">
        <f t="shared" si="25"/>
        <v>0.37127544797811396</v>
      </c>
      <c r="AQ49" s="354">
        <f t="shared" si="50"/>
        <v>1.2478192652439746</v>
      </c>
      <c r="AR49" s="374">
        <f t="shared" si="51"/>
        <v>2.9537001733949824</v>
      </c>
      <c r="AS49" s="354">
        <f t="shared" si="28"/>
        <v>1.2799385577307438</v>
      </c>
      <c r="AT49" s="354">
        <f t="shared" si="52"/>
        <v>1.6737616156642385</v>
      </c>
      <c r="AU49" s="355" t="s">
        <v>396</v>
      </c>
      <c r="AV49" s="353" t="s">
        <v>404</v>
      </c>
      <c r="AW49" s="355" t="s">
        <v>405</v>
      </c>
      <c r="AX49" s="355">
        <v>103265</v>
      </c>
      <c r="AY49" s="350" t="s">
        <v>406</v>
      </c>
      <c r="AZ49" s="351">
        <v>45054</v>
      </c>
      <c r="BA49" s="351">
        <v>45054</v>
      </c>
      <c r="BB49" s="350" t="s">
        <v>407</v>
      </c>
    </row>
    <row r="50" spans="1:54" x14ac:dyDescent="0.25">
      <c r="A50" s="348" t="s">
        <v>445</v>
      </c>
      <c r="B50" s="349">
        <v>4699</v>
      </c>
      <c r="C50" s="350" t="s">
        <v>441</v>
      </c>
      <c r="D50" s="351">
        <v>45046</v>
      </c>
      <c r="E50" s="352">
        <v>3130</v>
      </c>
      <c r="F50" s="352">
        <v>1</v>
      </c>
      <c r="H50" s="350" t="s">
        <v>439</v>
      </c>
      <c r="I50" s="350" t="s">
        <v>393</v>
      </c>
      <c r="J50" s="354">
        <v>515956</v>
      </c>
      <c r="K50" s="350" t="s">
        <v>394</v>
      </c>
      <c r="L50" s="354">
        <v>0</v>
      </c>
      <c r="M50" s="354">
        <v>250.22</v>
      </c>
      <c r="N50" s="354" t="s">
        <v>395</v>
      </c>
      <c r="O50" s="354">
        <v>206.38</v>
      </c>
      <c r="P50" s="374">
        <f t="shared" si="0"/>
        <v>15.765895501406854</v>
      </c>
      <c r="Q50" s="354">
        <f t="shared" si="30"/>
        <v>1.4869644579632906</v>
      </c>
      <c r="R50" s="354">
        <f t="shared" si="31"/>
        <v>2.5065895959114979</v>
      </c>
      <c r="S50" s="354">
        <f t="shared" si="32"/>
        <v>2.2328364484818164</v>
      </c>
      <c r="T50" s="354">
        <f t="shared" si="33"/>
        <v>9.5283662030312879</v>
      </c>
      <c r="U50" s="374">
        <f t="shared" si="34"/>
        <v>63.275379428355755</v>
      </c>
      <c r="V50" s="354">
        <f t="shared" si="5"/>
        <v>1.6749446080924371</v>
      </c>
      <c r="W50" s="354">
        <f t="shared" si="35"/>
        <v>57.135829654092994</v>
      </c>
      <c r="X50" s="354">
        <f t="shared" si="36"/>
        <v>4.4646051661703305</v>
      </c>
      <c r="Y50" s="374">
        <f t="shared" si="37"/>
        <v>9.276073859307493</v>
      </c>
      <c r="Z50" s="354">
        <f t="shared" si="9"/>
        <v>4.7851557068627777</v>
      </c>
      <c r="AA50" s="354">
        <f t="shared" si="38"/>
        <v>4.4909181524447144</v>
      </c>
      <c r="AB50" s="374">
        <f t="shared" si="39"/>
        <v>50.678863161628271</v>
      </c>
      <c r="AC50" s="354">
        <f t="shared" si="12"/>
        <v>14.382285264108807</v>
      </c>
      <c r="AD50" s="354">
        <f t="shared" si="40"/>
        <v>31.307040246120984</v>
      </c>
      <c r="AE50" s="354">
        <f t="shared" si="41"/>
        <v>4.9895376513984795</v>
      </c>
      <c r="AF50" s="374">
        <f t="shared" si="42"/>
        <v>40.560788508944277</v>
      </c>
      <c r="AG50" s="354">
        <f t="shared" si="16"/>
        <v>2.6067081167973347</v>
      </c>
      <c r="AH50" s="354">
        <f t="shared" si="43"/>
        <v>13.115396439728737</v>
      </c>
      <c r="AI50" s="354">
        <f t="shared" si="44"/>
        <v>0</v>
      </c>
      <c r="AJ50" s="354">
        <f t="shared" si="45"/>
        <v>24.838683952418208</v>
      </c>
      <c r="AK50" s="374">
        <f t="shared" si="46"/>
        <v>26.790118538466096</v>
      </c>
      <c r="AL50" s="354">
        <f t="shared" si="21"/>
        <v>7.6755467941767153</v>
      </c>
      <c r="AM50" s="354">
        <f t="shared" si="47"/>
        <v>18.103255697287327</v>
      </c>
      <c r="AN50" s="354">
        <f t="shared" si="48"/>
        <v>1.0113160470020552</v>
      </c>
      <c r="AO50" s="374">
        <f t="shared" si="49"/>
        <v>15.534121132761925</v>
      </c>
      <c r="AP50" s="354">
        <f t="shared" si="25"/>
        <v>3.5621373693667056</v>
      </c>
      <c r="AQ50" s="354">
        <f t="shared" si="50"/>
        <v>11.971983763395221</v>
      </c>
      <c r="AR50" s="374">
        <f t="shared" si="51"/>
        <v>28.338759869129316</v>
      </c>
      <c r="AS50" s="354">
        <f t="shared" si="28"/>
        <v>12.280146699209615</v>
      </c>
      <c r="AT50" s="354">
        <f t="shared" si="52"/>
        <v>16.058613169919703</v>
      </c>
      <c r="AU50" s="355" t="s">
        <v>396</v>
      </c>
      <c r="AV50" s="353" t="s">
        <v>404</v>
      </c>
      <c r="AW50" s="355" t="s">
        <v>405</v>
      </c>
      <c r="AX50" s="355">
        <v>117871</v>
      </c>
      <c r="AY50" s="350" t="s">
        <v>406</v>
      </c>
      <c r="AZ50" s="351">
        <v>45054</v>
      </c>
      <c r="BA50" s="351">
        <v>45054</v>
      </c>
      <c r="BB50" s="350" t="s">
        <v>407</v>
      </c>
    </row>
    <row r="51" spans="1:54" x14ac:dyDescent="0.25">
      <c r="A51" s="348" t="s">
        <v>445</v>
      </c>
      <c r="B51" s="349">
        <v>4699</v>
      </c>
      <c r="C51" s="350" t="s">
        <v>441</v>
      </c>
      <c r="D51" s="351">
        <v>45046</v>
      </c>
      <c r="E51" s="352">
        <v>3130</v>
      </c>
      <c r="F51" s="352">
        <v>1</v>
      </c>
      <c r="H51" s="350" t="s">
        <v>439</v>
      </c>
      <c r="I51" s="350" t="s">
        <v>393</v>
      </c>
      <c r="J51" s="354">
        <v>173614.5</v>
      </c>
      <c r="K51" s="350" t="s">
        <v>394</v>
      </c>
      <c r="L51" s="354">
        <v>0</v>
      </c>
      <c r="M51" s="354">
        <v>84.2</v>
      </c>
      <c r="N51" s="354" t="s">
        <v>395</v>
      </c>
      <c r="O51" s="354">
        <v>69.45</v>
      </c>
      <c r="P51" s="374">
        <f t="shared" si="0"/>
        <v>5.3052849541142084</v>
      </c>
      <c r="Q51" s="354">
        <f t="shared" si="30"/>
        <v>0.50036930445411665</v>
      </c>
      <c r="R51" s="354">
        <f t="shared" si="31"/>
        <v>0.8434771160408765</v>
      </c>
      <c r="S51" s="354">
        <f t="shared" si="32"/>
        <v>0.75135812070245767</v>
      </c>
      <c r="T51" s="354">
        <f t="shared" si="33"/>
        <v>3.2063321648758474</v>
      </c>
      <c r="U51" s="374">
        <f t="shared" si="34"/>
        <v>21.292410470256392</v>
      </c>
      <c r="V51" s="354">
        <f t="shared" si="5"/>
        <v>0.56362535369428179</v>
      </c>
      <c r="W51" s="354">
        <f t="shared" si="35"/>
        <v>19.226428170708296</v>
      </c>
      <c r="X51" s="354">
        <f t="shared" si="36"/>
        <v>1.502356945853816</v>
      </c>
      <c r="Y51" s="374">
        <f t="shared" si="37"/>
        <v>3.1214348131791665</v>
      </c>
      <c r="Z51" s="354">
        <f t="shared" si="9"/>
        <v>1.6102234454393971</v>
      </c>
      <c r="AA51" s="354">
        <f t="shared" si="38"/>
        <v>1.5112113677397692</v>
      </c>
      <c r="AB51" s="374">
        <f t="shared" si="39"/>
        <v>17.05363391499121</v>
      </c>
      <c r="AC51" s="354">
        <f t="shared" si="12"/>
        <v>4.8396947455757395</v>
      </c>
      <c r="AD51" s="354">
        <f t="shared" si="40"/>
        <v>10.534940407335093</v>
      </c>
      <c r="AE51" s="354">
        <f t="shared" si="41"/>
        <v>1.6789987620803772</v>
      </c>
      <c r="AF51" s="374">
        <f t="shared" si="42"/>
        <v>13.648862570750172</v>
      </c>
      <c r="AG51" s="354">
        <f t="shared" si="16"/>
        <v>0.87716738643727754</v>
      </c>
      <c r="AH51" s="354">
        <f t="shared" si="43"/>
        <v>4.4133817449650694</v>
      </c>
      <c r="AI51" s="354">
        <f t="shared" si="44"/>
        <v>0</v>
      </c>
      <c r="AJ51" s="354">
        <f t="shared" si="45"/>
        <v>8.3583134393478264</v>
      </c>
      <c r="AK51" s="374">
        <f t="shared" si="46"/>
        <v>9.0149787424620147</v>
      </c>
      <c r="AL51" s="354">
        <f t="shared" si="21"/>
        <v>2.5828512511776816</v>
      </c>
      <c r="AM51" s="354">
        <f t="shared" si="47"/>
        <v>6.0918157210118808</v>
      </c>
      <c r="AN51" s="354">
        <f t="shared" si="48"/>
        <v>0.34031177027245241</v>
      </c>
      <c r="AO51" s="374">
        <f t="shared" si="49"/>
        <v>5.2272919805713141</v>
      </c>
      <c r="AP51" s="354">
        <f t="shared" si="25"/>
        <v>1.1986730337330214</v>
      </c>
      <c r="AQ51" s="354">
        <f t="shared" si="50"/>
        <v>4.0286189468382929</v>
      </c>
      <c r="AR51" s="374">
        <f t="shared" si="51"/>
        <v>9.5361025536755193</v>
      </c>
      <c r="AS51" s="354">
        <f t="shared" si="28"/>
        <v>4.1323169693607609</v>
      </c>
      <c r="AT51" s="354">
        <f t="shared" si="52"/>
        <v>5.4037855843147584</v>
      </c>
      <c r="AU51" s="355" t="s">
        <v>396</v>
      </c>
      <c r="AV51" s="353" t="s">
        <v>404</v>
      </c>
      <c r="AW51" s="355" t="s">
        <v>405</v>
      </c>
      <c r="AX51" s="355">
        <v>103321</v>
      </c>
      <c r="AY51" s="350" t="s">
        <v>406</v>
      </c>
      <c r="AZ51" s="351">
        <v>45054</v>
      </c>
      <c r="BA51" s="351">
        <v>45054</v>
      </c>
      <c r="BB51" s="350" t="s">
        <v>407</v>
      </c>
    </row>
    <row r="52" spans="1:54" x14ac:dyDescent="0.25">
      <c r="A52" s="348" t="s">
        <v>445</v>
      </c>
      <c r="B52" s="349">
        <v>4699</v>
      </c>
      <c r="C52" s="350" t="s">
        <v>441</v>
      </c>
      <c r="D52" s="351">
        <v>45046</v>
      </c>
      <c r="E52" s="352">
        <v>3130</v>
      </c>
      <c r="F52" s="352">
        <v>1</v>
      </c>
      <c r="H52" s="350" t="s">
        <v>439</v>
      </c>
      <c r="I52" s="350" t="s">
        <v>393</v>
      </c>
      <c r="J52" s="354">
        <v>54103.8</v>
      </c>
      <c r="K52" s="350" t="s">
        <v>394</v>
      </c>
      <c r="L52" s="354">
        <v>0</v>
      </c>
      <c r="M52" s="354">
        <v>26.24</v>
      </c>
      <c r="N52" s="354" t="s">
        <v>395</v>
      </c>
      <c r="O52" s="354">
        <v>21.64</v>
      </c>
      <c r="P52" s="374">
        <f t="shared" si="0"/>
        <v>1.6533334583842851</v>
      </c>
      <c r="Q52" s="354">
        <f t="shared" si="30"/>
        <v>0.15593456708878883</v>
      </c>
      <c r="R52" s="354">
        <f t="shared" si="31"/>
        <v>0.26286032689919947</v>
      </c>
      <c r="S52" s="354">
        <f t="shared" si="32"/>
        <v>0.23415245946831931</v>
      </c>
      <c r="T52" s="354">
        <f t="shared" si="33"/>
        <v>0.99921800482591716</v>
      </c>
      <c r="U52" s="374">
        <f t="shared" si="34"/>
        <v>6.6355445456000917</v>
      </c>
      <c r="V52" s="354">
        <f t="shared" si="5"/>
        <v>0.1756476161631586</v>
      </c>
      <c r="W52" s="354">
        <f t="shared" si="35"/>
        <v>5.9917039809903283</v>
      </c>
      <c r="X52" s="354">
        <f t="shared" si="36"/>
        <v>0.46819294844660492</v>
      </c>
      <c r="Y52" s="374">
        <f t="shared" si="37"/>
        <v>0.97276068287198714</v>
      </c>
      <c r="Z52" s="354">
        <f t="shared" si="9"/>
        <v>0.50180835164287141</v>
      </c>
      <c r="AA52" s="354">
        <f t="shared" si="38"/>
        <v>0.47095233122911567</v>
      </c>
      <c r="AB52" s="374">
        <f t="shared" si="39"/>
        <v>5.3145766499925093</v>
      </c>
      <c r="AC52" s="354">
        <f t="shared" si="12"/>
        <v>1.5082374123979501</v>
      </c>
      <c r="AD52" s="354">
        <f t="shared" si="40"/>
        <v>3.2830978181528834</v>
      </c>
      <c r="AE52" s="354">
        <f t="shared" si="41"/>
        <v>0.52324141944167568</v>
      </c>
      <c r="AF52" s="374">
        <f t="shared" si="42"/>
        <v>4.2535172667040912</v>
      </c>
      <c r="AG52" s="354">
        <f t="shared" si="16"/>
        <v>0.27335952755480003</v>
      </c>
      <c r="AH52" s="354">
        <f t="shared" si="43"/>
        <v>1.3753816744404206</v>
      </c>
      <c r="AI52" s="354">
        <f t="shared" si="44"/>
        <v>0</v>
      </c>
      <c r="AJ52" s="354">
        <f t="shared" si="45"/>
        <v>2.6047760647088709</v>
      </c>
      <c r="AK52" s="374">
        <f t="shared" si="46"/>
        <v>2.8094185534703473</v>
      </c>
      <c r="AL52" s="354">
        <f t="shared" si="21"/>
        <v>0.80491706450002798</v>
      </c>
      <c r="AM52" s="354">
        <f t="shared" si="47"/>
        <v>1.8984470845528711</v>
      </c>
      <c r="AN52" s="354">
        <f t="shared" si="48"/>
        <v>0.10605440441744834</v>
      </c>
      <c r="AO52" s="374">
        <f t="shared" si="49"/>
        <v>1.6290278096222239</v>
      </c>
      <c r="AP52" s="354">
        <f t="shared" si="25"/>
        <v>0.37355321146264225</v>
      </c>
      <c r="AQ52" s="354">
        <f t="shared" si="50"/>
        <v>1.2554745981595818</v>
      </c>
      <c r="AR52" s="374">
        <f t="shared" si="51"/>
        <v>2.9718210333544608</v>
      </c>
      <c r="AS52" s="354">
        <f t="shared" si="28"/>
        <v>1.2877909415205031</v>
      </c>
      <c r="AT52" s="354">
        <f t="shared" si="52"/>
        <v>1.6840300918339579</v>
      </c>
      <c r="AU52" s="355" t="s">
        <v>396</v>
      </c>
      <c r="AV52" s="353" t="s">
        <v>404</v>
      </c>
      <c r="AW52" s="355" t="s">
        <v>405</v>
      </c>
      <c r="AX52" s="355">
        <v>117427</v>
      </c>
      <c r="AY52" s="350" t="s">
        <v>406</v>
      </c>
      <c r="AZ52" s="351">
        <v>45054</v>
      </c>
      <c r="BA52" s="351">
        <v>45054</v>
      </c>
      <c r="BB52" s="350" t="s">
        <v>407</v>
      </c>
    </row>
    <row r="53" spans="1:54" x14ac:dyDescent="0.25">
      <c r="A53" s="348" t="s">
        <v>445</v>
      </c>
      <c r="B53" s="349">
        <v>4699</v>
      </c>
      <c r="C53" s="350" t="s">
        <v>441</v>
      </c>
      <c r="D53" s="351">
        <v>45046</v>
      </c>
      <c r="E53" s="352">
        <v>3130</v>
      </c>
      <c r="F53" s="352">
        <v>1</v>
      </c>
      <c r="H53" s="350" t="s">
        <v>439</v>
      </c>
      <c r="I53" s="350" t="s">
        <v>393</v>
      </c>
      <c r="J53" s="354">
        <v>180346</v>
      </c>
      <c r="K53" s="350" t="s">
        <v>394</v>
      </c>
      <c r="L53" s="354">
        <v>0</v>
      </c>
      <c r="M53" s="354">
        <v>87.46</v>
      </c>
      <c r="N53" s="354" t="s">
        <v>395</v>
      </c>
      <c r="O53" s="354">
        <v>72.14</v>
      </c>
      <c r="P53" s="374">
        <f t="shared" si="0"/>
        <v>5.5106914737153039</v>
      </c>
      <c r="Q53" s="354">
        <f t="shared" si="30"/>
        <v>0.51974227277383656</v>
      </c>
      <c r="R53" s="354">
        <f t="shared" si="31"/>
        <v>0.87613430604435927</v>
      </c>
      <c r="S53" s="354">
        <f t="shared" si="32"/>
        <v>0.7804487082735978</v>
      </c>
      <c r="T53" s="354">
        <f t="shared" si="33"/>
        <v>3.3304728163900426</v>
      </c>
      <c r="U53" s="374">
        <f t="shared" si="34"/>
        <v>22.116795958772258</v>
      </c>
      <c r="V53" s="354">
        <f t="shared" si="5"/>
        <v>0.58544742795845472</v>
      </c>
      <c r="W53" s="354">
        <f t="shared" si="35"/>
        <v>19.970824320785599</v>
      </c>
      <c r="X53" s="354">
        <f t="shared" si="36"/>
        <v>1.5605242100282037</v>
      </c>
      <c r="Y53" s="374">
        <f t="shared" si="37"/>
        <v>3.2422884650908537</v>
      </c>
      <c r="Z53" s="354">
        <f t="shared" si="9"/>
        <v>1.6725670135169795</v>
      </c>
      <c r="AA53" s="354">
        <f t="shared" si="38"/>
        <v>1.5697214515738742</v>
      </c>
      <c r="AB53" s="374">
        <f t="shared" si="39"/>
        <v>17.713905251842412</v>
      </c>
      <c r="AC53" s="354">
        <f t="shared" si="12"/>
        <v>5.0270748509270096</v>
      </c>
      <c r="AD53" s="354">
        <f t="shared" si="40"/>
        <v>10.942825273462317</v>
      </c>
      <c r="AE53" s="354">
        <f t="shared" si="41"/>
        <v>1.7440051274530854</v>
      </c>
      <c r="AF53" s="374">
        <f t="shared" si="42"/>
        <v>14.177310218976364</v>
      </c>
      <c r="AG53" s="354">
        <f t="shared" si="16"/>
        <v>0.91112897408318627</v>
      </c>
      <c r="AH53" s="354">
        <f t="shared" si="43"/>
        <v>4.5842561450670418</v>
      </c>
      <c r="AI53" s="354">
        <f t="shared" si="44"/>
        <v>0</v>
      </c>
      <c r="AJ53" s="354">
        <f t="shared" si="45"/>
        <v>8.6819250998261381</v>
      </c>
      <c r="AK53" s="374">
        <f t="shared" si="46"/>
        <v>9.3640147365288335</v>
      </c>
      <c r="AL53" s="354">
        <f t="shared" si="21"/>
        <v>2.6828523803800475</v>
      </c>
      <c r="AM53" s="354">
        <f t="shared" si="47"/>
        <v>6.3276746194738616</v>
      </c>
      <c r="AN53" s="354">
        <f t="shared" si="48"/>
        <v>0.353487736674925</v>
      </c>
      <c r="AO53" s="374">
        <f t="shared" si="49"/>
        <v>5.4296788197240744</v>
      </c>
      <c r="AP53" s="354">
        <f t="shared" si="25"/>
        <v>1.2450824647302856</v>
      </c>
      <c r="AQ53" s="354">
        <f t="shared" si="50"/>
        <v>4.184596354993789</v>
      </c>
      <c r="AR53" s="374">
        <f t="shared" si="51"/>
        <v>9.9053150753498915</v>
      </c>
      <c r="AS53" s="354">
        <f t="shared" si="28"/>
        <v>4.292309289077104</v>
      </c>
      <c r="AT53" s="354">
        <f t="shared" si="52"/>
        <v>5.6130057862727885</v>
      </c>
      <c r="AU53" s="355" t="s">
        <v>396</v>
      </c>
      <c r="AV53" s="353" t="s">
        <v>404</v>
      </c>
      <c r="AW53" s="355" t="s">
        <v>405</v>
      </c>
      <c r="AX53" s="355">
        <v>117872</v>
      </c>
      <c r="AY53" s="350" t="s">
        <v>406</v>
      </c>
      <c r="AZ53" s="351">
        <v>45054</v>
      </c>
      <c r="BA53" s="351">
        <v>45054</v>
      </c>
      <c r="BB53" s="350" t="s">
        <v>407</v>
      </c>
    </row>
    <row r="54" spans="1:54" x14ac:dyDescent="0.25">
      <c r="A54" s="348" t="s">
        <v>445</v>
      </c>
      <c r="B54" s="349">
        <v>4699</v>
      </c>
      <c r="C54" s="350" t="s">
        <v>441</v>
      </c>
      <c r="D54" s="351">
        <v>45046</v>
      </c>
      <c r="E54" s="352">
        <v>3130</v>
      </c>
      <c r="F54" s="352">
        <v>1</v>
      </c>
      <c r="H54" s="350" t="s">
        <v>439</v>
      </c>
      <c r="I54" s="350" t="s">
        <v>393</v>
      </c>
      <c r="J54" s="354">
        <v>38631</v>
      </c>
      <c r="K54" s="350" t="s">
        <v>394</v>
      </c>
      <c r="L54" s="354">
        <v>0</v>
      </c>
      <c r="M54" s="354">
        <v>18.73</v>
      </c>
      <c r="N54" s="354" t="s">
        <v>395</v>
      </c>
      <c r="O54" s="354">
        <v>15.45</v>
      </c>
      <c r="P54" s="374">
        <f t="shared" si="0"/>
        <v>1.1801423656836001</v>
      </c>
      <c r="Q54" s="354">
        <f t="shared" si="30"/>
        <v>0.11130542841360577</v>
      </c>
      <c r="R54" s="354">
        <f t="shared" si="31"/>
        <v>0.18762857937583868</v>
      </c>
      <c r="S54" s="354">
        <f t="shared" si="32"/>
        <v>0.16713702613725692</v>
      </c>
      <c r="T54" s="354">
        <f t="shared" si="33"/>
        <v>0.7132375468898412</v>
      </c>
      <c r="U54" s="374">
        <f t="shared" si="34"/>
        <v>4.7364233742031141</v>
      </c>
      <c r="V54" s="354">
        <f t="shared" si="5"/>
        <v>0.12537651870182775</v>
      </c>
      <c r="W54" s="354">
        <f t="shared" si="35"/>
        <v>4.2768527272846359</v>
      </c>
      <c r="X54" s="354">
        <f t="shared" si="36"/>
        <v>0.33419412821665051</v>
      </c>
      <c r="Y54" s="374">
        <f t="shared" si="37"/>
        <v>0.69435242340671954</v>
      </c>
      <c r="Z54" s="354">
        <f t="shared" si="9"/>
        <v>0.35818865953776613</v>
      </c>
      <c r="AA54" s="354">
        <f t="shared" si="38"/>
        <v>0.33616376386895341</v>
      </c>
      <c r="AB54" s="374">
        <f t="shared" si="39"/>
        <v>3.7935221285960257</v>
      </c>
      <c r="AC54" s="354">
        <f t="shared" si="12"/>
        <v>1.0765734273709455</v>
      </c>
      <c r="AD54" s="354">
        <f t="shared" si="40"/>
        <v>2.3434612093751341</v>
      </c>
      <c r="AE54" s="354">
        <f t="shared" si="41"/>
        <v>0.37348749184994617</v>
      </c>
      <c r="AF54" s="374">
        <f t="shared" si="42"/>
        <v>3.0361424697167543</v>
      </c>
      <c r="AG54" s="354">
        <f t="shared" si="16"/>
        <v>0.19512286399014497</v>
      </c>
      <c r="AH54" s="354">
        <f t="shared" si="43"/>
        <v>0.98174156868403495</v>
      </c>
      <c r="AI54" s="354">
        <f t="shared" si="44"/>
        <v>0</v>
      </c>
      <c r="AJ54" s="354">
        <f t="shared" si="45"/>
        <v>1.8592780370425745</v>
      </c>
      <c r="AK54" s="374">
        <f t="shared" si="46"/>
        <v>2.0053509720464788</v>
      </c>
      <c r="AL54" s="354">
        <f t="shared" si="21"/>
        <v>0.5745463650185032</v>
      </c>
      <c r="AM54" s="354">
        <f t="shared" si="47"/>
        <v>1.3551034258260395</v>
      </c>
      <c r="AN54" s="354">
        <f t="shared" si="48"/>
        <v>7.5701181201936266E-2</v>
      </c>
      <c r="AO54" s="374">
        <f t="shared" si="49"/>
        <v>1.1627930973408636</v>
      </c>
      <c r="AP54" s="354">
        <f t="shared" si="25"/>
        <v>0.26664068790759493</v>
      </c>
      <c r="AQ54" s="354">
        <f t="shared" si="50"/>
        <v>0.89615240943326868</v>
      </c>
      <c r="AR54" s="374">
        <f t="shared" si="51"/>
        <v>2.1212731690064426</v>
      </c>
      <c r="AS54" s="354">
        <f t="shared" si="28"/>
        <v>0.91921967738868238</v>
      </c>
      <c r="AT54" s="354">
        <f t="shared" si="52"/>
        <v>1.2020534916177603</v>
      </c>
      <c r="AU54" s="355" t="s">
        <v>396</v>
      </c>
      <c r="AV54" s="353" t="s">
        <v>404</v>
      </c>
      <c r="AW54" s="355" t="s">
        <v>405</v>
      </c>
      <c r="AX54" s="355">
        <v>103328</v>
      </c>
      <c r="AY54" s="350" t="s">
        <v>406</v>
      </c>
      <c r="AZ54" s="351">
        <v>45054</v>
      </c>
      <c r="BA54" s="351">
        <v>45054</v>
      </c>
      <c r="BB54" s="350" t="s">
        <v>407</v>
      </c>
    </row>
    <row r="55" spans="1:54" x14ac:dyDescent="0.25">
      <c r="A55" s="348" t="s">
        <v>445</v>
      </c>
      <c r="B55" s="349">
        <v>4699</v>
      </c>
      <c r="C55" s="350" t="s">
        <v>441</v>
      </c>
      <c r="D55" s="351">
        <v>45046</v>
      </c>
      <c r="E55" s="352">
        <v>3130</v>
      </c>
      <c r="F55" s="352">
        <v>1</v>
      </c>
      <c r="H55" s="350" t="s">
        <v>439</v>
      </c>
      <c r="I55" s="350" t="s">
        <v>393</v>
      </c>
      <c r="J55" s="354">
        <v>63755.9</v>
      </c>
      <c r="K55" s="350" t="s">
        <v>394</v>
      </c>
      <c r="L55" s="354">
        <v>0</v>
      </c>
      <c r="M55" s="354">
        <v>30.92</v>
      </c>
      <c r="N55" s="354" t="s">
        <v>395</v>
      </c>
      <c r="O55" s="354">
        <v>25.5</v>
      </c>
      <c r="P55" s="374">
        <f t="shared" si="0"/>
        <v>1.948211529468068</v>
      </c>
      <c r="Q55" s="354">
        <f t="shared" si="30"/>
        <v>0.18374606762139298</v>
      </c>
      <c r="R55" s="354">
        <f t="shared" si="31"/>
        <v>0.30974242788579454</v>
      </c>
      <c r="S55" s="354">
        <f t="shared" si="32"/>
        <v>0.27591440726983363</v>
      </c>
      <c r="T55" s="354">
        <f t="shared" si="33"/>
        <v>1.177432191662247</v>
      </c>
      <c r="U55" s="374">
        <f t="shared" si="34"/>
        <v>7.8190181916903523</v>
      </c>
      <c r="V55" s="354">
        <f t="shared" si="5"/>
        <v>0.20697501111908781</v>
      </c>
      <c r="W55" s="354">
        <f t="shared" si="35"/>
        <v>7.0603463068681771</v>
      </c>
      <c r="X55" s="354">
        <f t="shared" si="36"/>
        <v>0.55169687370308784</v>
      </c>
      <c r="Y55" s="374">
        <f t="shared" si="37"/>
        <v>1.1462561095427533</v>
      </c>
      <c r="Z55" s="354">
        <f t="shared" si="9"/>
        <v>0.59130770704259095</v>
      </c>
      <c r="AA55" s="354">
        <f t="shared" si="38"/>
        <v>0.5549484025001622</v>
      </c>
      <c r="AB55" s="374">
        <f t="shared" si="39"/>
        <v>6.2624508390917839</v>
      </c>
      <c r="AC55" s="354">
        <f t="shared" si="12"/>
        <v>1.7772370728408775</v>
      </c>
      <c r="AD55" s="354">
        <f t="shared" si="40"/>
        <v>3.8686503253539319</v>
      </c>
      <c r="AE55" s="354">
        <f t="shared" si="41"/>
        <v>0.61656344089697468</v>
      </c>
      <c r="AF55" s="374">
        <f t="shared" si="42"/>
        <v>5.0121476328693033</v>
      </c>
      <c r="AG55" s="354">
        <f t="shared" si="16"/>
        <v>0.32211419939003116</v>
      </c>
      <c r="AH55" s="354">
        <f t="shared" si="43"/>
        <v>1.6206860279610444</v>
      </c>
      <c r="AI55" s="354">
        <f t="shared" si="44"/>
        <v>0</v>
      </c>
      <c r="AJ55" s="354">
        <f t="shared" si="45"/>
        <v>3.0693474055182279</v>
      </c>
      <c r="AK55" s="374">
        <f t="shared" si="46"/>
        <v>3.3104886308423458</v>
      </c>
      <c r="AL55" s="354">
        <f t="shared" si="21"/>
        <v>0.94847696777213675</v>
      </c>
      <c r="AM55" s="354">
        <f t="shared" si="47"/>
        <v>2.2370420676209903</v>
      </c>
      <c r="AN55" s="354">
        <f t="shared" si="48"/>
        <v>0.12496959544921887</v>
      </c>
      <c r="AO55" s="374">
        <f t="shared" si="49"/>
        <v>1.9195708793261879</v>
      </c>
      <c r="AP55" s="354">
        <f t="shared" si="25"/>
        <v>0.44017779338509527</v>
      </c>
      <c r="AQ55" s="354">
        <f t="shared" si="50"/>
        <v>1.4793930859410926</v>
      </c>
      <c r="AR55" s="374">
        <f t="shared" si="51"/>
        <v>3.5018561871692051</v>
      </c>
      <c r="AS55" s="354">
        <f t="shared" si="28"/>
        <v>1.5174731673709589</v>
      </c>
      <c r="AT55" s="354">
        <f t="shared" si="52"/>
        <v>1.9843830197982464</v>
      </c>
      <c r="AU55" s="355" t="s">
        <v>396</v>
      </c>
      <c r="AV55" s="353" t="s">
        <v>404</v>
      </c>
      <c r="AW55" s="355" t="s">
        <v>405</v>
      </c>
      <c r="AX55" s="355">
        <v>117293</v>
      </c>
      <c r="AY55" s="350" t="s">
        <v>406</v>
      </c>
      <c r="AZ55" s="351">
        <v>45054</v>
      </c>
      <c r="BA55" s="351">
        <v>45054</v>
      </c>
      <c r="BB55" s="350" t="s">
        <v>407</v>
      </c>
    </row>
    <row r="56" spans="1:54" x14ac:dyDescent="0.25">
      <c r="A56" s="348" t="s">
        <v>446</v>
      </c>
      <c r="B56" s="349">
        <v>4779</v>
      </c>
      <c r="C56" s="350" t="s">
        <v>441</v>
      </c>
      <c r="D56" s="351">
        <v>45019</v>
      </c>
      <c r="E56" s="352">
        <v>3600</v>
      </c>
      <c r="F56" s="352">
        <v>7</v>
      </c>
      <c r="H56" s="350" t="s">
        <v>447</v>
      </c>
      <c r="I56" s="350" t="s">
        <v>393</v>
      </c>
      <c r="J56" s="354">
        <v>11.11</v>
      </c>
      <c r="K56" s="350" t="s">
        <v>395</v>
      </c>
      <c r="L56" s="354">
        <v>0</v>
      </c>
      <c r="M56" s="354">
        <v>11.11</v>
      </c>
      <c r="N56" s="354" t="s">
        <v>395</v>
      </c>
      <c r="O56" s="354">
        <v>9.01</v>
      </c>
      <c r="P56" s="374">
        <f t="shared" si="0"/>
        <v>0.70002037814974882</v>
      </c>
      <c r="Q56" s="354">
        <f t="shared" si="30"/>
        <v>6.6022600623340102E-2</v>
      </c>
      <c r="R56" s="354">
        <f t="shared" si="31"/>
        <v>0.11129490212843393</v>
      </c>
      <c r="S56" s="354">
        <f t="shared" si="32"/>
        <v>9.9140008562996484E-2</v>
      </c>
      <c r="T56" s="354">
        <f t="shared" si="33"/>
        <v>0.42306829396402212</v>
      </c>
      <c r="U56" s="374">
        <f t="shared" si="34"/>
        <v>2.8094855145433315</v>
      </c>
      <c r="V56" s="354">
        <f t="shared" si="5"/>
        <v>7.4369093581276371E-2</v>
      </c>
      <c r="W56" s="354">
        <f t="shared" si="35"/>
        <v>2.5368838120732677</v>
      </c>
      <c r="X56" s="354">
        <f t="shared" si="36"/>
        <v>0.19823260888878735</v>
      </c>
      <c r="Y56" s="374">
        <f t="shared" si="37"/>
        <v>0.41186627998124153</v>
      </c>
      <c r="Z56" s="354">
        <f t="shared" si="9"/>
        <v>0.21246535010488957</v>
      </c>
      <c r="AA56" s="354">
        <f t="shared" si="38"/>
        <v>0.19940092987635194</v>
      </c>
      <c r="AB56" s="374">
        <f t="shared" si="39"/>
        <v>2.2501885130113104</v>
      </c>
      <c r="AC56" s="354">
        <f t="shared" si="12"/>
        <v>0.63858680075233332</v>
      </c>
      <c r="AD56" s="354">
        <f t="shared" si="40"/>
        <v>1.3900616143170175</v>
      </c>
      <c r="AE56" s="354">
        <f t="shared" si="41"/>
        <v>0.2215400979419595</v>
      </c>
      <c r="AF56" s="374">
        <f t="shared" si="42"/>
        <v>1.8009366171144228</v>
      </c>
      <c r="AG56" s="354">
        <f t="shared" si="16"/>
        <v>0.11574025728406356</v>
      </c>
      <c r="AH56" s="354">
        <f t="shared" si="43"/>
        <v>0.5823357623107116</v>
      </c>
      <c r="AI56" s="354">
        <f t="shared" si="44"/>
        <v>0</v>
      </c>
      <c r="AJ56" s="354">
        <f t="shared" si="45"/>
        <v>1.1028605975196477</v>
      </c>
      <c r="AK56" s="374">
        <f t="shared" si="46"/>
        <v>1.1895061024792515</v>
      </c>
      <c r="AL56" s="354">
        <f t="shared" si="21"/>
        <v>0.34080139430622369</v>
      </c>
      <c r="AM56" s="354">
        <f t="shared" si="47"/>
        <v>0.80380133800999998</v>
      </c>
      <c r="AN56" s="354">
        <f t="shared" si="48"/>
        <v>4.490337016302786E-2</v>
      </c>
      <c r="AO56" s="374">
        <f t="shared" si="49"/>
        <v>0.68972938128440964</v>
      </c>
      <c r="AP56" s="354">
        <f t="shared" si="25"/>
        <v>0.15816220195693428</v>
      </c>
      <c r="AQ56" s="354">
        <f t="shared" si="50"/>
        <v>0.53156717932747533</v>
      </c>
      <c r="AR56" s="374">
        <f t="shared" si="51"/>
        <v>1.2582672134362829</v>
      </c>
      <c r="AS56" s="354">
        <f t="shared" si="28"/>
        <v>0.54524989940140212</v>
      </c>
      <c r="AT56" s="354">
        <f t="shared" si="52"/>
        <v>0.71301731403488089</v>
      </c>
      <c r="AU56" s="355" t="s">
        <v>396</v>
      </c>
      <c r="AV56" s="353" t="s">
        <v>404</v>
      </c>
      <c r="AW56" s="355" t="s">
        <v>405</v>
      </c>
      <c r="AX56" s="355">
        <v>0</v>
      </c>
      <c r="AY56" s="350" t="s">
        <v>406</v>
      </c>
      <c r="AZ56" s="351">
        <v>45055</v>
      </c>
      <c r="BA56" s="351">
        <v>45055</v>
      </c>
      <c r="BB56" s="350" t="s">
        <v>407</v>
      </c>
    </row>
    <row r="57" spans="1:54" x14ac:dyDescent="0.25">
      <c r="A57" s="348" t="s">
        <v>448</v>
      </c>
      <c r="B57" s="349">
        <v>4760</v>
      </c>
      <c r="C57" s="350" t="s">
        <v>441</v>
      </c>
      <c r="D57" s="351">
        <v>45030</v>
      </c>
      <c r="E57" s="352">
        <v>3420</v>
      </c>
      <c r="F57" s="352">
        <v>7</v>
      </c>
      <c r="H57" s="350" t="s">
        <v>449</v>
      </c>
      <c r="I57" s="350" t="s">
        <v>393</v>
      </c>
      <c r="J57" s="354">
        <v>25000</v>
      </c>
      <c r="K57" s="350" t="s">
        <v>394</v>
      </c>
      <c r="L57" s="354">
        <v>0</v>
      </c>
      <c r="M57" s="354">
        <v>12.12</v>
      </c>
      <c r="N57" s="354" t="s">
        <v>395</v>
      </c>
      <c r="O57" s="354">
        <v>9.84</v>
      </c>
      <c r="P57" s="374">
        <f t="shared" si="0"/>
        <v>0.76365859434518046</v>
      </c>
      <c r="Q57" s="354">
        <f t="shared" si="30"/>
        <v>7.202465522546192E-2</v>
      </c>
      <c r="R57" s="354">
        <f t="shared" si="31"/>
        <v>0.1214126205037461</v>
      </c>
      <c r="S57" s="354">
        <f t="shared" si="32"/>
        <v>0.10815273661417797</v>
      </c>
      <c r="T57" s="354">
        <f t="shared" si="33"/>
        <v>0.46152904796075139</v>
      </c>
      <c r="U57" s="374">
        <f t="shared" si="34"/>
        <v>3.0648932885927254</v>
      </c>
      <c r="V57" s="354">
        <f t="shared" si="5"/>
        <v>8.1129920270483324E-2</v>
      </c>
      <c r="W57" s="354">
        <f t="shared" si="35"/>
        <v>2.7675096131708377</v>
      </c>
      <c r="X57" s="354">
        <f t="shared" si="36"/>
        <v>0.21625375515140441</v>
      </c>
      <c r="Y57" s="374">
        <f t="shared" si="37"/>
        <v>0.44930866907044525</v>
      </c>
      <c r="Z57" s="354">
        <f t="shared" si="9"/>
        <v>0.23178038193260675</v>
      </c>
      <c r="AA57" s="354">
        <f t="shared" si="38"/>
        <v>0.21752828713783848</v>
      </c>
      <c r="AB57" s="374">
        <f t="shared" si="39"/>
        <v>2.4547511051032478</v>
      </c>
      <c r="AC57" s="354">
        <f t="shared" si="12"/>
        <v>0.69664014627527282</v>
      </c>
      <c r="AD57" s="354">
        <f t="shared" si="40"/>
        <v>1.516430851982201</v>
      </c>
      <c r="AE57" s="354">
        <f t="shared" si="41"/>
        <v>0.24168010684577401</v>
      </c>
      <c r="AF57" s="374">
        <f t="shared" si="42"/>
        <v>1.9646581277611885</v>
      </c>
      <c r="AG57" s="354">
        <f t="shared" si="16"/>
        <v>0.12626209885534209</v>
      </c>
      <c r="AH57" s="354">
        <f t="shared" si="43"/>
        <v>0.63527537706623083</v>
      </c>
      <c r="AI57" s="354">
        <f t="shared" si="44"/>
        <v>0</v>
      </c>
      <c r="AJ57" s="354">
        <f t="shared" si="45"/>
        <v>1.2031206518396158</v>
      </c>
      <c r="AK57" s="374">
        <f t="shared" si="46"/>
        <v>1.2976430208864562</v>
      </c>
      <c r="AL57" s="354">
        <f t="shared" si="21"/>
        <v>0.37178333924315315</v>
      </c>
      <c r="AM57" s="354">
        <f t="shared" si="47"/>
        <v>0.87687418691999997</v>
      </c>
      <c r="AN57" s="354">
        <f t="shared" si="48"/>
        <v>4.8985494723303123E-2</v>
      </c>
      <c r="AO57" s="374">
        <f t="shared" si="49"/>
        <v>0.752432052310265</v>
      </c>
      <c r="AP57" s="354">
        <f t="shared" si="25"/>
        <v>0.17254058395301919</v>
      </c>
      <c r="AQ57" s="354">
        <f t="shared" si="50"/>
        <v>0.57989146835724581</v>
      </c>
      <c r="AR57" s="374">
        <f t="shared" si="51"/>
        <v>1.3726551419304904</v>
      </c>
      <c r="AS57" s="354">
        <f t="shared" si="28"/>
        <v>0.59481807207425685</v>
      </c>
      <c r="AT57" s="354">
        <f t="shared" si="52"/>
        <v>0.77783706985623369</v>
      </c>
      <c r="AU57" s="355" t="s">
        <v>396</v>
      </c>
      <c r="AV57" s="353" t="s">
        <v>404</v>
      </c>
      <c r="AW57" s="355" t="s">
        <v>405</v>
      </c>
      <c r="AX57" s="355">
        <v>0</v>
      </c>
      <c r="AY57" s="350" t="s">
        <v>406</v>
      </c>
      <c r="AZ57" s="351">
        <v>45050</v>
      </c>
      <c r="BA57" s="351">
        <v>45055</v>
      </c>
      <c r="BB57" s="350" t="s">
        <v>407</v>
      </c>
    </row>
    <row r="58" spans="1:54" x14ac:dyDescent="0.25">
      <c r="A58" s="348" t="s">
        <v>448</v>
      </c>
      <c r="B58" s="349">
        <v>4760</v>
      </c>
      <c r="C58" s="350" t="s">
        <v>441</v>
      </c>
      <c r="D58" s="351">
        <v>45030</v>
      </c>
      <c r="E58" s="352">
        <v>3420</v>
      </c>
      <c r="F58" s="352">
        <v>7</v>
      </c>
      <c r="H58" s="350" t="s">
        <v>450</v>
      </c>
      <c r="I58" s="350" t="s">
        <v>393</v>
      </c>
      <c r="J58" s="354">
        <v>25000</v>
      </c>
      <c r="K58" s="350" t="s">
        <v>394</v>
      </c>
      <c r="L58" s="354">
        <v>0</v>
      </c>
      <c r="M58" s="354">
        <v>12.12</v>
      </c>
      <c r="N58" s="354" t="s">
        <v>395</v>
      </c>
      <c r="O58" s="354">
        <v>9.84</v>
      </c>
      <c r="P58" s="374">
        <f t="shared" si="0"/>
        <v>0.76365859434518046</v>
      </c>
      <c r="Q58" s="354">
        <f t="shared" si="30"/>
        <v>7.202465522546192E-2</v>
      </c>
      <c r="R58" s="354">
        <f t="shared" si="31"/>
        <v>0.1214126205037461</v>
      </c>
      <c r="S58" s="354">
        <f t="shared" si="32"/>
        <v>0.10815273661417797</v>
      </c>
      <c r="T58" s="354">
        <f t="shared" si="33"/>
        <v>0.46152904796075139</v>
      </c>
      <c r="U58" s="374">
        <f t="shared" si="34"/>
        <v>3.0648932885927254</v>
      </c>
      <c r="V58" s="354">
        <f t="shared" si="5"/>
        <v>8.1129920270483324E-2</v>
      </c>
      <c r="W58" s="354">
        <f t="shared" si="35"/>
        <v>2.7675096131708377</v>
      </c>
      <c r="X58" s="354">
        <f t="shared" si="36"/>
        <v>0.21625375515140441</v>
      </c>
      <c r="Y58" s="374">
        <f t="shared" si="37"/>
        <v>0.44930866907044525</v>
      </c>
      <c r="Z58" s="354">
        <f t="shared" si="9"/>
        <v>0.23178038193260675</v>
      </c>
      <c r="AA58" s="354">
        <f t="shared" si="38"/>
        <v>0.21752828713783848</v>
      </c>
      <c r="AB58" s="374">
        <f t="shared" si="39"/>
        <v>2.4547511051032478</v>
      </c>
      <c r="AC58" s="354">
        <f t="shared" si="12"/>
        <v>0.69664014627527282</v>
      </c>
      <c r="AD58" s="354">
        <f t="shared" si="40"/>
        <v>1.516430851982201</v>
      </c>
      <c r="AE58" s="354">
        <f t="shared" si="41"/>
        <v>0.24168010684577401</v>
      </c>
      <c r="AF58" s="374">
        <f t="shared" si="42"/>
        <v>1.9646581277611885</v>
      </c>
      <c r="AG58" s="354">
        <f t="shared" si="16"/>
        <v>0.12626209885534209</v>
      </c>
      <c r="AH58" s="354">
        <f t="shared" si="43"/>
        <v>0.63527537706623083</v>
      </c>
      <c r="AI58" s="354">
        <f t="shared" si="44"/>
        <v>0</v>
      </c>
      <c r="AJ58" s="354">
        <f t="shared" si="45"/>
        <v>1.2031206518396158</v>
      </c>
      <c r="AK58" s="374">
        <f t="shared" si="46"/>
        <v>1.2976430208864562</v>
      </c>
      <c r="AL58" s="354">
        <f t="shared" si="21"/>
        <v>0.37178333924315315</v>
      </c>
      <c r="AM58" s="354">
        <f t="shared" si="47"/>
        <v>0.87687418691999997</v>
      </c>
      <c r="AN58" s="354">
        <f t="shared" si="48"/>
        <v>4.8985494723303123E-2</v>
      </c>
      <c r="AO58" s="374">
        <f t="shared" si="49"/>
        <v>0.752432052310265</v>
      </c>
      <c r="AP58" s="354">
        <f t="shared" si="25"/>
        <v>0.17254058395301919</v>
      </c>
      <c r="AQ58" s="354">
        <f t="shared" si="50"/>
        <v>0.57989146835724581</v>
      </c>
      <c r="AR58" s="374">
        <f t="shared" si="51"/>
        <v>1.3726551419304904</v>
      </c>
      <c r="AS58" s="354">
        <f t="shared" si="28"/>
        <v>0.59481807207425685</v>
      </c>
      <c r="AT58" s="354">
        <f t="shared" si="52"/>
        <v>0.77783706985623369</v>
      </c>
      <c r="AU58" s="355" t="s">
        <v>396</v>
      </c>
      <c r="AV58" s="353" t="s">
        <v>404</v>
      </c>
      <c r="AW58" s="355" t="s">
        <v>405</v>
      </c>
      <c r="AX58" s="355">
        <v>0</v>
      </c>
      <c r="AY58" s="350" t="s">
        <v>406</v>
      </c>
      <c r="AZ58" s="351">
        <v>45050</v>
      </c>
      <c r="BA58" s="351">
        <v>45055</v>
      </c>
      <c r="BB58" s="350" t="s">
        <v>407</v>
      </c>
    </row>
    <row r="59" spans="1:54" x14ac:dyDescent="0.25">
      <c r="A59" s="348" t="s">
        <v>451</v>
      </c>
      <c r="B59" s="349">
        <v>4732</v>
      </c>
      <c r="C59" s="350" t="s">
        <v>441</v>
      </c>
      <c r="D59" s="351">
        <v>45020</v>
      </c>
      <c r="E59" s="352">
        <v>3175</v>
      </c>
      <c r="F59" s="352">
        <v>7</v>
      </c>
      <c r="H59" s="350" t="s">
        <v>452</v>
      </c>
      <c r="I59" s="350" t="s">
        <v>393</v>
      </c>
      <c r="J59" s="354">
        <v>825183</v>
      </c>
      <c r="K59" s="350" t="s">
        <v>394</v>
      </c>
      <c r="L59" s="354">
        <v>0</v>
      </c>
      <c r="M59" s="354">
        <v>400.19</v>
      </c>
      <c r="N59" s="354" t="s">
        <v>395</v>
      </c>
      <c r="O59" s="354">
        <v>324.64999999999998</v>
      </c>
      <c r="P59" s="374">
        <f t="shared" si="0"/>
        <v>25.21522548440576</v>
      </c>
      <c r="Q59" s="354">
        <f t="shared" si="30"/>
        <v>2.3781804269535982</v>
      </c>
      <c r="R59" s="354">
        <f t="shared" si="31"/>
        <v>4.0089205115011683</v>
      </c>
      <c r="S59" s="354">
        <f t="shared" si="32"/>
        <v>3.5710927116854694</v>
      </c>
      <c r="T59" s="354">
        <f t="shared" si="33"/>
        <v>15.239216972228805</v>
      </c>
      <c r="U59" s="374">
        <f t="shared" si="34"/>
        <v>101.19964068992762</v>
      </c>
      <c r="V59" s="354">
        <f t="shared" si="5"/>
        <v>2.6788269631225017</v>
      </c>
      <c r="W59" s="354">
        <f t="shared" si="35"/>
        <v>91.380335981422249</v>
      </c>
      <c r="X59" s="354">
        <f t="shared" si="36"/>
        <v>7.1404777453828814</v>
      </c>
      <c r="Y59" s="374">
        <f t="shared" si="37"/>
        <v>14.835712563968771</v>
      </c>
      <c r="Z59" s="354">
        <f t="shared" si="9"/>
        <v>7.6531510763704551</v>
      </c>
      <c r="AA59" s="354">
        <f t="shared" si="38"/>
        <v>7.1825614875983161</v>
      </c>
      <c r="AB59" s="374">
        <f t="shared" si="39"/>
        <v>81.05337002898257</v>
      </c>
      <c r="AC59" s="354">
        <f t="shared" si="12"/>
        <v>23.002344895866454</v>
      </c>
      <c r="AD59" s="354">
        <f t="shared" si="40"/>
        <v>50.070995268544308</v>
      </c>
      <c r="AE59" s="354">
        <f t="shared" si="41"/>
        <v>7.980029864571808</v>
      </c>
      <c r="AF59" s="374">
        <f t="shared" si="42"/>
        <v>64.871001332405115</v>
      </c>
      <c r="AG59" s="354">
        <f t="shared" si="16"/>
        <v>4.1690453251583612</v>
      </c>
      <c r="AH59" s="354">
        <f t="shared" si="43"/>
        <v>20.976142999021032</v>
      </c>
      <c r="AI59" s="354">
        <f t="shared" si="44"/>
        <v>0</v>
      </c>
      <c r="AJ59" s="354">
        <f t="shared" si="45"/>
        <v>39.725813008225728</v>
      </c>
      <c r="AK59" s="374">
        <f t="shared" si="46"/>
        <v>42.846844928098264</v>
      </c>
      <c r="AL59" s="354">
        <f t="shared" si="21"/>
        <v>12.275905489415633</v>
      </c>
      <c r="AM59" s="354">
        <f t="shared" si="47"/>
        <v>28.95348852009198</v>
      </c>
      <c r="AN59" s="354">
        <f t="shared" si="48"/>
        <v>1.61745091859065</v>
      </c>
      <c r="AO59" s="374">
        <f t="shared" si="49"/>
        <v>24.844536552313944</v>
      </c>
      <c r="AP59" s="354">
        <f t="shared" si="25"/>
        <v>5.6971135554586443</v>
      </c>
      <c r="AQ59" s="354">
        <f t="shared" si="50"/>
        <v>19.147422996855301</v>
      </c>
      <c r="AR59" s="374">
        <f t="shared" si="51"/>
        <v>45.323668419897935</v>
      </c>
      <c r="AS59" s="354">
        <f t="shared" si="28"/>
        <v>19.640284180148253</v>
      </c>
      <c r="AT59" s="354">
        <f t="shared" si="52"/>
        <v>25.683384239749682</v>
      </c>
      <c r="AU59" s="355" t="s">
        <v>396</v>
      </c>
      <c r="AV59" s="353" t="s">
        <v>404</v>
      </c>
      <c r="AW59" s="355" t="s">
        <v>405</v>
      </c>
      <c r="AX59" s="355">
        <v>0</v>
      </c>
      <c r="AY59" s="350" t="s">
        <v>406</v>
      </c>
      <c r="AZ59" s="351">
        <v>45054</v>
      </c>
      <c r="BA59" s="351">
        <v>45054</v>
      </c>
      <c r="BB59" s="350" t="s">
        <v>407</v>
      </c>
    </row>
    <row r="60" spans="1:54" x14ac:dyDescent="0.25">
      <c r="A60" s="348" t="s">
        <v>453</v>
      </c>
      <c r="B60" s="349">
        <v>4727</v>
      </c>
      <c r="C60" s="350" t="s">
        <v>441</v>
      </c>
      <c r="D60" s="351">
        <v>45019</v>
      </c>
      <c r="E60" s="352">
        <v>3420</v>
      </c>
      <c r="F60" s="352">
        <v>7</v>
      </c>
      <c r="H60" s="350" t="s">
        <v>454</v>
      </c>
      <c r="I60" s="350" t="s">
        <v>393</v>
      </c>
      <c r="J60" s="354">
        <v>222184</v>
      </c>
      <c r="K60" s="350" t="s">
        <v>394</v>
      </c>
      <c r="L60" s="354">
        <v>0</v>
      </c>
      <c r="M60" s="354">
        <v>107.75</v>
      </c>
      <c r="N60" s="354" t="s">
        <v>395</v>
      </c>
      <c r="O60" s="354">
        <v>87.41</v>
      </c>
      <c r="P60" s="374">
        <f t="shared" si="0"/>
        <v>6.7891265297601651</v>
      </c>
      <c r="Q60" s="354">
        <f t="shared" si="30"/>
        <v>0.64031820136497708</v>
      </c>
      <c r="R60" s="354">
        <f t="shared" si="31"/>
        <v>1.0793902524157297</v>
      </c>
      <c r="S60" s="354">
        <f t="shared" si="32"/>
        <v>0.9615063836780261</v>
      </c>
      <c r="T60" s="354">
        <f t="shared" si="33"/>
        <v>4.1031150922253268</v>
      </c>
      <c r="U60" s="374">
        <f t="shared" si="34"/>
        <v>27.247710548338791</v>
      </c>
      <c r="V60" s="354">
        <f t="shared" si="5"/>
        <v>0.72126641164559213</v>
      </c>
      <c r="W60" s="354">
        <f t="shared" si="35"/>
        <v>24.603891156696186</v>
      </c>
      <c r="X60" s="354">
        <f t="shared" si="36"/>
        <v>1.9225529799970151</v>
      </c>
      <c r="Y60" s="374">
        <f t="shared" si="37"/>
        <v>3.9944726973878284</v>
      </c>
      <c r="Z60" s="354">
        <f t="shared" si="9"/>
        <v>2.0605887915213184</v>
      </c>
      <c r="AA60" s="354">
        <f t="shared" si="38"/>
        <v>1.9338839058665096</v>
      </c>
      <c r="AB60" s="374">
        <f t="shared" si="39"/>
        <v>21.82338544347153</v>
      </c>
      <c r="AC60" s="354">
        <f t="shared" si="12"/>
        <v>6.1933148317789311</v>
      </c>
      <c r="AD60" s="354">
        <f t="shared" si="40"/>
        <v>13.481470651904468</v>
      </c>
      <c r="AE60" s="354">
        <f t="shared" si="41"/>
        <v>2.1485999597881311</v>
      </c>
      <c r="AF60" s="374">
        <f t="shared" si="42"/>
        <v>17.466329477414856</v>
      </c>
      <c r="AG60" s="354">
        <f t="shared" si="16"/>
        <v>1.1225033953517416</v>
      </c>
      <c r="AH60" s="354">
        <f t="shared" si="43"/>
        <v>5.6477658315912844</v>
      </c>
      <c r="AI60" s="354">
        <f t="shared" si="44"/>
        <v>0</v>
      </c>
      <c r="AJ60" s="354">
        <f t="shared" si="45"/>
        <v>10.696060250471831</v>
      </c>
      <c r="AK60" s="374">
        <f t="shared" si="46"/>
        <v>11.536389067699313</v>
      </c>
      <c r="AL60" s="354">
        <f t="shared" si="21"/>
        <v>3.3052520464892536</v>
      </c>
      <c r="AM60" s="354">
        <f t="shared" si="47"/>
        <v>7.7956430396559409</v>
      </c>
      <c r="AN60" s="354">
        <f t="shared" si="48"/>
        <v>0.43549398155411817</v>
      </c>
      <c r="AO60" s="374">
        <f t="shared" si="49"/>
        <v>6.6893196069662597</v>
      </c>
      <c r="AP60" s="354">
        <f t="shared" si="25"/>
        <v>1.5339313466120315</v>
      </c>
      <c r="AQ60" s="354">
        <f t="shared" si="50"/>
        <v>5.1553882603542283</v>
      </c>
      <c r="AR60" s="374">
        <f t="shared" si="51"/>
        <v>12.203266628961249</v>
      </c>
      <c r="AS60" s="354">
        <f t="shared" si="28"/>
        <v>5.2880897084159377</v>
      </c>
      <c r="AT60" s="354">
        <f t="shared" si="52"/>
        <v>6.9151769205453109</v>
      </c>
      <c r="AU60" s="355" t="s">
        <v>396</v>
      </c>
      <c r="AV60" s="353" t="s">
        <v>404</v>
      </c>
      <c r="AW60" s="355" t="s">
        <v>405</v>
      </c>
      <c r="AX60" s="355">
        <v>0</v>
      </c>
      <c r="AY60" s="350" t="s">
        <v>406</v>
      </c>
      <c r="AZ60" s="351">
        <v>45054</v>
      </c>
      <c r="BA60" s="351">
        <v>45054</v>
      </c>
      <c r="BB60" s="350" t="s">
        <v>407</v>
      </c>
    </row>
    <row r="61" spans="1:54" x14ac:dyDescent="0.25">
      <c r="A61" s="348" t="s">
        <v>455</v>
      </c>
      <c r="B61" s="349">
        <v>4764</v>
      </c>
      <c r="C61" s="350" t="s">
        <v>441</v>
      </c>
      <c r="D61" s="351">
        <v>45041</v>
      </c>
      <c r="E61" s="352">
        <v>3420</v>
      </c>
      <c r="F61" s="352">
        <v>7</v>
      </c>
      <c r="H61" s="350" t="s">
        <v>456</v>
      </c>
      <c r="I61" s="350" t="s">
        <v>393</v>
      </c>
      <c r="J61" s="354">
        <v>138839</v>
      </c>
      <c r="K61" s="350" t="s">
        <v>394</v>
      </c>
      <c r="L61" s="354">
        <v>0</v>
      </c>
      <c r="M61" s="354">
        <v>67.33</v>
      </c>
      <c r="N61" s="354" t="s">
        <v>395</v>
      </c>
      <c r="O61" s="354">
        <v>54.62</v>
      </c>
      <c r="P61" s="374">
        <f t="shared" si="0"/>
        <v>4.2423377192459579</v>
      </c>
      <c r="Q61" s="354">
        <f t="shared" si="30"/>
        <v>0.40011716471372538</v>
      </c>
      <c r="R61" s="354">
        <f t="shared" si="31"/>
        <v>0.67448116654432566</v>
      </c>
      <c r="S61" s="354">
        <f t="shared" si="32"/>
        <v>0.60081879176836661</v>
      </c>
      <c r="T61" s="354">
        <f t="shared" si="33"/>
        <v>2.5639233332671116</v>
      </c>
      <c r="U61" s="374">
        <f t="shared" si="34"/>
        <v>17.026342006678895</v>
      </c>
      <c r="V61" s="354">
        <f t="shared" si="5"/>
        <v>0.45069946632109259</v>
      </c>
      <c r="W61" s="354">
        <f t="shared" si="35"/>
        <v>15.374292265246908</v>
      </c>
      <c r="X61" s="354">
        <f t="shared" si="36"/>
        <v>1.201350275110896</v>
      </c>
      <c r="Y61" s="374">
        <f t="shared" si="37"/>
        <v>2.4960357003723663</v>
      </c>
      <c r="Z61" s="354">
        <f t="shared" si="9"/>
        <v>1.2876050425348526</v>
      </c>
      <c r="AA61" s="354">
        <f t="shared" si="38"/>
        <v>1.2084306578375135</v>
      </c>
      <c r="AB61" s="374">
        <f t="shared" si="39"/>
        <v>13.636831015396178</v>
      </c>
      <c r="AC61" s="354">
        <f t="shared" si="12"/>
        <v>3.8700314396628808</v>
      </c>
      <c r="AD61" s="354">
        <f t="shared" si="40"/>
        <v>8.4241987841552461</v>
      </c>
      <c r="AE61" s="354">
        <f t="shared" si="41"/>
        <v>1.34260079157805</v>
      </c>
      <c r="AF61" s="374">
        <f t="shared" si="42"/>
        <v>10.914227041432412</v>
      </c>
      <c r="AG61" s="354">
        <f t="shared" si="16"/>
        <v>0.7014213792021603</v>
      </c>
      <c r="AH61" s="354">
        <f t="shared" si="43"/>
        <v>3.5291329321674358</v>
      </c>
      <c r="AI61" s="354">
        <f t="shared" si="44"/>
        <v>0</v>
      </c>
      <c r="AJ61" s="354">
        <f t="shared" si="45"/>
        <v>6.683672730062816</v>
      </c>
      <c r="AK61" s="374">
        <f t="shared" si="46"/>
        <v>7.2087710062941497</v>
      </c>
      <c r="AL61" s="354">
        <f t="shared" si="21"/>
        <v>2.0653607451519389</v>
      </c>
      <c r="AM61" s="354">
        <f t="shared" si="47"/>
        <v>4.8712820961488115</v>
      </c>
      <c r="AN61" s="354">
        <f t="shared" si="48"/>
        <v>0.27212816499339926</v>
      </c>
      <c r="AO61" s="374">
        <f t="shared" si="49"/>
        <v>4.1799711288820252</v>
      </c>
      <c r="AP61" s="354">
        <f t="shared" si="25"/>
        <v>0.95851134633306789</v>
      </c>
      <c r="AQ61" s="354">
        <f t="shared" si="50"/>
        <v>3.2214597825489575</v>
      </c>
      <c r="AR61" s="374">
        <f t="shared" si="51"/>
        <v>7.6254843816980129</v>
      </c>
      <c r="AS61" s="354">
        <f t="shared" si="28"/>
        <v>3.304381253528029</v>
      </c>
      <c r="AT61" s="354">
        <f t="shared" si="52"/>
        <v>4.3211031281699848</v>
      </c>
      <c r="AU61" s="355" t="s">
        <v>396</v>
      </c>
      <c r="AV61" s="353" t="s">
        <v>404</v>
      </c>
      <c r="AW61" s="355" t="s">
        <v>405</v>
      </c>
      <c r="AX61" s="355">
        <v>0</v>
      </c>
      <c r="AY61" s="350" t="s">
        <v>406</v>
      </c>
      <c r="AZ61" s="351">
        <v>45050</v>
      </c>
      <c r="BA61" s="351">
        <v>45055</v>
      </c>
      <c r="BB61" s="350" t="s">
        <v>407</v>
      </c>
    </row>
    <row r="62" spans="1:54" x14ac:dyDescent="0.25">
      <c r="A62" s="348" t="s">
        <v>457</v>
      </c>
      <c r="B62" s="349">
        <v>4857</v>
      </c>
      <c r="C62" s="350" t="s">
        <v>458</v>
      </c>
      <c r="D62" s="351">
        <v>45077</v>
      </c>
      <c r="E62" s="352">
        <v>3600</v>
      </c>
      <c r="F62" s="352">
        <v>7</v>
      </c>
      <c r="H62" s="350" t="s">
        <v>459</v>
      </c>
      <c r="I62" s="350" t="s">
        <v>393</v>
      </c>
      <c r="J62" s="354">
        <v>80000</v>
      </c>
      <c r="K62" s="350" t="s">
        <v>394</v>
      </c>
      <c r="L62" s="354">
        <v>0</v>
      </c>
      <c r="M62" s="354">
        <v>38.94</v>
      </c>
      <c r="N62" s="354" t="s">
        <v>395</v>
      </c>
      <c r="O62" s="354">
        <v>31.1</v>
      </c>
      <c r="P62" s="374">
        <f t="shared" si="0"/>
        <v>2.4535367709407039</v>
      </c>
      <c r="Q62" s="354">
        <f t="shared" si="30"/>
        <v>0.23140594673923162</v>
      </c>
      <c r="R62" s="354">
        <f t="shared" si="31"/>
        <v>0.39008312231154074</v>
      </c>
      <c r="S62" s="354">
        <f t="shared" si="32"/>
        <v>0.34748082209208669</v>
      </c>
      <c r="T62" s="354">
        <f t="shared" si="33"/>
        <v>1.4828334263689489</v>
      </c>
      <c r="U62" s="374">
        <f t="shared" si="34"/>
        <v>9.8471076450330628</v>
      </c>
      <c r="V62" s="354">
        <f t="shared" si="5"/>
        <v>0.26065999136407758</v>
      </c>
      <c r="W62" s="354">
        <f t="shared" si="35"/>
        <v>8.891652173009275</v>
      </c>
      <c r="X62" s="354">
        <f t="shared" si="36"/>
        <v>0.6947954806597102</v>
      </c>
      <c r="Y62" s="374">
        <f t="shared" si="37"/>
        <v>1.4435709219144504</v>
      </c>
      <c r="Z62" s="354">
        <f t="shared" si="9"/>
        <v>0.74468053403099899</v>
      </c>
      <c r="AA62" s="354">
        <f t="shared" si="38"/>
        <v>0.69889038788345137</v>
      </c>
      <c r="AB62" s="374">
        <f t="shared" si="39"/>
        <v>7.8867993426337017</v>
      </c>
      <c r="AC62" s="354">
        <f t="shared" si="12"/>
        <v>2.2382151234289704</v>
      </c>
      <c r="AD62" s="354">
        <f t="shared" si="40"/>
        <v>4.8720971432497446</v>
      </c>
      <c r="AE62" s="354">
        <f t="shared" si="41"/>
        <v>0.77648707595498678</v>
      </c>
      <c r="AF62" s="374">
        <f t="shared" si="42"/>
        <v>6.3121936877079765</v>
      </c>
      <c r="AG62" s="354">
        <f t="shared" si="16"/>
        <v>0.40566387206493565</v>
      </c>
      <c r="AH62" s="354">
        <f t="shared" si="43"/>
        <v>2.0410580183959595</v>
      </c>
      <c r="AI62" s="354">
        <f t="shared" si="44"/>
        <v>0</v>
      </c>
      <c r="AJ62" s="354">
        <f t="shared" si="45"/>
        <v>3.865471797247082</v>
      </c>
      <c r="AK62" s="374">
        <f t="shared" si="46"/>
        <v>4.1691600027490594</v>
      </c>
      <c r="AL62" s="354">
        <f t="shared" si="21"/>
        <v>1.1944920156871603</v>
      </c>
      <c r="AM62" s="354">
        <f t="shared" si="47"/>
        <v>2.8172838975796037</v>
      </c>
      <c r="AN62" s="354">
        <f t="shared" si="48"/>
        <v>0.15738408948229565</v>
      </c>
      <c r="AO62" s="374">
        <f t="shared" si="49"/>
        <v>2.4174673363829804</v>
      </c>
      <c r="AP62" s="354">
        <f t="shared" si="25"/>
        <v>0.55435068804707666</v>
      </c>
      <c r="AQ62" s="354">
        <f t="shared" si="50"/>
        <v>1.8631166483359038</v>
      </c>
      <c r="AR62" s="374">
        <f t="shared" si="51"/>
        <v>4.4101642926380604</v>
      </c>
      <c r="AS62" s="354">
        <f t="shared" si="28"/>
        <v>1.9110739048326368</v>
      </c>
      <c r="AT62" s="354">
        <f t="shared" si="52"/>
        <v>2.4990903878054236</v>
      </c>
      <c r="AU62" s="355" t="s">
        <v>396</v>
      </c>
      <c r="AV62" s="353" t="s">
        <v>404</v>
      </c>
      <c r="AW62" s="355" t="s">
        <v>405</v>
      </c>
      <c r="AX62" s="355">
        <v>0</v>
      </c>
      <c r="AY62" s="350" t="s">
        <v>410</v>
      </c>
      <c r="AZ62" s="351">
        <v>45082</v>
      </c>
      <c r="BA62" s="351">
        <v>45082</v>
      </c>
      <c r="BB62" s="350" t="s">
        <v>407</v>
      </c>
    </row>
    <row r="63" spans="1:54" x14ac:dyDescent="0.25">
      <c r="A63" s="348" t="s">
        <v>460</v>
      </c>
      <c r="B63" s="349">
        <v>4850</v>
      </c>
      <c r="C63" s="350" t="s">
        <v>458</v>
      </c>
      <c r="D63" s="351">
        <v>45069</v>
      </c>
      <c r="E63" s="352">
        <v>3490</v>
      </c>
      <c r="F63" s="352">
        <v>7</v>
      </c>
      <c r="H63" s="350" t="s">
        <v>461</v>
      </c>
      <c r="I63" s="350" t="s">
        <v>393</v>
      </c>
      <c r="J63" s="354">
        <v>106000</v>
      </c>
      <c r="K63" s="350" t="s">
        <v>394</v>
      </c>
      <c r="L63" s="354">
        <v>0</v>
      </c>
      <c r="M63" s="354">
        <v>51.6</v>
      </c>
      <c r="N63" s="354" t="s">
        <v>395</v>
      </c>
      <c r="O63" s="354">
        <v>41.2</v>
      </c>
      <c r="P63" s="374">
        <f t="shared" si="0"/>
        <v>3.251219758103244</v>
      </c>
      <c r="Q63" s="354">
        <f t="shared" si="30"/>
        <v>0.30663962125691713</v>
      </c>
      <c r="R63" s="354">
        <f t="shared" si="31"/>
        <v>0.51690521600604777</v>
      </c>
      <c r="S63" s="354">
        <f t="shared" si="32"/>
        <v>0.46045224499105475</v>
      </c>
      <c r="T63" s="354">
        <f t="shared" si="33"/>
        <v>1.9649256497338923</v>
      </c>
      <c r="U63" s="374">
        <f t="shared" si="34"/>
        <v>13.048555585097743</v>
      </c>
      <c r="V63" s="354">
        <f t="shared" si="5"/>
        <v>0.34540461105255277</v>
      </c>
      <c r="W63" s="354">
        <f t="shared" si="35"/>
        <v>11.782466669935252</v>
      </c>
      <c r="X63" s="354">
        <f t="shared" si="36"/>
        <v>0.92068430410993962</v>
      </c>
      <c r="Y63" s="374">
        <f t="shared" si="37"/>
        <v>1.9128982940622921</v>
      </c>
      <c r="Z63" s="354">
        <f t="shared" si="9"/>
        <v>0.98678776466357354</v>
      </c>
      <c r="AA63" s="354">
        <f t="shared" si="38"/>
        <v>0.92611052939871841</v>
      </c>
      <c r="AB63" s="374">
        <f t="shared" si="39"/>
        <v>10.450920546479175</v>
      </c>
      <c r="AC63" s="354">
        <f t="shared" si="12"/>
        <v>2.9658936920630428</v>
      </c>
      <c r="AD63" s="354">
        <f t="shared" si="40"/>
        <v>6.4560917460628362</v>
      </c>
      <c r="AE63" s="354">
        <f t="shared" si="41"/>
        <v>1.0289351083532954</v>
      </c>
      <c r="AF63" s="374">
        <f t="shared" si="42"/>
        <v>8.3643860884882297</v>
      </c>
      <c r="AG63" s="354">
        <f t="shared" si="16"/>
        <v>0.53755150997818912</v>
      </c>
      <c r="AH63" s="354">
        <f t="shared" si="43"/>
        <v>2.7046377439453395</v>
      </c>
      <c r="AI63" s="354">
        <f t="shared" si="44"/>
        <v>0</v>
      </c>
      <c r="AJ63" s="354">
        <f t="shared" si="45"/>
        <v>5.1221968345647015</v>
      </c>
      <c r="AK63" s="374">
        <f t="shared" si="46"/>
        <v>5.5246188017938236</v>
      </c>
      <c r="AL63" s="354">
        <f t="shared" si="21"/>
        <v>1.5828399591540185</v>
      </c>
      <c r="AM63" s="354">
        <f t="shared" si="47"/>
        <v>3.733226736392079</v>
      </c>
      <c r="AN63" s="354">
        <f t="shared" si="48"/>
        <v>0.20855210624772619</v>
      </c>
      <c r="AO63" s="374">
        <f t="shared" si="49"/>
        <v>3.2034235890437031</v>
      </c>
      <c r="AP63" s="354">
        <f t="shared" si="25"/>
        <v>0.73457872376037892</v>
      </c>
      <c r="AQ63" s="354">
        <f t="shared" si="50"/>
        <v>2.4688448652833244</v>
      </c>
      <c r="AR63" s="374">
        <f t="shared" si="51"/>
        <v>5.8439773369317907</v>
      </c>
      <c r="AS63" s="354">
        <f t="shared" si="28"/>
        <v>2.5323937721973309</v>
      </c>
      <c r="AT63" s="354">
        <f t="shared" si="52"/>
        <v>3.3115835647344598</v>
      </c>
      <c r="AU63" s="355" t="s">
        <v>396</v>
      </c>
      <c r="AV63" s="353" t="s">
        <v>404</v>
      </c>
      <c r="AW63" s="355" t="s">
        <v>405</v>
      </c>
      <c r="AX63" s="355">
        <v>0</v>
      </c>
      <c r="AY63" s="350" t="s">
        <v>410</v>
      </c>
      <c r="AZ63" s="351">
        <v>45082</v>
      </c>
      <c r="BA63" s="351">
        <v>45082</v>
      </c>
      <c r="BB63" s="350" t="s">
        <v>407</v>
      </c>
    </row>
    <row r="64" spans="1:54" x14ac:dyDescent="0.25">
      <c r="A64" s="348" t="s">
        <v>462</v>
      </c>
      <c r="B64" s="349">
        <v>4835</v>
      </c>
      <c r="C64" s="350" t="s">
        <v>458</v>
      </c>
      <c r="D64" s="351">
        <v>45056</v>
      </c>
      <c r="E64" s="352">
        <v>3490</v>
      </c>
      <c r="F64" s="352">
        <v>7</v>
      </c>
      <c r="H64" s="350" t="s">
        <v>442</v>
      </c>
      <c r="I64" s="350" t="s">
        <v>393</v>
      </c>
      <c r="J64" s="354">
        <v>156000</v>
      </c>
      <c r="K64" s="350" t="s">
        <v>394</v>
      </c>
      <c r="L64" s="354">
        <v>0</v>
      </c>
      <c r="M64" s="354">
        <v>75.94</v>
      </c>
      <c r="N64" s="354" t="s">
        <v>395</v>
      </c>
      <c r="O64" s="354">
        <v>60.64</v>
      </c>
      <c r="P64" s="374">
        <f t="shared" si="0"/>
        <v>4.7848377602783012</v>
      </c>
      <c r="Q64" s="354">
        <f t="shared" si="30"/>
        <v>0.4512831945397342</v>
      </c>
      <c r="R64" s="354">
        <f t="shared" si="31"/>
        <v>0.76073221130812541</v>
      </c>
      <c r="S64" s="354">
        <f t="shared" si="32"/>
        <v>0.67765006753140888</v>
      </c>
      <c r="T64" s="354">
        <f t="shared" si="33"/>
        <v>2.8917917411006155</v>
      </c>
      <c r="U64" s="374">
        <f t="shared" si="34"/>
        <v>19.203630060703926</v>
      </c>
      <c r="V64" s="354">
        <f t="shared" si="5"/>
        <v>0.50833384037462903</v>
      </c>
      <c r="W64" s="354">
        <f t="shared" si="35"/>
        <v>17.34032013400936</v>
      </c>
      <c r="X64" s="354">
        <f t="shared" si="36"/>
        <v>1.3549760863199383</v>
      </c>
      <c r="Y64" s="374">
        <f t="shared" si="37"/>
        <v>2.8152227994397374</v>
      </c>
      <c r="Z64" s="354">
        <f t="shared" si="9"/>
        <v>1.45226090791767</v>
      </c>
      <c r="AA64" s="354">
        <f t="shared" si="38"/>
        <v>1.3629618915220674</v>
      </c>
      <c r="AB64" s="374">
        <f t="shared" si="39"/>
        <v>15.380676478674969</v>
      </c>
      <c r="AC64" s="354">
        <f t="shared" si="12"/>
        <v>4.364921840605958</v>
      </c>
      <c r="AD64" s="354">
        <f t="shared" si="40"/>
        <v>9.5014652557366617</v>
      </c>
      <c r="AE64" s="354">
        <f t="shared" si="41"/>
        <v>1.5142893823323498</v>
      </c>
      <c r="AF64" s="374">
        <f t="shared" si="42"/>
        <v>12.309912394569691</v>
      </c>
      <c r="AG64" s="354">
        <f t="shared" si="16"/>
        <v>0.79111747418107903</v>
      </c>
      <c r="AH64" s="354">
        <f t="shared" si="43"/>
        <v>3.980430044093199</v>
      </c>
      <c r="AI64" s="354">
        <f t="shared" si="44"/>
        <v>0</v>
      </c>
      <c r="AJ64" s="354">
        <f t="shared" si="45"/>
        <v>7.5383648762954145</v>
      </c>
      <c r="AK64" s="374">
        <f t="shared" si="46"/>
        <v>8.1306114691516083</v>
      </c>
      <c r="AL64" s="354">
        <f t="shared" si="21"/>
        <v>2.3294741569410111</v>
      </c>
      <c r="AM64" s="354">
        <f t="shared" si="47"/>
        <v>5.4942100457677228</v>
      </c>
      <c r="AN64" s="354">
        <f t="shared" si="48"/>
        <v>0.30692726644287455</v>
      </c>
      <c r="AO64" s="374">
        <f t="shared" si="49"/>
        <v>4.7144958789143177</v>
      </c>
      <c r="AP64" s="354">
        <f t="shared" si="25"/>
        <v>1.0810834938442475</v>
      </c>
      <c r="AQ64" s="354">
        <f t="shared" si="50"/>
        <v>3.6334123850700704</v>
      </c>
      <c r="AR64" s="374">
        <f t="shared" si="51"/>
        <v>8.6006131582674463</v>
      </c>
      <c r="AS64" s="354">
        <f t="shared" si="28"/>
        <v>3.7269376562144445</v>
      </c>
      <c r="AT64" s="354">
        <f t="shared" si="52"/>
        <v>4.8736755020530023</v>
      </c>
      <c r="AU64" s="355" t="s">
        <v>396</v>
      </c>
      <c r="AV64" s="353" t="s">
        <v>404</v>
      </c>
      <c r="AW64" s="355" t="s">
        <v>405</v>
      </c>
      <c r="AX64" s="355">
        <v>0</v>
      </c>
      <c r="AY64" s="350" t="s">
        <v>410</v>
      </c>
      <c r="AZ64" s="351">
        <v>45081</v>
      </c>
      <c r="BA64" s="351">
        <v>45082</v>
      </c>
      <c r="BB64" s="350" t="s">
        <v>407</v>
      </c>
    </row>
    <row r="65" spans="1:54" x14ac:dyDescent="0.25">
      <c r="A65" s="348" t="s">
        <v>463</v>
      </c>
      <c r="B65" s="349">
        <v>4837</v>
      </c>
      <c r="C65" s="350" t="s">
        <v>458</v>
      </c>
      <c r="D65" s="351">
        <v>45056</v>
      </c>
      <c r="E65" s="352">
        <v>3490</v>
      </c>
      <c r="F65" s="352">
        <v>7</v>
      </c>
      <c r="H65" s="350" t="s">
        <v>464</v>
      </c>
      <c r="I65" s="350" t="s">
        <v>393</v>
      </c>
      <c r="J65" s="354">
        <v>30000</v>
      </c>
      <c r="K65" s="350" t="s">
        <v>394</v>
      </c>
      <c r="L65" s="354">
        <v>0</v>
      </c>
      <c r="M65" s="354">
        <v>14.6</v>
      </c>
      <c r="N65" s="354" t="s">
        <v>395</v>
      </c>
      <c r="O65" s="354">
        <v>11.66</v>
      </c>
      <c r="P65" s="374">
        <f t="shared" si="0"/>
        <v>0.91991876876564649</v>
      </c>
      <c r="Q65" s="354">
        <f t="shared" si="30"/>
        <v>8.6762373456414521E-2</v>
      </c>
      <c r="R65" s="354">
        <f t="shared" si="31"/>
        <v>0.14625612700946314</v>
      </c>
      <c r="S65" s="354">
        <f t="shared" si="32"/>
        <v>0.13028299955173253</v>
      </c>
      <c r="T65" s="354">
        <f t="shared" si="33"/>
        <v>0.55596733500222528</v>
      </c>
      <c r="U65" s="374">
        <f t="shared" si="34"/>
        <v>3.6920331694268804</v>
      </c>
      <c r="V65" s="354">
        <f t="shared" si="5"/>
        <v>9.773076204200136E-2</v>
      </c>
      <c r="W65" s="354">
        <f t="shared" si="35"/>
        <v>3.3337987089351677</v>
      </c>
      <c r="X65" s="354">
        <f t="shared" si="36"/>
        <v>0.26050369844971155</v>
      </c>
      <c r="Y65" s="374">
        <f t="shared" si="37"/>
        <v>0.54124641653700512</v>
      </c>
      <c r="Z65" s="354">
        <f t="shared" si="9"/>
        <v>0.2792073907769026</v>
      </c>
      <c r="AA65" s="354">
        <f t="shared" si="38"/>
        <v>0.26203902576010252</v>
      </c>
      <c r="AB65" s="374">
        <f t="shared" si="39"/>
        <v>2.9570434104379055</v>
      </c>
      <c r="AC65" s="354">
        <f t="shared" si="12"/>
        <v>0.83918697488605465</v>
      </c>
      <c r="AD65" s="354">
        <f t="shared" si="40"/>
        <v>1.8267236335759185</v>
      </c>
      <c r="AE65" s="354">
        <f t="shared" si="41"/>
        <v>0.29113280197593239</v>
      </c>
      <c r="AF65" s="374">
        <f t="shared" si="42"/>
        <v>2.3666673816265145</v>
      </c>
      <c r="AG65" s="354">
        <f t="shared" si="16"/>
        <v>0.15209790786204574</v>
      </c>
      <c r="AH65" s="354">
        <f t="shared" si="43"/>
        <v>0.76526571824809997</v>
      </c>
      <c r="AI65" s="354">
        <f t="shared" si="44"/>
        <v>0</v>
      </c>
      <c r="AJ65" s="354">
        <f t="shared" si="45"/>
        <v>1.449303755516369</v>
      </c>
      <c r="AK65" s="374">
        <f t="shared" si="46"/>
        <v>1.5631673353912756</v>
      </c>
      <c r="AL65" s="354">
        <f t="shared" si="21"/>
        <v>0.44785781790016799</v>
      </c>
      <c r="AM65" s="354">
        <f t="shared" si="47"/>
        <v>1.0563005882039604</v>
      </c>
      <c r="AN65" s="354">
        <f t="shared" si="48"/>
        <v>5.9008929287147328E-2</v>
      </c>
      <c r="AO65" s="374">
        <f t="shared" si="49"/>
        <v>0.90639504651236547</v>
      </c>
      <c r="AP65" s="354">
        <f t="shared" si="25"/>
        <v>0.20784591796320795</v>
      </c>
      <c r="AQ65" s="354">
        <f t="shared" si="50"/>
        <v>0.69854912854915752</v>
      </c>
      <c r="AR65" s="374">
        <f t="shared" si="51"/>
        <v>1.6535284713024059</v>
      </c>
      <c r="AS65" s="354">
        <f t="shared" si="28"/>
        <v>0.71653002081552386</v>
      </c>
      <c r="AT65" s="354">
        <f t="shared" si="52"/>
        <v>0.93699845048688213</v>
      </c>
      <c r="AU65" s="355" t="s">
        <v>396</v>
      </c>
      <c r="AV65" s="353" t="s">
        <v>404</v>
      </c>
      <c r="AW65" s="355" t="s">
        <v>405</v>
      </c>
      <c r="AX65" s="355">
        <v>0</v>
      </c>
      <c r="AY65" s="350" t="s">
        <v>410</v>
      </c>
      <c r="AZ65" s="351">
        <v>45081</v>
      </c>
      <c r="BA65" s="351">
        <v>45082</v>
      </c>
      <c r="BB65" s="350" t="s">
        <v>407</v>
      </c>
    </row>
    <row r="66" spans="1:54" x14ac:dyDescent="0.25">
      <c r="A66" s="348" t="s">
        <v>465</v>
      </c>
      <c r="B66" s="349">
        <v>4840</v>
      </c>
      <c r="C66" s="350" t="s">
        <v>458</v>
      </c>
      <c r="D66" s="351">
        <v>45058</v>
      </c>
      <c r="E66" s="352">
        <v>3490</v>
      </c>
      <c r="F66" s="352">
        <v>7</v>
      </c>
      <c r="H66" s="350" t="s">
        <v>466</v>
      </c>
      <c r="I66" s="350" t="s">
        <v>393</v>
      </c>
      <c r="J66" s="354">
        <v>10000</v>
      </c>
      <c r="K66" s="350" t="s">
        <v>394</v>
      </c>
      <c r="L66" s="354">
        <v>0</v>
      </c>
      <c r="M66" s="354">
        <v>4.87</v>
      </c>
      <c r="N66" s="354" t="s">
        <v>395</v>
      </c>
      <c r="O66" s="354">
        <v>3.89</v>
      </c>
      <c r="P66" s="374">
        <f t="shared" si="0"/>
        <v>0.3068496167047054</v>
      </c>
      <c r="Q66" s="354">
        <f t="shared" si="30"/>
        <v>2.8940599913201286E-2</v>
      </c>
      <c r="R66" s="354">
        <f t="shared" si="31"/>
        <v>4.8785434146307226E-2</v>
      </c>
      <c r="S66" s="354">
        <f t="shared" si="32"/>
        <v>4.3457411494310788E-2</v>
      </c>
      <c r="T66" s="354">
        <f t="shared" si="33"/>
        <v>0.18544937818224913</v>
      </c>
      <c r="U66" s="374">
        <f t="shared" si="34"/>
        <v>1.2315206530896512</v>
      </c>
      <c r="V66" s="354">
        <f t="shared" si="5"/>
        <v>3.2599233640037438E-2</v>
      </c>
      <c r="W66" s="354">
        <f t="shared" si="35"/>
        <v>1.1120273775694702</v>
      </c>
      <c r="X66" s="354">
        <f t="shared" si="36"/>
        <v>8.6894041880143519E-2</v>
      </c>
      <c r="Y66" s="374">
        <f t="shared" si="37"/>
        <v>0.1805390444202202</v>
      </c>
      <c r="Z66" s="354">
        <f t="shared" si="9"/>
        <v>9.3132876238596965E-2</v>
      </c>
      <c r="AA66" s="354">
        <f t="shared" si="38"/>
        <v>8.7406168181623237E-2</v>
      </c>
      <c r="AB66" s="374">
        <f t="shared" si="39"/>
        <v>0.98635626087894535</v>
      </c>
      <c r="AC66" s="354">
        <f t="shared" si="12"/>
        <v>0.27992058682843057</v>
      </c>
      <c r="AD66" s="354">
        <f t="shared" si="40"/>
        <v>0.60932493804895371</v>
      </c>
      <c r="AE66" s="354">
        <f t="shared" si="41"/>
        <v>9.7110736001561018E-2</v>
      </c>
      <c r="AF66" s="374">
        <f t="shared" si="42"/>
        <v>0.78942946222747434</v>
      </c>
      <c r="AG66" s="354">
        <f t="shared" si="16"/>
        <v>5.0734028170422107E-2</v>
      </c>
      <c r="AH66" s="354">
        <f t="shared" si="43"/>
        <v>0.25526329094987993</v>
      </c>
      <c r="AI66" s="354">
        <f t="shared" si="44"/>
        <v>0</v>
      </c>
      <c r="AJ66" s="354">
        <f t="shared" si="45"/>
        <v>0.48343214310717236</v>
      </c>
      <c r="AK66" s="374">
        <f t="shared" si="46"/>
        <v>0.52141266598325431</v>
      </c>
      <c r="AL66" s="354">
        <f t="shared" si="21"/>
        <v>0.14938818994341221</v>
      </c>
      <c r="AM66" s="354">
        <f t="shared" si="47"/>
        <v>0.35234136058584159</v>
      </c>
      <c r="AN66" s="354">
        <f t="shared" si="48"/>
        <v>1.9683115454000515E-2</v>
      </c>
      <c r="AO66" s="374">
        <f t="shared" si="49"/>
        <v>0.30233862167912468</v>
      </c>
      <c r="AP66" s="354">
        <f t="shared" si="25"/>
        <v>6.9329426060330338E-2</v>
      </c>
      <c r="AQ66" s="354">
        <f t="shared" si="50"/>
        <v>0.23300919561879435</v>
      </c>
      <c r="AR66" s="374">
        <f t="shared" si="51"/>
        <v>0.55155367501662445</v>
      </c>
      <c r="AS66" s="354">
        <f t="shared" si="28"/>
        <v>0.23900693160079461</v>
      </c>
      <c r="AT66" s="354">
        <f t="shared" si="52"/>
        <v>0.31254674341582989</v>
      </c>
      <c r="AU66" s="355" t="s">
        <v>396</v>
      </c>
      <c r="AV66" s="353" t="s">
        <v>404</v>
      </c>
      <c r="AW66" s="355" t="s">
        <v>405</v>
      </c>
      <c r="AX66" s="355">
        <v>0</v>
      </c>
      <c r="AY66" s="350" t="s">
        <v>410</v>
      </c>
      <c r="AZ66" s="351">
        <v>45081</v>
      </c>
      <c r="BA66" s="351">
        <v>45082</v>
      </c>
      <c r="BB66" s="350" t="s">
        <v>407</v>
      </c>
    </row>
    <row r="67" spans="1:54" x14ac:dyDescent="0.25">
      <c r="A67" s="348" t="s">
        <v>467</v>
      </c>
      <c r="B67" s="349">
        <v>4938</v>
      </c>
      <c r="C67" s="350" t="s">
        <v>458</v>
      </c>
      <c r="D67" s="351">
        <v>45048</v>
      </c>
      <c r="E67" s="352">
        <v>3420</v>
      </c>
      <c r="F67" s="352">
        <v>7</v>
      </c>
      <c r="H67" s="350" t="s">
        <v>468</v>
      </c>
      <c r="I67" s="350" t="s">
        <v>393</v>
      </c>
      <c r="J67" s="354">
        <v>222775</v>
      </c>
      <c r="K67" s="350" t="s">
        <v>394</v>
      </c>
      <c r="L67" s="354">
        <v>0</v>
      </c>
      <c r="M67" s="354">
        <v>108.44</v>
      </c>
      <c r="N67" s="354" t="s">
        <v>395</v>
      </c>
      <c r="O67" s="354">
        <v>86.59</v>
      </c>
      <c r="P67" s="374">
        <f t="shared" si="0"/>
        <v>6.8326021428045687</v>
      </c>
      <c r="Q67" s="354">
        <f t="shared" si="30"/>
        <v>0.64441861490504049</v>
      </c>
      <c r="R67" s="354">
        <f t="shared" si="31"/>
        <v>1.0863023570483685</v>
      </c>
      <c r="S67" s="354">
        <f t="shared" si="32"/>
        <v>0.96766359393081347</v>
      </c>
      <c r="T67" s="354">
        <f t="shared" si="33"/>
        <v>4.1293902607973498</v>
      </c>
      <c r="U67" s="374">
        <f t="shared" si="34"/>
        <v>27.422197047441841</v>
      </c>
      <c r="V67" s="354">
        <f t="shared" si="5"/>
        <v>0.72588519423524833</v>
      </c>
      <c r="W67" s="354">
        <f t="shared" si="35"/>
        <v>24.76144739704997</v>
      </c>
      <c r="X67" s="354">
        <f t="shared" si="36"/>
        <v>1.9348644561566246</v>
      </c>
      <c r="Y67" s="374">
        <f t="shared" si="37"/>
        <v>4.0200521513200567</v>
      </c>
      <c r="Z67" s="354">
        <f t="shared" si="9"/>
        <v>2.0737842093046104</v>
      </c>
      <c r="AA67" s="354">
        <f t="shared" si="38"/>
        <v>1.9462679420154461</v>
      </c>
      <c r="AB67" s="374">
        <f t="shared" si="39"/>
        <v>21.963136125197703</v>
      </c>
      <c r="AC67" s="354">
        <f t="shared" si="12"/>
        <v>6.232975038126285</v>
      </c>
      <c r="AD67" s="354">
        <f t="shared" si="40"/>
        <v>13.567802111299493</v>
      </c>
      <c r="AE67" s="354">
        <f t="shared" si="41"/>
        <v>2.1623589757719253</v>
      </c>
      <c r="AF67" s="374">
        <f t="shared" si="42"/>
        <v>17.578178826272548</v>
      </c>
      <c r="AG67" s="354">
        <f t="shared" si="16"/>
        <v>1.1296915841479616</v>
      </c>
      <c r="AH67" s="354">
        <f t="shared" si="43"/>
        <v>5.6839324990975308</v>
      </c>
      <c r="AI67" s="354">
        <f t="shared" si="44"/>
        <v>0</v>
      </c>
      <c r="AJ67" s="354">
        <f t="shared" si="45"/>
        <v>10.764554743027057</v>
      </c>
      <c r="AK67" s="374">
        <f t="shared" si="46"/>
        <v>11.610264784234927</v>
      </c>
      <c r="AL67" s="354">
        <f t="shared" si="21"/>
        <v>3.3264179296639877</v>
      </c>
      <c r="AM67" s="354">
        <f t="shared" si="47"/>
        <v>7.8455640948518806</v>
      </c>
      <c r="AN67" s="354">
        <f t="shared" si="48"/>
        <v>0.43828275971905867</v>
      </c>
      <c r="AO67" s="374">
        <f t="shared" si="49"/>
        <v>6.7321560851918436</v>
      </c>
      <c r="AP67" s="354">
        <f t="shared" si="25"/>
        <v>1.5437542016390597</v>
      </c>
      <c r="AQ67" s="354">
        <f t="shared" si="50"/>
        <v>5.1884018835527836</v>
      </c>
      <c r="AR67" s="374">
        <f t="shared" si="51"/>
        <v>12.2814128375365</v>
      </c>
      <c r="AS67" s="354">
        <f t="shared" si="28"/>
        <v>5.3219531135092746</v>
      </c>
      <c r="AT67" s="354">
        <f t="shared" si="52"/>
        <v>6.9594597240272256</v>
      </c>
      <c r="AU67" s="355" t="s">
        <v>396</v>
      </c>
      <c r="AV67" s="353" t="s">
        <v>404</v>
      </c>
      <c r="AW67" s="355" t="s">
        <v>405</v>
      </c>
      <c r="AX67" s="355">
        <v>0</v>
      </c>
      <c r="AY67" s="350" t="s">
        <v>410</v>
      </c>
      <c r="AZ67" s="351">
        <v>45082</v>
      </c>
      <c r="BA67" s="351">
        <v>45082</v>
      </c>
      <c r="BB67" s="350" t="s">
        <v>407</v>
      </c>
    </row>
    <row r="68" spans="1:54" x14ac:dyDescent="0.25">
      <c r="A68" s="348" t="s">
        <v>469</v>
      </c>
      <c r="B68" s="349">
        <v>4937</v>
      </c>
      <c r="C68" s="350" t="s">
        <v>458</v>
      </c>
      <c r="D68" s="351">
        <v>45056</v>
      </c>
      <c r="E68" s="352">
        <v>3420</v>
      </c>
      <c r="F68" s="352">
        <v>7</v>
      </c>
      <c r="H68" s="350" t="s">
        <v>470</v>
      </c>
      <c r="I68" s="350" t="s">
        <v>393</v>
      </c>
      <c r="J68" s="354">
        <v>35381</v>
      </c>
      <c r="K68" s="350" t="s">
        <v>394</v>
      </c>
      <c r="L68" s="354">
        <v>0</v>
      </c>
      <c r="M68" s="354">
        <v>17.22</v>
      </c>
      <c r="N68" s="354" t="s">
        <v>395</v>
      </c>
      <c r="O68" s="354">
        <v>13.75</v>
      </c>
      <c r="P68" s="374">
        <f t="shared" ref="P68:P131" si="53">M68*$P$2</f>
        <v>1.0850000820646872</v>
      </c>
      <c r="Q68" s="354">
        <f t="shared" ref="Q68:Q132" si="54">P68*$Q$2</f>
        <v>0.10233205965201769</v>
      </c>
      <c r="R68" s="354">
        <f t="shared" si="31"/>
        <v>0.17250208952759968</v>
      </c>
      <c r="S68" s="354">
        <f t="shared" si="32"/>
        <v>0.15366255152608455</v>
      </c>
      <c r="T68" s="354">
        <f t="shared" si="33"/>
        <v>0.65573681566700825</v>
      </c>
      <c r="U68" s="374">
        <f t="shared" si="34"/>
        <v>4.3545761080500602</v>
      </c>
      <c r="V68" s="354">
        <f t="shared" ref="V68:V132" si="55">U68*$V$2</f>
        <v>0.11526874810707283</v>
      </c>
      <c r="W68" s="354">
        <f t="shared" si="35"/>
        <v>3.932055737524903</v>
      </c>
      <c r="X68" s="354">
        <f t="shared" si="36"/>
        <v>0.30725162241808446</v>
      </c>
      <c r="Y68" s="374">
        <f t="shared" si="37"/>
        <v>0.63837419813474161</v>
      </c>
      <c r="Z68" s="354">
        <f t="shared" ref="Z68:Z132" si="56">Y68*$Z$2</f>
        <v>0.32931173076563441</v>
      </c>
      <c r="AA68" s="354">
        <f t="shared" si="38"/>
        <v>0.3090624673691072</v>
      </c>
      <c r="AB68" s="374">
        <f t="shared" si="39"/>
        <v>3.4876909265575846</v>
      </c>
      <c r="AC68" s="354">
        <f t="shared" ref="AC68:AC132" si="57">AB68*$AC$2</f>
        <v>0.98978080188615492</v>
      </c>
      <c r="AD68" s="354">
        <f t="shared" si="40"/>
        <v>2.1545329431628302</v>
      </c>
      <c r="AE68" s="354">
        <f t="shared" si="41"/>
        <v>0.34337718150859969</v>
      </c>
      <c r="AF68" s="374">
        <f t="shared" si="42"/>
        <v>2.7913707062745599</v>
      </c>
      <c r="AG68" s="354">
        <f t="shared" ref="AG68:AG132" si="58">AF68*$AG$2</f>
        <v>0.17939218995783751</v>
      </c>
      <c r="AH68" s="354">
        <f t="shared" si="43"/>
        <v>0.90259422385152599</v>
      </c>
      <c r="AI68" s="354">
        <f t="shared" si="44"/>
        <v>0</v>
      </c>
      <c r="AJ68" s="354">
        <f t="shared" si="45"/>
        <v>1.7093842924651965</v>
      </c>
      <c r="AK68" s="374">
        <f t="shared" si="46"/>
        <v>1.8436809257149154</v>
      </c>
      <c r="AL68" s="354">
        <f t="shared" ref="AL68:AL132" si="59">AK68*$AL$2</f>
        <v>0.52822682357814332</v>
      </c>
      <c r="AM68" s="354">
        <f t="shared" si="47"/>
        <v>1.2458558992378217</v>
      </c>
      <c r="AN68" s="354">
        <f t="shared" si="48"/>
        <v>6.9598202898950468E-2</v>
      </c>
      <c r="AO68" s="374">
        <f t="shared" si="49"/>
        <v>1.0690495000645845</v>
      </c>
      <c r="AP68" s="354">
        <f t="shared" ref="AP68:AP132" si="60">AO68*$AP$2</f>
        <v>0.24514429502235899</v>
      </c>
      <c r="AQ68" s="354">
        <f t="shared" si="50"/>
        <v>0.82390520504222564</v>
      </c>
      <c r="AR68" s="374">
        <f t="shared" si="51"/>
        <v>1.9502575531388651</v>
      </c>
      <c r="AS68" s="354">
        <f t="shared" ref="AS68:AS132" si="61">AR68*$AS$2</f>
        <v>0.84511280537283029</v>
      </c>
      <c r="AT68" s="354">
        <f t="shared" si="52"/>
        <v>1.105144747766035</v>
      </c>
      <c r="AU68" s="355" t="s">
        <v>396</v>
      </c>
      <c r="AV68" s="353" t="s">
        <v>404</v>
      </c>
      <c r="AW68" s="355" t="s">
        <v>405</v>
      </c>
      <c r="AX68" s="355">
        <v>0</v>
      </c>
      <c r="AY68" s="350" t="s">
        <v>410</v>
      </c>
      <c r="AZ68" s="351">
        <v>45082</v>
      </c>
      <c r="BA68" s="351">
        <v>45082</v>
      </c>
      <c r="BB68" s="350" t="s">
        <v>407</v>
      </c>
    </row>
    <row r="69" spans="1:54" x14ac:dyDescent="0.25">
      <c r="A69" s="348" t="s">
        <v>471</v>
      </c>
      <c r="B69" s="349">
        <v>4798</v>
      </c>
      <c r="C69" s="350" t="s">
        <v>458</v>
      </c>
      <c r="D69" s="351">
        <v>45076</v>
      </c>
      <c r="E69" s="352">
        <v>3110</v>
      </c>
      <c r="F69" s="352">
        <v>1</v>
      </c>
      <c r="H69" s="350" t="s">
        <v>437</v>
      </c>
      <c r="I69" s="350" t="s">
        <v>393</v>
      </c>
      <c r="J69" s="354">
        <v>43870.1</v>
      </c>
      <c r="K69" s="350" t="s">
        <v>394</v>
      </c>
      <c r="L69" s="354">
        <v>0</v>
      </c>
      <c r="M69" s="354">
        <v>21.36</v>
      </c>
      <c r="N69" s="354" t="s">
        <v>395</v>
      </c>
      <c r="O69" s="354">
        <v>17.55</v>
      </c>
      <c r="P69" s="374">
        <f t="shared" si="53"/>
        <v>1.3458537603311103</v>
      </c>
      <c r="Q69" s="354">
        <f t="shared" si="54"/>
        <v>0.12693454089239825</v>
      </c>
      <c r="R69" s="354">
        <f t="shared" si="31"/>
        <v>0.21397471732343373</v>
      </c>
      <c r="S69" s="354">
        <f t="shared" si="32"/>
        <v>0.19060581304280871</v>
      </c>
      <c r="T69" s="354">
        <f t="shared" si="33"/>
        <v>0.81338782709914603</v>
      </c>
      <c r="U69" s="374">
        <f t="shared" si="34"/>
        <v>5.4014951026683677</v>
      </c>
      <c r="V69" s="354">
        <f t="shared" si="55"/>
        <v>0.1429814436450102</v>
      </c>
      <c r="W69" s="354">
        <f t="shared" si="35"/>
        <v>4.8773931796476155</v>
      </c>
      <c r="X69" s="354">
        <f t="shared" si="36"/>
        <v>0.38112047937574245</v>
      </c>
      <c r="Y69" s="374">
        <f t="shared" si="37"/>
        <v>0.79185092172811156</v>
      </c>
      <c r="Z69" s="354">
        <f t="shared" si="56"/>
        <v>0.40848423746538626</v>
      </c>
      <c r="AA69" s="354">
        <f t="shared" si="38"/>
        <v>0.3833666842627253</v>
      </c>
      <c r="AB69" s="374">
        <f t="shared" si="39"/>
        <v>4.3261950169146344</v>
      </c>
      <c r="AC69" s="354">
        <f t="shared" si="57"/>
        <v>1.2277420399702825</v>
      </c>
      <c r="AD69" s="354">
        <f t="shared" si="40"/>
        <v>2.6725216995329877</v>
      </c>
      <c r="AE69" s="354">
        <f t="shared" si="41"/>
        <v>0.42593127741136411</v>
      </c>
      <c r="AF69" s="374">
        <f t="shared" si="42"/>
        <v>3.4624667994207088</v>
      </c>
      <c r="AG69" s="354">
        <f t="shared" si="58"/>
        <v>0.22252132273515735</v>
      </c>
      <c r="AH69" s="354">
        <f t="shared" si="43"/>
        <v>1.1195942288890011</v>
      </c>
      <c r="AI69" s="354">
        <f t="shared" si="44"/>
        <v>0</v>
      </c>
      <c r="AJ69" s="354">
        <f t="shared" si="45"/>
        <v>2.1203512477965507</v>
      </c>
      <c r="AK69" s="374">
        <f t="shared" si="46"/>
        <v>2.2869352249286061</v>
      </c>
      <c r="AL69" s="354">
        <f t="shared" si="59"/>
        <v>0.65522212262654722</v>
      </c>
      <c r="AM69" s="354">
        <f t="shared" si="47"/>
        <v>1.5453822304134655</v>
      </c>
      <c r="AN69" s="354">
        <f t="shared" si="48"/>
        <v>8.6330871888593633E-2</v>
      </c>
      <c r="AO69" s="374">
        <f t="shared" si="49"/>
        <v>1.3260683694180908</v>
      </c>
      <c r="AP69" s="354">
        <f t="shared" si="60"/>
        <v>0.30408142518452891</v>
      </c>
      <c r="AQ69" s="354">
        <f t="shared" si="50"/>
        <v>1.0219869442335618</v>
      </c>
      <c r="AR69" s="374">
        <f t="shared" si="51"/>
        <v>2.4191348045903691</v>
      </c>
      <c r="AS69" s="354">
        <f t="shared" si="61"/>
        <v>1.0482932359328485</v>
      </c>
      <c r="AT69" s="354">
        <f t="shared" si="52"/>
        <v>1.3708415686575206</v>
      </c>
      <c r="AU69" s="355" t="s">
        <v>396</v>
      </c>
      <c r="AV69" s="353" t="s">
        <v>404</v>
      </c>
      <c r="AW69" s="355" t="s">
        <v>405</v>
      </c>
      <c r="AX69" s="355">
        <v>102955</v>
      </c>
      <c r="AY69" s="350" t="s">
        <v>406</v>
      </c>
      <c r="AZ69" s="351">
        <v>45079</v>
      </c>
      <c r="BA69" s="351">
        <v>45079</v>
      </c>
      <c r="BB69" s="350" t="s">
        <v>407</v>
      </c>
    </row>
    <row r="70" spans="1:54" x14ac:dyDescent="0.25">
      <c r="A70" s="348" t="s">
        <v>471</v>
      </c>
      <c r="B70" s="349">
        <v>4798</v>
      </c>
      <c r="C70" s="350" t="s">
        <v>458</v>
      </c>
      <c r="D70" s="351">
        <v>45076</v>
      </c>
      <c r="E70" s="352">
        <v>3110</v>
      </c>
      <c r="F70" s="352">
        <v>1</v>
      </c>
      <c r="H70" s="350" t="s">
        <v>437</v>
      </c>
      <c r="I70" s="350" t="s">
        <v>393</v>
      </c>
      <c r="J70" s="354">
        <v>17345.55</v>
      </c>
      <c r="K70" s="350" t="s">
        <v>394</v>
      </c>
      <c r="L70" s="354">
        <v>0</v>
      </c>
      <c r="M70" s="354">
        <v>8.44</v>
      </c>
      <c r="N70" s="354" t="s">
        <v>395</v>
      </c>
      <c r="O70" s="354">
        <v>6.94</v>
      </c>
      <c r="P70" s="374">
        <f t="shared" si="53"/>
        <v>0.53178865810836007</v>
      </c>
      <c r="Q70" s="354">
        <f t="shared" si="54"/>
        <v>5.0155783011790321E-2</v>
      </c>
      <c r="R70" s="354">
        <f t="shared" si="31"/>
        <v>8.4548062463004725E-2</v>
      </c>
      <c r="S70" s="354">
        <f t="shared" si="32"/>
        <v>7.5314281932645388E-2</v>
      </c>
      <c r="T70" s="354">
        <f t="shared" si="33"/>
        <v>0.32139481557662891</v>
      </c>
      <c r="U70" s="374">
        <f t="shared" si="34"/>
        <v>2.1342986267097857</v>
      </c>
      <c r="V70" s="354">
        <f t="shared" si="55"/>
        <v>5.6496413125650097E-2</v>
      </c>
      <c r="W70" s="354">
        <f t="shared" si="35"/>
        <v>1.927209664617316</v>
      </c>
      <c r="X70" s="354">
        <f t="shared" si="36"/>
        <v>0.15059254896681956</v>
      </c>
      <c r="Y70" s="374">
        <f t="shared" si="37"/>
        <v>0.31288491476522756</v>
      </c>
      <c r="Z70" s="354">
        <f t="shared" si="56"/>
        <v>0.16140482042171628</v>
      </c>
      <c r="AA70" s="354">
        <f t="shared" si="38"/>
        <v>0.15148009434351128</v>
      </c>
      <c r="AB70" s="374">
        <f t="shared" si="39"/>
        <v>1.709414135896981</v>
      </c>
      <c r="AC70" s="354">
        <f t="shared" si="57"/>
        <v>0.48511904575604803</v>
      </c>
      <c r="AD70" s="354">
        <f t="shared" si="40"/>
        <v>1.055996401875394</v>
      </c>
      <c r="AE70" s="354">
        <f t="shared" si="41"/>
        <v>0.16829868826553898</v>
      </c>
      <c r="AF70" s="374">
        <f t="shared" si="42"/>
        <v>1.3681282671868342</v>
      </c>
      <c r="AG70" s="354">
        <f t="shared" si="58"/>
        <v>8.7925091942168909E-2</v>
      </c>
      <c r="AH70" s="354">
        <f t="shared" si="43"/>
        <v>0.4423864836995865</v>
      </c>
      <c r="AI70" s="354">
        <f t="shared" si="44"/>
        <v>0</v>
      </c>
      <c r="AJ70" s="354">
        <f t="shared" si="45"/>
        <v>0.83781669154507898</v>
      </c>
      <c r="AK70" s="374">
        <f t="shared" si="46"/>
        <v>0.90363919936317572</v>
      </c>
      <c r="AL70" s="354">
        <f t="shared" si="59"/>
        <v>0.25889862897790533</v>
      </c>
      <c r="AM70" s="354">
        <f t="shared" si="47"/>
        <v>0.61062855920831671</v>
      </c>
      <c r="AN70" s="354">
        <f t="shared" si="48"/>
        <v>3.4112011176953658E-2</v>
      </c>
      <c r="AO70" s="374">
        <f t="shared" si="49"/>
        <v>0.52397083510714826</v>
      </c>
      <c r="AP70" s="354">
        <f t="shared" si="60"/>
        <v>0.12015202380886816</v>
      </c>
      <c r="AQ70" s="354">
        <f t="shared" si="50"/>
        <v>0.40381881129828012</v>
      </c>
      <c r="AR70" s="374">
        <f t="shared" si="51"/>
        <v>0.95587536286248664</v>
      </c>
      <c r="AS70" s="354">
        <f t="shared" si="61"/>
        <v>0.414213244909796</v>
      </c>
      <c r="AT70" s="354">
        <f t="shared" si="52"/>
        <v>0.5416621179526907</v>
      </c>
      <c r="AU70" s="355" t="s">
        <v>396</v>
      </c>
      <c r="AV70" s="353" t="s">
        <v>404</v>
      </c>
      <c r="AW70" s="355" t="s">
        <v>405</v>
      </c>
      <c r="AX70" s="355">
        <v>103265</v>
      </c>
      <c r="AY70" s="350" t="s">
        <v>406</v>
      </c>
      <c r="AZ70" s="351">
        <v>45079</v>
      </c>
      <c r="BA70" s="351">
        <v>45079</v>
      </c>
      <c r="BB70" s="350" t="s">
        <v>407</v>
      </c>
    </row>
    <row r="71" spans="1:54" x14ac:dyDescent="0.25">
      <c r="A71" s="348" t="s">
        <v>471</v>
      </c>
      <c r="B71" s="349">
        <v>4798</v>
      </c>
      <c r="C71" s="350" t="s">
        <v>458</v>
      </c>
      <c r="D71" s="351">
        <v>45076</v>
      </c>
      <c r="E71" s="352">
        <v>3110</v>
      </c>
      <c r="F71" s="352">
        <v>1</v>
      </c>
      <c r="H71" s="350" t="s">
        <v>437</v>
      </c>
      <c r="I71" s="350" t="s">
        <v>393</v>
      </c>
      <c r="J71" s="354">
        <v>162886</v>
      </c>
      <c r="K71" s="350" t="s">
        <v>394</v>
      </c>
      <c r="L71" s="354">
        <v>0</v>
      </c>
      <c r="M71" s="354">
        <v>79.290000000000006</v>
      </c>
      <c r="N71" s="354" t="s">
        <v>395</v>
      </c>
      <c r="O71" s="354">
        <v>65.150000000000006</v>
      </c>
      <c r="P71" s="374">
        <f t="shared" si="53"/>
        <v>4.9959150120156242</v>
      </c>
      <c r="Q71" s="354">
        <f t="shared" si="54"/>
        <v>0.47119099940815806</v>
      </c>
      <c r="R71" s="354">
        <f t="shared" si="31"/>
        <v>0.79429098017673505</v>
      </c>
      <c r="S71" s="354">
        <f t="shared" si="32"/>
        <v>0.70754376948334752</v>
      </c>
      <c r="T71" s="354">
        <f t="shared" si="33"/>
        <v>3.0193595885155098</v>
      </c>
      <c r="U71" s="374">
        <f t="shared" si="34"/>
        <v>20.050774657798449</v>
      </c>
      <c r="V71" s="354">
        <f t="shared" si="55"/>
        <v>0.53075836454180059</v>
      </c>
      <c r="W71" s="354">
        <f t="shared" si="35"/>
        <v>18.105267098045854</v>
      </c>
      <c r="X71" s="354">
        <f t="shared" si="36"/>
        <v>1.4147491952107967</v>
      </c>
      <c r="Y71" s="374">
        <f t="shared" si="37"/>
        <v>2.9394129018643245</v>
      </c>
      <c r="Z71" s="354">
        <f t="shared" si="56"/>
        <v>1.5163256174452471</v>
      </c>
      <c r="AA71" s="354">
        <f t="shared" si="38"/>
        <v>1.4230872844190772</v>
      </c>
      <c r="AB71" s="374">
        <f t="shared" si="39"/>
        <v>16.059176165316547</v>
      </c>
      <c r="AC71" s="354">
        <f t="shared" si="57"/>
        <v>4.5574750163503621</v>
      </c>
      <c r="AD71" s="354">
        <f t="shared" si="40"/>
        <v>9.920610747002371</v>
      </c>
      <c r="AE71" s="354">
        <f t="shared" si="41"/>
        <v>1.5810904019638139</v>
      </c>
      <c r="AF71" s="374">
        <f t="shared" si="42"/>
        <v>12.852949088299065</v>
      </c>
      <c r="AG71" s="354">
        <f t="shared" si="58"/>
        <v>0.82601665166997318</v>
      </c>
      <c r="AH71" s="354">
        <f t="shared" si="43"/>
        <v>4.1560218356090308</v>
      </c>
      <c r="AI71" s="354">
        <f t="shared" si="44"/>
        <v>0</v>
      </c>
      <c r="AJ71" s="354">
        <f t="shared" si="45"/>
        <v>7.8709106010200616</v>
      </c>
      <c r="AK71" s="374">
        <f t="shared" si="46"/>
        <v>8.4892834262448122</v>
      </c>
      <c r="AL71" s="354">
        <f t="shared" si="59"/>
        <v>2.4322360535139946</v>
      </c>
      <c r="AM71" s="354">
        <f t="shared" si="47"/>
        <v>5.7365803862117826</v>
      </c>
      <c r="AN71" s="354">
        <f t="shared" si="48"/>
        <v>0.3204669865190351</v>
      </c>
      <c r="AO71" s="374">
        <f t="shared" si="49"/>
        <v>4.9224700847921552</v>
      </c>
      <c r="AP71" s="354">
        <f t="shared" si="60"/>
        <v>1.128774166801559</v>
      </c>
      <c r="AQ71" s="354">
        <f t="shared" si="50"/>
        <v>3.7936959179905965</v>
      </c>
      <c r="AR71" s="374">
        <f t="shared" si="51"/>
        <v>8.9800186636690267</v>
      </c>
      <c r="AS71" s="354">
        <f t="shared" si="61"/>
        <v>3.8913469418125275</v>
      </c>
      <c r="AT71" s="354">
        <f t="shared" si="52"/>
        <v>5.0886717218564996</v>
      </c>
      <c r="AU71" s="355" t="s">
        <v>396</v>
      </c>
      <c r="AV71" s="353" t="s">
        <v>404</v>
      </c>
      <c r="AW71" s="355" t="s">
        <v>405</v>
      </c>
      <c r="AX71" s="355">
        <v>117871</v>
      </c>
      <c r="AY71" s="350" t="s">
        <v>406</v>
      </c>
      <c r="AZ71" s="351">
        <v>45079</v>
      </c>
      <c r="BA71" s="351">
        <v>45079</v>
      </c>
      <c r="BB71" s="350" t="s">
        <v>407</v>
      </c>
    </row>
    <row r="72" spans="1:54" x14ac:dyDescent="0.25">
      <c r="A72" s="348" t="s">
        <v>471</v>
      </c>
      <c r="B72" s="349">
        <v>4798</v>
      </c>
      <c r="C72" s="350" t="s">
        <v>458</v>
      </c>
      <c r="D72" s="351">
        <v>45076</v>
      </c>
      <c r="E72" s="352">
        <v>3110</v>
      </c>
      <c r="F72" s="352">
        <v>1</v>
      </c>
      <c r="H72" s="350" t="s">
        <v>437</v>
      </c>
      <c r="I72" s="350" t="s">
        <v>393</v>
      </c>
      <c r="J72" s="354">
        <v>56134</v>
      </c>
      <c r="K72" s="350" t="s">
        <v>394</v>
      </c>
      <c r="L72" s="354">
        <v>0</v>
      </c>
      <c r="M72" s="354">
        <v>27.32</v>
      </c>
      <c r="N72" s="354" t="s">
        <v>395</v>
      </c>
      <c r="O72" s="354">
        <v>22.45</v>
      </c>
      <c r="P72" s="374">
        <f t="shared" si="53"/>
        <v>1.7213822440190043</v>
      </c>
      <c r="Q72" s="354">
        <f t="shared" si="54"/>
        <v>0.16235260567323595</v>
      </c>
      <c r="R72" s="354">
        <f t="shared" ref="R72:R136" si="62">P72*$R$2</f>
        <v>0.27367927328072145</v>
      </c>
      <c r="S72" s="354">
        <f t="shared" ref="S72:S136" si="63">P72*$S$2</f>
        <v>0.24378983203789953</v>
      </c>
      <c r="T72" s="354">
        <f t="shared" ref="T72:T136" si="64">P72*$T$2</f>
        <v>1.0403443556343011</v>
      </c>
      <c r="U72" s="374">
        <f t="shared" ref="U72:U136" si="65">M72*$U$2</f>
        <v>6.9086538485439979</v>
      </c>
      <c r="V72" s="354">
        <f t="shared" si="55"/>
        <v>0.18287701499914227</v>
      </c>
      <c r="W72" s="354">
        <f t="shared" ref="W72:W136" si="66">U72*$W$2</f>
        <v>6.2383137485006008</v>
      </c>
      <c r="X72" s="354">
        <f t="shared" ref="X72:X136" si="67">U72*$X$2</f>
        <v>0.48746308504425478</v>
      </c>
      <c r="Y72" s="374">
        <f t="shared" ref="Y72:Y136" si="68">M72*$Y$2</f>
        <v>1.0127980890267794</v>
      </c>
      <c r="Z72" s="354">
        <f t="shared" si="56"/>
        <v>0.52246204904280669</v>
      </c>
      <c r="AA72" s="354">
        <f t="shared" ref="AA72:AA136" si="69">Y72*$AA$2</f>
        <v>0.49033603998397257</v>
      </c>
      <c r="AB72" s="374">
        <f t="shared" ref="AB72:AB136" si="70">M72*$AB$2</f>
        <v>5.5333168474769581</v>
      </c>
      <c r="AC72" s="354">
        <f t="shared" si="57"/>
        <v>1.5703142571155488</v>
      </c>
      <c r="AD72" s="354">
        <f t="shared" ref="AD72:AD136" si="71">AB72*$AD$2</f>
        <v>3.4182253198146642</v>
      </c>
      <c r="AE72" s="354">
        <f t="shared" ref="AE72:AE136" si="72">AB72*$AE$2</f>
        <v>0.54477727054674474</v>
      </c>
      <c r="AF72" s="374">
        <f t="shared" ref="AF72:AF136" si="73">M72*$AF$2</f>
        <v>4.4285858127422175</v>
      </c>
      <c r="AG72" s="354">
        <f t="shared" si="58"/>
        <v>0.28461060567062263</v>
      </c>
      <c r="AH72" s="354">
        <f t="shared" ref="AH72:AH136" si="74">AF72*$AH$2</f>
        <v>1.4319903714067186</v>
      </c>
      <c r="AI72" s="354">
        <f t="shared" ref="AI72:AI136" si="75">AF72*$AI$2</f>
        <v>0</v>
      </c>
      <c r="AJ72" s="354">
        <f t="shared" ref="AJ72:AJ136" si="76">AF72*$AJ$2</f>
        <v>2.7119848356648766</v>
      </c>
      <c r="AK72" s="374">
        <f t="shared" ref="AK72:AK136" si="77">M72*$AK$2</f>
        <v>2.9250501097869623</v>
      </c>
      <c r="AL72" s="354">
        <f t="shared" si="59"/>
        <v>0.83804627294743761</v>
      </c>
      <c r="AM72" s="354">
        <f t="shared" ref="AM72:AM136" si="78">AK72*$AM$2</f>
        <v>1.9765843883378216</v>
      </c>
      <c r="AN72" s="354">
        <f t="shared" ref="AN72:AN136" si="79">AK72*$AN$2</f>
        <v>0.11041944850170309</v>
      </c>
      <c r="AO72" s="374">
        <f t="shared" ref="AO72:AO136" si="80">M72*$AO$2</f>
        <v>1.6960762103231388</v>
      </c>
      <c r="AP72" s="354">
        <f t="shared" si="60"/>
        <v>0.38892811498320834</v>
      </c>
      <c r="AQ72" s="354">
        <f t="shared" ref="AQ72:AQ136" si="81">AO72*$AQ$2</f>
        <v>1.3071480953399306</v>
      </c>
      <c r="AR72" s="374">
        <f t="shared" ref="AR72:AR136" si="82">M72*$AR$2</f>
        <v>3.0941368380809404</v>
      </c>
      <c r="AS72" s="354">
        <f t="shared" si="61"/>
        <v>1.3407945321013777</v>
      </c>
      <c r="AT72" s="354">
        <f t="shared" ref="AT72:AT136" si="83">AR72*$AT$2</f>
        <v>1.753342305979563</v>
      </c>
      <c r="AU72" s="355" t="s">
        <v>396</v>
      </c>
      <c r="AV72" s="353" t="s">
        <v>404</v>
      </c>
      <c r="AW72" s="355" t="s">
        <v>405</v>
      </c>
      <c r="AX72" s="355">
        <v>103321</v>
      </c>
      <c r="AY72" s="350" t="s">
        <v>406</v>
      </c>
      <c r="AZ72" s="351">
        <v>45079</v>
      </c>
      <c r="BA72" s="351">
        <v>45079</v>
      </c>
      <c r="BB72" s="350" t="s">
        <v>407</v>
      </c>
    </row>
    <row r="73" spans="1:54" x14ac:dyDescent="0.25">
      <c r="A73" s="348" t="s">
        <v>471</v>
      </c>
      <c r="B73" s="349">
        <v>4798</v>
      </c>
      <c r="C73" s="350" t="s">
        <v>458</v>
      </c>
      <c r="D73" s="351">
        <v>45076</v>
      </c>
      <c r="E73" s="352">
        <v>3110</v>
      </c>
      <c r="F73" s="352">
        <v>1</v>
      </c>
      <c r="H73" s="350" t="s">
        <v>437</v>
      </c>
      <c r="I73" s="350" t="s">
        <v>393</v>
      </c>
      <c r="J73" s="354">
        <v>17446.05</v>
      </c>
      <c r="K73" s="350" t="s">
        <v>394</v>
      </c>
      <c r="L73" s="354">
        <v>0</v>
      </c>
      <c r="M73" s="354">
        <v>8.49</v>
      </c>
      <c r="N73" s="354" t="s">
        <v>395</v>
      </c>
      <c r="O73" s="354">
        <v>6.98</v>
      </c>
      <c r="P73" s="374">
        <f t="shared" si="53"/>
        <v>0.53493906485070819</v>
      </c>
      <c r="Q73" s="354">
        <f t="shared" si="54"/>
        <v>5.0452914427736945E-2</v>
      </c>
      <c r="R73" s="354">
        <f t="shared" si="62"/>
        <v>8.50489396102974E-2</v>
      </c>
      <c r="S73" s="354">
        <f t="shared" si="63"/>
        <v>7.5760456588644484E-2</v>
      </c>
      <c r="T73" s="354">
        <f t="shared" si="64"/>
        <v>0.32329881329923926</v>
      </c>
      <c r="U73" s="374">
        <f t="shared" si="65"/>
        <v>2.1469425759201517</v>
      </c>
      <c r="V73" s="354">
        <f t="shared" si="55"/>
        <v>5.6831107516204897E-2</v>
      </c>
      <c r="W73" s="354">
        <f t="shared" si="66"/>
        <v>1.9386267834835325</v>
      </c>
      <c r="X73" s="354">
        <f t="shared" si="67"/>
        <v>0.15148468492041448</v>
      </c>
      <c r="Y73" s="374">
        <f t="shared" si="68"/>
        <v>0.31473849838350504</v>
      </c>
      <c r="Z73" s="354">
        <f t="shared" si="56"/>
        <v>0.16236101011615775</v>
      </c>
      <c r="AA73" s="354">
        <f t="shared" si="69"/>
        <v>0.15237748826734729</v>
      </c>
      <c r="AB73" s="374">
        <f t="shared" si="70"/>
        <v>1.7195409968916315</v>
      </c>
      <c r="AC73" s="354">
        <f t="shared" si="57"/>
        <v>0.48799297375223316</v>
      </c>
      <c r="AD73" s="354">
        <f t="shared" si="71"/>
        <v>1.0622523047301062</v>
      </c>
      <c r="AE73" s="354">
        <f t="shared" si="72"/>
        <v>0.1692957184092922</v>
      </c>
      <c r="AF73" s="374">
        <f t="shared" si="73"/>
        <v>1.3762332924663772</v>
      </c>
      <c r="AG73" s="354">
        <f t="shared" si="58"/>
        <v>8.8445975188271811E-2</v>
      </c>
      <c r="AH73" s="354">
        <f t="shared" si="74"/>
        <v>0.44500725670728547</v>
      </c>
      <c r="AI73" s="354">
        <f t="shared" si="75"/>
        <v>0</v>
      </c>
      <c r="AJ73" s="354">
        <f t="shared" si="76"/>
        <v>0.84278006057082</v>
      </c>
      <c r="AK73" s="374">
        <f t="shared" si="77"/>
        <v>0.90899251215561172</v>
      </c>
      <c r="AL73" s="354">
        <f t="shared" si="59"/>
        <v>0.26043238862824841</v>
      </c>
      <c r="AM73" s="354">
        <f t="shared" si="78"/>
        <v>0.61424602697613861</v>
      </c>
      <c r="AN73" s="354">
        <f t="shared" si="79"/>
        <v>3.4314096551224714E-2</v>
      </c>
      <c r="AO73" s="374">
        <f t="shared" si="80"/>
        <v>0.52707492773219067</v>
      </c>
      <c r="AP73" s="354">
        <f t="shared" si="60"/>
        <v>0.12086382489778327</v>
      </c>
      <c r="AQ73" s="354">
        <f t="shared" si="81"/>
        <v>0.40621110283440742</v>
      </c>
      <c r="AR73" s="374">
        <f t="shared" si="82"/>
        <v>0.96153813159982371</v>
      </c>
      <c r="AS73" s="354">
        <f t="shared" si="61"/>
        <v>0.41666711484409574</v>
      </c>
      <c r="AT73" s="354">
        <f t="shared" si="83"/>
        <v>0.54487101675572802</v>
      </c>
      <c r="AU73" s="355" t="s">
        <v>396</v>
      </c>
      <c r="AV73" s="353" t="s">
        <v>404</v>
      </c>
      <c r="AW73" s="355" t="s">
        <v>405</v>
      </c>
      <c r="AX73" s="355">
        <v>117427</v>
      </c>
      <c r="AY73" s="350" t="s">
        <v>406</v>
      </c>
      <c r="AZ73" s="351">
        <v>45079</v>
      </c>
      <c r="BA73" s="351">
        <v>45079</v>
      </c>
      <c r="BB73" s="350" t="s">
        <v>407</v>
      </c>
    </row>
    <row r="74" spans="1:54" x14ac:dyDescent="0.25">
      <c r="A74" s="348" t="s">
        <v>471</v>
      </c>
      <c r="B74" s="349">
        <v>4798</v>
      </c>
      <c r="C74" s="350" t="s">
        <v>458</v>
      </c>
      <c r="D74" s="351">
        <v>45076</v>
      </c>
      <c r="E74" s="352">
        <v>3110</v>
      </c>
      <c r="F74" s="352">
        <v>1</v>
      </c>
      <c r="H74" s="350" t="s">
        <v>437</v>
      </c>
      <c r="I74" s="350" t="s">
        <v>393</v>
      </c>
      <c r="J74" s="354">
        <v>58154</v>
      </c>
      <c r="K74" s="350" t="s">
        <v>394</v>
      </c>
      <c r="L74" s="354">
        <v>0</v>
      </c>
      <c r="M74" s="354">
        <v>28.31</v>
      </c>
      <c r="N74" s="354" t="s">
        <v>395</v>
      </c>
      <c r="O74" s="354">
        <v>23.26</v>
      </c>
      <c r="P74" s="374">
        <f t="shared" si="53"/>
        <v>1.7837602975174967</v>
      </c>
      <c r="Q74" s="354">
        <f t="shared" si="54"/>
        <v>0.16823580770897911</v>
      </c>
      <c r="R74" s="354">
        <f t="shared" si="62"/>
        <v>0.28359664079711649</v>
      </c>
      <c r="S74" s="354">
        <f t="shared" si="63"/>
        <v>0.25262409022668136</v>
      </c>
      <c r="T74" s="354">
        <f t="shared" si="64"/>
        <v>1.0780435105419861</v>
      </c>
      <c r="U74" s="374">
        <f t="shared" si="65"/>
        <v>7.1590040429092454</v>
      </c>
      <c r="V74" s="354">
        <f t="shared" si="55"/>
        <v>0.18950396393212729</v>
      </c>
      <c r="W74" s="354">
        <f t="shared" si="66"/>
        <v>6.4643727020516843</v>
      </c>
      <c r="X74" s="354">
        <f t="shared" si="67"/>
        <v>0.50512737692543386</v>
      </c>
      <c r="Y74" s="374">
        <f t="shared" si="68"/>
        <v>1.0494990446686721</v>
      </c>
      <c r="Z74" s="354">
        <f t="shared" si="56"/>
        <v>0.54139460499274727</v>
      </c>
      <c r="AA74" s="354">
        <f t="shared" si="69"/>
        <v>0.50810443967592467</v>
      </c>
      <c r="AB74" s="374">
        <f t="shared" si="70"/>
        <v>5.7338286951710344</v>
      </c>
      <c r="AC74" s="354">
        <f t="shared" si="57"/>
        <v>1.627218031440014</v>
      </c>
      <c r="AD74" s="354">
        <f t="shared" si="71"/>
        <v>3.5420921963379626</v>
      </c>
      <c r="AE74" s="354">
        <f t="shared" si="72"/>
        <v>0.56451846739305789</v>
      </c>
      <c r="AF74" s="374">
        <f t="shared" si="73"/>
        <v>4.5890653132771657</v>
      </c>
      <c r="AG74" s="354">
        <f t="shared" si="58"/>
        <v>0.29492409394345992</v>
      </c>
      <c r="AH74" s="354">
        <f t="shared" si="74"/>
        <v>1.4838816769591581</v>
      </c>
      <c r="AI74" s="354">
        <f t="shared" si="75"/>
        <v>0</v>
      </c>
      <c r="AJ74" s="354">
        <f t="shared" si="76"/>
        <v>2.8102595423745482</v>
      </c>
      <c r="AK74" s="374">
        <f t="shared" si="77"/>
        <v>3.0310457030771927</v>
      </c>
      <c r="AL74" s="354">
        <f t="shared" si="59"/>
        <v>0.86841471402422987</v>
      </c>
      <c r="AM74" s="354">
        <f t="shared" si="78"/>
        <v>2.0482102501406931</v>
      </c>
      <c r="AN74" s="354">
        <f t="shared" si="79"/>
        <v>0.11442073891226992</v>
      </c>
      <c r="AO74" s="374">
        <f t="shared" si="80"/>
        <v>1.7575372442989772</v>
      </c>
      <c r="AP74" s="354">
        <f t="shared" si="60"/>
        <v>0.40302177654372723</v>
      </c>
      <c r="AQ74" s="354">
        <f t="shared" si="81"/>
        <v>1.35451546775525</v>
      </c>
      <c r="AR74" s="374">
        <f t="shared" si="82"/>
        <v>3.2062596590802133</v>
      </c>
      <c r="AS74" s="354">
        <f t="shared" si="61"/>
        <v>1.3893811568005126</v>
      </c>
      <c r="AT74" s="354">
        <f t="shared" si="83"/>
        <v>1.8168785022797009</v>
      </c>
      <c r="AU74" s="355" t="s">
        <v>396</v>
      </c>
      <c r="AV74" s="353" t="s">
        <v>404</v>
      </c>
      <c r="AW74" s="355" t="s">
        <v>405</v>
      </c>
      <c r="AX74" s="355">
        <v>117872</v>
      </c>
      <c r="AY74" s="350" t="s">
        <v>406</v>
      </c>
      <c r="AZ74" s="351">
        <v>45079</v>
      </c>
      <c r="BA74" s="351">
        <v>45079</v>
      </c>
      <c r="BB74" s="350" t="s">
        <v>407</v>
      </c>
    </row>
    <row r="75" spans="1:54" x14ac:dyDescent="0.25">
      <c r="A75" s="348" t="s">
        <v>471</v>
      </c>
      <c r="B75" s="349">
        <v>4798</v>
      </c>
      <c r="C75" s="350" t="s">
        <v>458</v>
      </c>
      <c r="D75" s="351">
        <v>45076</v>
      </c>
      <c r="E75" s="352">
        <v>3110</v>
      </c>
      <c r="F75" s="352">
        <v>1</v>
      </c>
      <c r="H75" s="350" t="s">
        <v>437</v>
      </c>
      <c r="I75" s="350" t="s">
        <v>393</v>
      </c>
      <c r="J75" s="354">
        <v>14019.3</v>
      </c>
      <c r="K75" s="350" t="s">
        <v>394</v>
      </c>
      <c r="L75" s="354">
        <v>0</v>
      </c>
      <c r="M75" s="354">
        <v>6.82</v>
      </c>
      <c r="N75" s="354" t="s">
        <v>395</v>
      </c>
      <c r="O75" s="354">
        <v>5.61</v>
      </c>
      <c r="P75" s="374">
        <f t="shared" si="53"/>
        <v>0.42971547965628148</v>
      </c>
      <c r="Q75" s="354">
        <f t="shared" si="54"/>
        <v>4.0528725135119667E-2</v>
      </c>
      <c r="R75" s="354">
        <f t="shared" si="62"/>
        <v>6.8319642890721829E-2</v>
      </c>
      <c r="S75" s="354">
        <f t="shared" si="63"/>
        <v>6.085822307827507E-2</v>
      </c>
      <c r="T75" s="354">
        <f t="shared" si="64"/>
        <v>0.25970528936405318</v>
      </c>
      <c r="U75" s="374">
        <f t="shared" si="65"/>
        <v>1.7246346722939263</v>
      </c>
      <c r="V75" s="354">
        <f t="shared" si="55"/>
        <v>4.5652314871674607E-2</v>
      </c>
      <c r="W75" s="354">
        <f t="shared" si="66"/>
        <v>1.557295013351907</v>
      </c>
      <c r="X75" s="354">
        <f t="shared" si="67"/>
        <v>0.12168734407034472</v>
      </c>
      <c r="Y75" s="374">
        <f t="shared" si="68"/>
        <v>0.25282880553303938</v>
      </c>
      <c r="Z75" s="354">
        <f t="shared" si="56"/>
        <v>0.13042427432181342</v>
      </c>
      <c r="AA75" s="354">
        <f t="shared" si="69"/>
        <v>0.12240453121122596</v>
      </c>
      <c r="AB75" s="374">
        <f t="shared" si="70"/>
        <v>1.3813038396703095</v>
      </c>
      <c r="AC75" s="354">
        <f t="shared" si="57"/>
        <v>0.39200377867965019</v>
      </c>
      <c r="AD75" s="354">
        <f t="shared" si="71"/>
        <v>0.85330514938272362</v>
      </c>
      <c r="AE75" s="354">
        <f t="shared" si="72"/>
        <v>0.13599491160793556</v>
      </c>
      <c r="AF75" s="374">
        <f t="shared" si="73"/>
        <v>1.1055254481296457</v>
      </c>
      <c r="AG75" s="354">
        <f t="shared" si="58"/>
        <v>7.1048474768435066E-2</v>
      </c>
      <c r="AH75" s="354">
        <f t="shared" si="74"/>
        <v>0.35747343825013977</v>
      </c>
      <c r="AI75" s="354">
        <f t="shared" si="75"/>
        <v>0</v>
      </c>
      <c r="AJ75" s="354">
        <f t="shared" si="76"/>
        <v>0.67700353511107092</v>
      </c>
      <c r="AK75" s="374">
        <f t="shared" si="77"/>
        <v>0.73019186488825349</v>
      </c>
      <c r="AL75" s="354">
        <f t="shared" si="59"/>
        <v>0.20920481630679083</v>
      </c>
      <c r="AM75" s="354">
        <f t="shared" si="78"/>
        <v>0.49342260353089112</v>
      </c>
      <c r="AN75" s="354">
        <f t="shared" si="79"/>
        <v>2.7564445050571564E-2</v>
      </c>
      <c r="AO75" s="374">
        <f t="shared" si="80"/>
        <v>0.42339823405577626</v>
      </c>
      <c r="AP75" s="354">
        <f t="shared" si="60"/>
        <v>9.7089668528019077E-2</v>
      </c>
      <c r="AQ75" s="354">
        <f t="shared" si="81"/>
        <v>0.32630856552775722</v>
      </c>
      <c r="AR75" s="374">
        <f t="shared" si="82"/>
        <v>0.77240165577276776</v>
      </c>
      <c r="AS75" s="354">
        <f t="shared" si="61"/>
        <v>0.33470785903848449</v>
      </c>
      <c r="AT75" s="354">
        <f t="shared" si="83"/>
        <v>0.43769379673428332</v>
      </c>
      <c r="AU75" s="355" t="s">
        <v>396</v>
      </c>
      <c r="AV75" s="353" t="s">
        <v>404</v>
      </c>
      <c r="AW75" s="355" t="s">
        <v>405</v>
      </c>
      <c r="AX75" s="355">
        <v>103328</v>
      </c>
      <c r="AY75" s="350" t="s">
        <v>406</v>
      </c>
      <c r="AZ75" s="351">
        <v>45079</v>
      </c>
      <c r="BA75" s="351">
        <v>45079</v>
      </c>
      <c r="BB75" s="350" t="s">
        <v>407</v>
      </c>
    </row>
    <row r="76" spans="1:54" x14ac:dyDescent="0.25">
      <c r="A76" s="348" t="s">
        <v>471</v>
      </c>
      <c r="B76" s="349">
        <v>4798</v>
      </c>
      <c r="C76" s="350" t="s">
        <v>458</v>
      </c>
      <c r="D76" s="351">
        <v>45076</v>
      </c>
      <c r="E76" s="352">
        <v>3110</v>
      </c>
      <c r="F76" s="352">
        <v>1</v>
      </c>
      <c r="H76" s="350" t="s">
        <v>437</v>
      </c>
      <c r="I76" s="350" t="s">
        <v>393</v>
      </c>
      <c r="J76" s="354">
        <v>19936.7</v>
      </c>
      <c r="K76" s="350" t="s">
        <v>394</v>
      </c>
      <c r="L76" s="354">
        <v>0</v>
      </c>
      <c r="M76" s="354">
        <v>9.6999999999999993</v>
      </c>
      <c r="N76" s="354" t="s">
        <v>395</v>
      </c>
      <c r="O76" s="354">
        <v>7.97</v>
      </c>
      <c r="P76" s="374">
        <f t="shared" si="53"/>
        <v>0.61117890801553221</v>
      </c>
      <c r="Q76" s="354">
        <f t="shared" si="54"/>
        <v>5.7643494693645263E-2</v>
      </c>
      <c r="R76" s="354">
        <f t="shared" si="62"/>
        <v>9.7170166574780295E-2</v>
      </c>
      <c r="S76" s="354">
        <f t="shared" si="63"/>
        <v>8.6557883263822299E-2</v>
      </c>
      <c r="T76" s="354">
        <f t="shared" si="64"/>
        <v>0.36937555818640994</v>
      </c>
      <c r="U76" s="374">
        <f t="shared" si="65"/>
        <v>2.4529261468110093</v>
      </c>
      <c r="V76" s="354">
        <f t="shared" si="55"/>
        <v>6.493071176763103E-2</v>
      </c>
      <c r="W76" s="354">
        <f t="shared" si="66"/>
        <v>2.2149210600459672</v>
      </c>
      <c r="X76" s="354">
        <f t="shared" si="67"/>
        <v>0.1730743749974111</v>
      </c>
      <c r="Y76" s="374">
        <f t="shared" si="68"/>
        <v>0.35959522194581839</v>
      </c>
      <c r="Z76" s="354">
        <f t="shared" si="56"/>
        <v>0.18550080072164071</v>
      </c>
      <c r="AA76" s="354">
        <f t="shared" si="69"/>
        <v>0.17409442122417765</v>
      </c>
      <c r="AB76" s="374">
        <f t="shared" si="70"/>
        <v>1.9646110329621702</v>
      </c>
      <c r="AC76" s="354">
        <f t="shared" si="57"/>
        <v>0.55754203125991297</v>
      </c>
      <c r="AD76" s="354">
        <f t="shared" si="71"/>
        <v>1.2136451538141377</v>
      </c>
      <c r="AE76" s="354">
        <f t="shared" si="72"/>
        <v>0.19342384788811948</v>
      </c>
      <c r="AF76" s="374">
        <f t="shared" si="73"/>
        <v>1.5723749042313142</v>
      </c>
      <c r="AG76" s="354">
        <f t="shared" si="58"/>
        <v>0.10105134974396189</v>
      </c>
      <c r="AH76" s="354">
        <f t="shared" si="74"/>
        <v>0.50842996349360059</v>
      </c>
      <c r="AI76" s="354">
        <f t="shared" si="75"/>
        <v>0</v>
      </c>
      <c r="AJ76" s="354">
        <f t="shared" si="76"/>
        <v>0.96289359099375182</v>
      </c>
      <c r="AK76" s="374">
        <f t="shared" si="77"/>
        <v>1.0385426817325598</v>
      </c>
      <c r="AL76" s="354">
        <f t="shared" si="59"/>
        <v>0.29754937216654997</v>
      </c>
      <c r="AM76" s="354">
        <f t="shared" si="78"/>
        <v>0.70178874695742566</v>
      </c>
      <c r="AN76" s="354">
        <f t="shared" si="79"/>
        <v>3.9204562608584181E-2</v>
      </c>
      <c r="AO76" s="374">
        <f t="shared" si="80"/>
        <v>0.60219396925821544</v>
      </c>
      <c r="AP76" s="354">
        <f t="shared" si="60"/>
        <v>0.13808941124952859</v>
      </c>
      <c r="AQ76" s="354">
        <f t="shared" si="81"/>
        <v>0.46410455800868688</v>
      </c>
      <c r="AR76" s="374">
        <f t="shared" si="82"/>
        <v>1.0985771350433793</v>
      </c>
      <c r="AS76" s="354">
        <f t="shared" si="61"/>
        <v>0.47605076725414947</v>
      </c>
      <c r="AT76" s="354">
        <f t="shared" si="83"/>
        <v>0.62252636778922987</v>
      </c>
      <c r="AU76" s="355" t="s">
        <v>396</v>
      </c>
      <c r="AV76" s="353" t="s">
        <v>404</v>
      </c>
      <c r="AW76" s="355" t="s">
        <v>405</v>
      </c>
      <c r="AX76" s="355">
        <v>117293</v>
      </c>
      <c r="AY76" s="350" t="s">
        <v>406</v>
      </c>
      <c r="AZ76" s="351">
        <v>45079</v>
      </c>
      <c r="BA76" s="351">
        <v>45079</v>
      </c>
      <c r="BB76" s="350" t="s">
        <v>407</v>
      </c>
    </row>
    <row r="77" spans="1:54" x14ac:dyDescent="0.25">
      <c r="A77" s="348" t="s">
        <v>471</v>
      </c>
      <c r="B77" s="349">
        <v>4798</v>
      </c>
      <c r="C77" s="350" t="s">
        <v>458</v>
      </c>
      <c r="D77" s="351">
        <v>45076</v>
      </c>
      <c r="E77" s="352">
        <v>3130</v>
      </c>
      <c r="F77" s="352">
        <v>1</v>
      </c>
      <c r="H77" s="350" t="s">
        <v>439</v>
      </c>
      <c r="I77" s="350" t="s">
        <v>393</v>
      </c>
      <c r="J77" s="354">
        <v>4387</v>
      </c>
      <c r="K77" s="350" t="s">
        <v>394</v>
      </c>
      <c r="L77" s="354">
        <v>0</v>
      </c>
      <c r="M77" s="354">
        <v>2.14</v>
      </c>
      <c r="N77" s="354" t="s">
        <v>395</v>
      </c>
      <c r="O77" s="354">
        <v>1.75</v>
      </c>
      <c r="P77" s="374">
        <f t="shared" si="53"/>
        <v>0.13483740857249887</v>
      </c>
      <c r="Q77" s="354">
        <f t="shared" si="54"/>
        <v>1.2717224602515554E-2</v>
      </c>
      <c r="R77" s="354">
        <f t="shared" si="62"/>
        <v>2.1437541904126788E-2</v>
      </c>
      <c r="S77" s="354">
        <f t="shared" si="63"/>
        <v>1.9096275276760798E-2</v>
      </c>
      <c r="T77" s="354">
        <f t="shared" si="64"/>
        <v>8.149110252772343E-2</v>
      </c>
      <c r="U77" s="374">
        <f t="shared" si="65"/>
        <v>0.54116102620366602</v>
      </c>
      <c r="V77" s="354">
        <f t="shared" si="55"/>
        <v>1.4324919915745403E-2</v>
      </c>
      <c r="W77" s="354">
        <f t="shared" si="66"/>
        <v>0.48865268747405882</v>
      </c>
      <c r="X77" s="354">
        <f t="shared" si="67"/>
        <v>3.8183418813861829E-2</v>
      </c>
      <c r="Y77" s="374">
        <f t="shared" si="68"/>
        <v>7.9333378862273346E-2</v>
      </c>
      <c r="Z77" s="354">
        <f t="shared" si="56"/>
        <v>4.092491892209394E-2</v>
      </c>
      <c r="AA77" s="354">
        <f t="shared" si="69"/>
        <v>3.8408459940179406E-2</v>
      </c>
      <c r="AB77" s="374">
        <f t="shared" si="70"/>
        <v>0.4334296505710355</v>
      </c>
      <c r="AC77" s="354">
        <f t="shared" si="57"/>
        <v>0.12300411823672308</v>
      </c>
      <c r="AD77" s="354">
        <f t="shared" si="71"/>
        <v>0.26775264218167572</v>
      </c>
      <c r="AE77" s="354">
        <f t="shared" si="72"/>
        <v>4.2672890152636665E-2</v>
      </c>
      <c r="AF77" s="374">
        <f t="shared" si="73"/>
        <v>0.3468950819644343</v>
      </c>
      <c r="AG77" s="354">
        <f t="shared" si="58"/>
        <v>2.2293802933203967E-2</v>
      </c>
      <c r="AH77" s="354">
        <f t="shared" si="74"/>
        <v>0.11216908472951602</v>
      </c>
      <c r="AI77" s="354">
        <f t="shared" si="75"/>
        <v>0</v>
      </c>
      <c r="AJ77" s="354">
        <f t="shared" si="76"/>
        <v>0.21243219430171434</v>
      </c>
      <c r="AK77" s="374">
        <f t="shared" si="77"/>
        <v>0.22912178751625548</v>
      </c>
      <c r="AL77" s="354">
        <f t="shared" si="59"/>
        <v>6.5644913034682159E-2</v>
      </c>
      <c r="AM77" s="354">
        <f t="shared" si="78"/>
        <v>0.15482762046277226</v>
      </c>
      <c r="AN77" s="354">
        <f t="shared" si="79"/>
        <v>8.6492540188010461E-3</v>
      </c>
      <c r="AO77" s="374">
        <f t="shared" si="80"/>
        <v>0.13285516435181249</v>
      </c>
      <c r="AP77" s="354">
        <f t="shared" si="60"/>
        <v>3.0465086605566103E-2</v>
      </c>
      <c r="AQ77" s="354">
        <f t="shared" si="81"/>
        <v>0.10239007774624639</v>
      </c>
      <c r="AR77" s="374">
        <f t="shared" si="82"/>
        <v>0.24236650195802389</v>
      </c>
      <c r="AS77" s="354">
        <f t="shared" si="61"/>
        <v>0.10502563318802885</v>
      </c>
      <c r="AT77" s="354">
        <f t="shared" si="83"/>
        <v>0.13734086876999504</v>
      </c>
      <c r="AU77" s="355" t="s">
        <v>396</v>
      </c>
      <c r="AV77" s="353" t="s">
        <v>404</v>
      </c>
      <c r="AW77" s="355" t="s">
        <v>405</v>
      </c>
      <c r="AX77" s="355">
        <v>102955</v>
      </c>
      <c r="AY77" s="350" t="s">
        <v>406</v>
      </c>
      <c r="AZ77" s="351">
        <v>45079</v>
      </c>
      <c r="BA77" s="351">
        <v>45079</v>
      </c>
      <c r="BB77" s="350" t="s">
        <v>407</v>
      </c>
    </row>
    <row r="78" spans="1:54" x14ac:dyDescent="0.25">
      <c r="A78" s="348" t="s">
        <v>471</v>
      </c>
      <c r="B78" s="349">
        <v>4798</v>
      </c>
      <c r="C78" s="350" t="s">
        <v>458</v>
      </c>
      <c r="D78" s="351">
        <v>45076</v>
      </c>
      <c r="E78" s="352">
        <v>3130</v>
      </c>
      <c r="F78" s="352">
        <v>1</v>
      </c>
      <c r="H78" s="350" t="s">
        <v>439</v>
      </c>
      <c r="I78" s="350" t="s">
        <v>393</v>
      </c>
      <c r="J78" s="354">
        <v>1734.6</v>
      </c>
      <c r="K78" s="350" t="s">
        <v>394</v>
      </c>
      <c r="L78" s="354">
        <v>0</v>
      </c>
      <c r="M78" s="354">
        <v>0.84</v>
      </c>
      <c r="N78" s="354" t="s">
        <v>395</v>
      </c>
      <c r="O78" s="354">
        <v>0.69</v>
      </c>
      <c r="P78" s="374">
        <f t="shared" si="53"/>
        <v>5.2926833271448155E-2</v>
      </c>
      <c r="Q78" s="354">
        <f t="shared" si="54"/>
        <v>4.9918077879033016E-3</v>
      </c>
      <c r="R78" s="354">
        <f t="shared" si="62"/>
        <v>8.4147360745170565E-3</v>
      </c>
      <c r="S78" s="354">
        <f t="shared" si="63"/>
        <v>7.4957342207846124E-3</v>
      </c>
      <c r="T78" s="354">
        <f t="shared" si="64"/>
        <v>3.198716173985406E-2</v>
      </c>
      <c r="U78" s="374">
        <f t="shared" si="65"/>
        <v>0.21241834673414928</v>
      </c>
      <c r="V78" s="354">
        <f t="shared" si="55"/>
        <v>5.6228657613206258E-3</v>
      </c>
      <c r="W78" s="354">
        <f t="shared" si="66"/>
        <v>0.19180759695243429</v>
      </c>
      <c r="X78" s="354">
        <f t="shared" si="67"/>
        <v>1.4987884020394363E-2</v>
      </c>
      <c r="Y78" s="374">
        <f t="shared" si="68"/>
        <v>3.1140204787060564E-2</v>
      </c>
      <c r="Z78" s="354">
        <f t="shared" si="56"/>
        <v>1.6063986866616312E-2</v>
      </c>
      <c r="AA78" s="354">
        <f t="shared" si="69"/>
        <v>1.5076217920444251E-2</v>
      </c>
      <c r="AB78" s="374">
        <f t="shared" si="70"/>
        <v>0.17013126471012607</v>
      </c>
      <c r="AC78" s="354">
        <f t="shared" si="57"/>
        <v>4.8281990335909991E-2</v>
      </c>
      <c r="AD78" s="354">
        <f t="shared" si="71"/>
        <v>0.10509916795916244</v>
      </c>
      <c r="AE78" s="354">
        <f t="shared" si="72"/>
        <v>1.6750106415053645E-2</v>
      </c>
      <c r="AF78" s="374">
        <f t="shared" si="73"/>
        <v>0.13616442469632001</v>
      </c>
      <c r="AG78" s="354">
        <f t="shared" si="58"/>
        <v>8.7508385345286595E-3</v>
      </c>
      <c r="AH78" s="354">
        <f t="shared" si="74"/>
        <v>4.4028986529342735E-2</v>
      </c>
      <c r="AI78" s="354">
        <f t="shared" si="75"/>
        <v>0</v>
      </c>
      <c r="AJ78" s="354">
        <f t="shared" si="76"/>
        <v>8.3384599632448625E-2</v>
      </c>
      <c r="AK78" s="374">
        <f t="shared" si="77"/>
        <v>8.9935654912922713E-2</v>
      </c>
      <c r="AL78" s="354">
        <f t="shared" si="59"/>
        <v>2.5767162125763091E-2</v>
      </c>
      <c r="AM78" s="354">
        <f t="shared" si="78"/>
        <v>6.0773458499405943E-2</v>
      </c>
      <c r="AN78" s="354">
        <f t="shared" si="79"/>
        <v>3.3950342877536819E-3</v>
      </c>
      <c r="AO78" s="374">
        <f t="shared" si="80"/>
        <v>5.2148756100711437E-2</v>
      </c>
      <c r="AP78" s="354">
        <f t="shared" si="60"/>
        <v>1.1958258293773609E-2</v>
      </c>
      <c r="AQ78" s="354">
        <f t="shared" si="81"/>
        <v>4.0190497806937828E-2</v>
      </c>
      <c r="AR78" s="374">
        <f t="shared" si="82"/>
        <v>9.5134514787261704E-2</v>
      </c>
      <c r="AS78" s="354">
        <f t="shared" si="61"/>
        <v>4.1225014896235618E-2</v>
      </c>
      <c r="AT78" s="354">
        <f t="shared" si="83"/>
        <v>5.3909499891026093E-2</v>
      </c>
      <c r="AU78" s="355" t="s">
        <v>396</v>
      </c>
      <c r="AV78" s="353" t="s">
        <v>404</v>
      </c>
      <c r="AW78" s="355" t="s">
        <v>405</v>
      </c>
      <c r="AX78" s="355">
        <v>103265</v>
      </c>
      <c r="AY78" s="350" t="s">
        <v>406</v>
      </c>
      <c r="AZ78" s="351">
        <v>45079</v>
      </c>
      <c r="BA78" s="351">
        <v>45079</v>
      </c>
      <c r="BB78" s="350" t="s">
        <v>407</v>
      </c>
    </row>
    <row r="79" spans="1:54" x14ac:dyDescent="0.25">
      <c r="A79" s="348" t="s">
        <v>471</v>
      </c>
      <c r="B79" s="349">
        <v>4798</v>
      </c>
      <c r="C79" s="350" t="s">
        <v>458</v>
      </c>
      <c r="D79" s="351">
        <v>45076</v>
      </c>
      <c r="E79" s="352">
        <v>3130</v>
      </c>
      <c r="F79" s="352">
        <v>1</v>
      </c>
      <c r="H79" s="350" t="s">
        <v>439</v>
      </c>
      <c r="I79" s="350" t="s">
        <v>393</v>
      </c>
      <c r="J79" s="354">
        <v>16289</v>
      </c>
      <c r="K79" s="350" t="s">
        <v>394</v>
      </c>
      <c r="L79" s="354">
        <v>0</v>
      </c>
      <c r="M79" s="354">
        <v>7.93</v>
      </c>
      <c r="N79" s="354" t="s">
        <v>395</v>
      </c>
      <c r="O79" s="354">
        <v>6.52</v>
      </c>
      <c r="P79" s="374">
        <f t="shared" si="53"/>
        <v>0.49965450933640937</v>
      </c>
      <c r="Q79" s="354">
        <f t="shared" si="54"/>
        <v>4.7125042569134738E-2</v>
      </c>
      <c r="R79" s="354">
        <f t="shared" si="62"/>
        <v>7.9439115560619361E-2</v>
      </c>
      <c r="S79" s="354">
        <f t="shared" si="63"/>
        <v>7.0763300441454735E-2</v>
      </c>
      <c r="T79" s="354">
        <f t="shared" si="64"/>
        <v>0.30197403880600321</v>
      </c>
      <c r="U79" s="374">
        <f t="shared" si="65"/>
        <v>2.0053303447640523</v>
      </c>
      <c r="V79" s="354">
        <f t="shared" si="55"/>
        <v>5.3082530341991153E-2</v>
      </c>
      <c r="W79" s="354">
        <f t="shared" si="66"/>
        <v>1.8107550521819096</v>
      </c>
      <c r="X79" s="354">
        <f t="shared" si="67"/>
        <v>0.14149276224015156</v>
      </c>
      <c r="Y79" s="374">
        <f t="shared" si="68"/>
        <v>0.29397836185879794</v>
      </c>
      <c r="Z79" s="354">
        <f t="shared" si="56"/>
        <v>0.15165168553841352</v>
      </c>
      <c r="AA79" s="354">
        <f t="shared" si="69"/>
        <v>0.14232667632038443</v>
      </c>
      <c r="AB79" s="374">
        <f t="shared" si="70"/>
        <v>1.6061201537515473</v>
      </c>
      <c r="AC79" s="354">
        <f t="shared" si="57"/>
        <v>0.4558049801949598</v>
      </c>
      <c r="AD79" s="354">
        <f t="shared" si="71"/>
        <v>0.992186192757331</v>
      </c>
      <c r="AE79" s="354">
        <f t="shared" si="72"/>
        <v>0.15812898079925641</v>
      </c>
      <c r="AF79" s="374">
        <f t="shared" si="73"/>
        <v>1.2854570093354971</v>
      </c>
      <c r="AG79" s="354">
        <f t="shared" si="58"/>
        <v>8.261208283191937E-2</v>
      </c>
      <c r="AH79" s="354">
        <f t="shared" si="74"/>
        <v>0.41565459902105695</v>
      </c>
      <c r="AI79" s="354">
        <f t="shared" si="75"/>
        <v>0</v>
      </c>
      <c r="AJ79" s="354">
        <f t="shared" si="76"/>
        <v>0.78719032748252082</v>
      </c>
      <c r="AK79" s="374">
        <f t="shared" si="77"/>
        <v>0.8490354088803298</v>
      </c>
      <c r="AL79" s="354">
        <f t="shared" si="59"/>
        <v>0.24325428054440631</v>
      </c>
      <c r="AM79" s="354">
        <f t="shared" si="78"/>
        <v>0.57373038797653464</v>
      </c>
      <c r="AN79" s="354">
        <f t="shared" si="79"/>
        <v>3.2050740359388923E-2</v>
      </c>
      <c r="AO79" s="374">
        <f t="shared" si="80"/>
        <v>0.49230909033171633</v>
      </c>
      <c r="AP79" s="354">
        <f t="shared" si="60"/>
        <v>0.11289165270193419</v>
      </c>
      <c r="AQ79" s="354">
        <f t="shared" si="81"/>
        <v>0.37941743762978214</v>
      </c>
      <c r="AR79" s="374">
        <f t="shared" si="82"/>
        <v>0.8981151217416492</v>
      </c>
      <c r="AS79" s="354">
        <f t="shared" si="61"/>
        <v>0.38918377157993866</v>
      </c>
      <c r="AT79" s="354">
        <f t="shared" si="83"/>
        <v>0.50893135016171065</v>
      </c>
      <c r="AU79" s="355" t="s">
        <v>396</v>
      </c>
      <c r="AV79" s="353" t="s">
        <v>404</v>
      </c>
      <c r="AW79" s="355" t="s">
        <v>405</v>
      </c>
      <c r="AX79" s="355">
        <v>117871</v>
      </c>
      <c r="AY79" s="350" t="s">
        <v>406</v>
      </c>
      <c r="AZ79" s="351">
        <v>45079</v>
      </c>
      <c r="BA79" s="351">
        <v>45079</v>
      </c>
      <c r="BB79" s="350" t="s">
        <v>407</v>
      </c>
    </row>
    <row r="80" spans="1:54" x14ac:dyDescent="0.25">
      <c r="A80" s="348" t="s">
        <v>471</v>
      </c>
      <c r="B80" s="349">
        <v>4798</v>
      </c>
      <c r="C80" s="350" t="s">
        <v>458</v>
      </c>
      <c r="D80" s="351">
        <v>45076</v>
      </c>
      <c r="E80" s="352">
        <v>3130</v>
      </c>
      <c r="F80" s="352">
        <v>1</v>
      </c>
      <c r="H80" s="350" t="s">
        <v>439</v>
      </c>
      <c r="I80" s="350" t="s">
        <v>393</v>
      </c>
      <c r="J80" s="354">
        <v>5613.5</v>
      </c>
      <c r="K80" s="350" t="s">
        <v>394</v>
      </c>
      <c r="L80" s="354">
        <v>0</v>
      </c>
      <c r="M80" s="354">
        <v>2.73</v>
      </c>
      <c r="N80" s="354" t="s">
        <v>395</v>
      </c>
      <c r="O80" s="354">
        <v>2.25</v>
      </c>
      <c r="P80" s="374">
        <f t="shared" si="53"/>
        <v>0.1720122081322065</v>
      </c>
      <c r="Q80" s="354">
        <f t="shared" si="54"/>
        <v>1.6223375310685729E-2</v>
      </c>
      <c r="R80" s="354">
        <f t="shared" si="62"/>
        <v>2.7347892242180434E-2</v>
      </c>
      <c r="S80" s="354">
        <f t="shared" si="63"/>
        <v>2.4361136217549987E-2</v>
      </c>
      <c r="T80" s="354">
        <f t="shared" si="64"/>
        <v>0.10395827565452569</v>
      </c>
      <c r="U80" s="374">
        <f t="shared" si="65"/>
        <v>0.69035962688598518</v>
      </c>
      <c r="V80" s="354">
        <f t="shared" si="55"/>
        <v>1.8274313724292036E-2</v>
      </c>
      <c r="W80" s="354">
        <f t="shared" si="66"/>
        <v>0.62337469009541147</v>
      </c>
      <c r="X80" s="354">
        <f t="shared" si="67"/>
        <v>4.8710623066281683E-2</v>
      </c>
      <c r="Y80" s="374">
        <f t="shared" si="68"/>
        <v>0.10120566555794684</v>
      </c>
      <c r="Z80" s="354">
        <f t="shared" si="56"/>
        <v>5.2207957316503018E-2</v>
      </c>
      <c r="AA80" s="354">
        <f t="shared" si="69"/>
        <v>4.8997708241443817E-2</v>
      </c>
      <c r="AB80" s="374">
        <f t="shared" si="70"/>
        <v>0.55292661030790979</v>
      </c>
      <c r="AC80" s="354">
        <f t="shared" si="57"/>
        <v>0.15691646859170749</v>
      </c>
      <c r="AD80" s="354">
        <f t="shared" si="71"/>
        <v>0.34157229586727794</v>
      </c>
      <c r="AE80" s="354">
        <f t="shared" si="72"/>
        <v>5.4437845848924346E-2</v>
      </c>
      <c r="AF80" s="374">
        <f t="shared" si="73"/>
        <v>0.44253438026303998</v>
      </c>
      <c r="AG80" s="354">
        <f t="shared" si="58"/>
        <v>2.844022523721814E-2</v>
      </c>
      <c r="AH80" s="354">
        <f t="shared" si="74"/>
        <v>0.14309420622036387</v>
      </c>
      <c r="AI80" s="354">
        <f t="shared" si="75"/>
        <v>0</v>
      </c>
      <c r="AJ80" s="354">
        <f t="shared" si="76"/>
        <v>0.27099994880545802</v>
      </c>
      <c r="AK80" s="374">
        <f t="shared" si="77"/>
        <v>0.2922908784669988</v>
      </c>
      <c r="AL80" s="354">
        <f t="shared" si="59"/>
        <v>8.3743276908730041E-2</v>
      </c>
      <c r="AM80" s="354">
        <f t="shared" si="78"/>
        <v>0.1975137401230693</v>
      </c>
      <c r="AN80" s="354">
        <f t="shared" si="79"/>
        <v>1.1033861435199466E-2</v>
      </c>
      <c r="AO80" s="374">
        <f t="shared" si="80"/>
        <v>0.16948345732731218</v>
      </c>
      <c r="AP80" s="354">
        <f t="shared" si="60"/>
        <v>3.8864339454764231E-2</v>
      </c>
      <c r="AQ80" s="354">
        <f t="shared" si="81"/>
        <v>0.13061911787254796</v>
      </c>
      <c r="AR80" s="374">
        <f t="shared" si="82"/>
        <v>0.30918717305860055</v>
      </c>
      <c r="AS80" s="354">
        <f t="shared" si="61"/>
        <v>0.13398129841276576</v>
      </c>
      <c r="AT80" s="354">
        <f t="shared" si="83"/>
        <v>0.17520587464583481</v>
      </c>
      <c r="AU80" s="355" t="s">
        <v>396</v>
      </c>
      <c r="AV80" s="353" t="s">
        <v>404</v>
      </c>
      <c r="AW80" s="355" t="s">
        <v>405</v>
      </c>
      <c r="AX80" s="355">
        <v>103321</v>
      </c>
      <c r="AY80" s="350" t="s">
        <v>406</v>
      </c>
      <c r="AZ80" s="351">
        <v>45079</v>
      </c>
      <c r="BA80" s="351">
        <v>45079</v>
      </c>
      <c r="BB80" s="350" t="s">
        <v>407</v>
      </c>
    </row>
    <row r="81" spans="1:54" x14ac:dyDescent="0.25">
      <c r="A81" s="348" t="s">
        <v>471</v>
      </c>
      <c r="B81" s="349">
        <v>4798</v>
      </c>
      <c r="C81" s="350" t="s">
        <v>458</v>
      </c>
      <c r="D81" s="351">
        <v>45076</v>
      </c>
      <c r="E81" s="352">
        <v>3130</v>
      </c>
      <c r="F81" s="352">
        <v>1</v>
      </c>
      <c r="H81" s="350" t="s">
        <v>439</v>
      </c>
      <c r="I81" s="350" t="s">
        <v>393</v>
      </c>
      <c r="J81" s="354">
        <v>1744.65</v>
      </c>
      <c r="K81" s="350" t="s">
        <v>394</v>
      </c>
      <c r="L81" s="354">
        <v>0</v>
      </c>
      <c r="M81" s="354">
        <v>0.85</v>
      </c>
      <c r="N81" s="354" t="s">
        <v>395</v>
      </c>
      <c r="O81" s="354">
        <v>0.7</v>
      </c>
      <c r="P81" s="374">
        <f t="shared" si="53"/>
        <v>5.3556914619917774E-2</v>
      </c>
      <c r="Q81" s="354">
        <f t="shared" si="54"/>
        <v>5.0512340710926265E-3</v>
      </c>
      <c r="R81" s="354">
        <f t="shared" si="62"/>
        <v>8.5149115039755939E-3</v>
      </c>
      <c r="S81" s="354">
        <f t="shared" si="63"/>
        <v>7.5849691519844289E-3</v>
      </c>
      <c r="T81" s="354">
        <f t="shared" si="64"/>
        <v>3.2367961284376127E-2</v>
      </c>
      <c r="U81" s="374">
        <f t="shared" si="65"/>
        <v>0.2149471365762225</v>
      </c>
      <c r="V81" s="354">
        <f t="shared" si="55"/>
        <v>5.6898046394315864E-3</v>
      </c>
      <c r="W81" s="354">
        <f t="shared" si="66"/>
        <v>0.19409102072567758</v>
      </c>
      <c r="X81" s="354">
        <f t="shared" si="67"/>
        <v>1.5166311211113346E-2</v>
      </c>
      <c r="Y81" s="374">
        <f t="shared" si="68"/>
        <v>3.151092151071605E-2</v>
      </c>
      <c r="Z81" s="354">
        <f t="shared" si="56"/>
        <v>1.6255224805504603E-2</v>
      </c>
      <c r="AA81" s="354">
        <f t="shared" si="69"/>
        <v>1.5255696705211446E-2</v>
      </c>
      <c r="AB81" s="374">
        <f t="shared" si="70"/>
        <v>0.17215663690905614</v>
      </c>
      <c r="AC81" s="354">
        <f t="shared" si="57"/>
        <v>4.8856775935147014E-2</v>
      </c>
      <c r="AD81" s="354">
        <f t="shared" si="71"/>
        <v>0.10635034853010485</v>
      </c>
      <c r="AE81" s="354">
        <f t="shared" si="72"/>
        <v>1.6949512443804281E-2</v>
      </c>
      <c r="AF81" s="374">
        <f t="shared" si="73"/>
        <v>0.13778542975222857</v>
      </c>
      <c r="AG81" s="354">
        <f t="shared" si="58"/>
        <v>8.8550151837492388E-3</v>
      </c>
      <c r="AH81" s="354">
        <f t="shared" si="74"/>
        <v>4.4553141130882525E-2</v>
      </c>
      <c r="AI81" s="354">
        <f t="shared" si="75"/>
        <v>0</v>
      </c>
      <c r="AJ81" s="354">
        <f t="shared" si="76"/>
        <v>8.4377273437596823E-2</v>
      </c>
      <c r="AK81" s="374">
        <f t="shared" si="77"/>
        <v>9.1006317471409887E-2</v>
      </c>
      <c r="AL81" s="354">
        <f t="shared" si="59"/>
        <v>2.60739140558317E-2</v>
      </c>
      <c r="AM81" s="354">
        <f t="shared" si="78"/>
        <v>6.1496952052970295E-2</v>
      </c>
      <c r="AN81" s="354">
        <f t="shared" si="79"/>
        <v>3.4354513626078925E-3</v>
      </c>
      <c r="AO81" s="374">
        <f t="shared" si="80"/>
        <v>5.2769574625719913E-2</v>
      </c>
      <c r="AP81" s="354">
        <f t="shared" si="60"/>
        <v>1.2100618511556629E-2</v>
      </c>
      <c r="AQ81" s="354">
        <f t="shared" si="81"/>
        <v>4.0668956114163282E-2</v>
      </c>
      <c r="AR81" s="374">
        <f t="shared" si="82"/>
        <v>9.6267068534729106E-2</v>
      </c>
      <c r="AS81" s="354">
        <f t="shared" si="61"/>
        <v>4.1715788883095566E-2</v>
      </c>
      <c r="AT81" s="354">
        <f t="shared" si="83"/>
        <v>5.4551279651633547E-2</v>
      </c>
      <c r="AU81" s="355" t="s">
        <v>396</v>
      </c>
      <c r="AV81" s="353" t="s">
        <v>404</v>
      </c>
      <c r="AW81" s="355" t="s">
        <v>405</v>
      </c>
      <c r="AX81" s="355">
        <v>117427</v>
      </c>
      <c r="AY81" s="350" t="s">
        <v>406</v>
      </c>
      <c r="AZ81" s="351">
        <v>45079</v>
      </c>
      <c r="BA81" s="351">
        <v>45079</v>
      </c>
      <c r="BB81" s="350" t="s">
        <v>407</v>
      </c>
    </row>
    <row r="82" spans="1:54" x14ac:dyDescent="0.25">
      <c r="A82" s="348" t="s">
        <v>471</v>
      </c>
      <c r="B82" s="349">
        <v>4798</v>
      </c>
      <c r="C82" s="350" t="s">
        <v>458</v>
      </c>
      <c r="D82" s="351">
        <v>45076</v>
      </c>
      <c r="E82" s="352">
        <v>3130</v>
      </c>
      <c r="F82" s="352">
        <v>1</v>
      </c>
      <c r="H82" s="350" t="s">
        <v>439</v>
      </c>
      <c r="I82" s="350" t="s">
        <v>393</v>
      </c>
      <c r="J82" s="354">
        <v>5815.5</v>
      </c>
      <c r="K82" s="350" t="s">
        <v>394</v>
      </c>
      <c r="L82" s="354">
        <v>0</v>
      </c>
      <c r="M82" s="354">
        <v>2.83</v>
      </c>
      <c r="N82" s="354" t="s">
        <v>395</v>
      </c>
      <c r="O82" s="354">
        <v>2.33</v>
      </c>
      <c r="P82" s="374">
        <f t="shared" si="53"/>
        <v>0.17831302161690271</v>
      </c>
      <c r="Q82" s="354">
        <f t="shared" si="54"/>
        <v>1.6817638142578979E-2</v>
      </c>
      <c r="R82" s="354">
        <f t="shared" si="62"/>
        <v>2.8349646536765798E-2</v>
      </c>
      <c r="S82" s="354">
        <f t="shared" si="63"/>
        <v>2.5253485529548158E-2</v>
      </c>
      <c r="T82" s="354">
        <f t="shared" si="64"/>
        <v>0.1077662710997464</v>
      </c>
      <c r="U82" s="374">
        <f t="shared" si="65"/>
        <v>0.71564752530671727</v>
      </c>
      <c r="V82" s="354">
        <f t="shared" si="55"/>
        <v>1.8943702505401634E-2</v>
      </c>
      <c r="W82" s="354">
        <f t="shared" si="66"/>
        <v>0.64620892782784423</v>
      </c>
      <c r="X82" s="354">
        <f t="shared" si="67"/>
        <v>5.0494894973471489E-2</v>
      </c>
      <c r="Y82" s="374">
        <f t="shared" si="68"/>
        <v>0.10491283279450167</v>
      </c>
      <c r="Z82" s="354">
        <f t="shared" si="56"/>
        <v>5.4120336705385907E-2</v>
      </c>
      <c r="AA82" s="354">
        <f t="shared" si="69"/>
        <v>5.0792496089115756E-2</v>
      </c>
      <c r="AB82" s="374">
        <f t="shared" si="70"/>
        <v>0.57318033229721055</v>
      </c>
      <c r="AC82" s="354">
        <f t="shared" si="57"/>
        <v>0.16266432458407773</v>
      </c>
      <c r="AD82" s="354">
        <f t="shared" si="71"/>
        <v>0.35408410157670206</v>
      </c>
      <c r="AE82" s="354">
        <f t="shared" si="72"/>
        <v>5.6431906136430739E-2</v>
      </c>
      <c r="AF82" s="374">
        <f t="shared" si="73"/>
        <v>0.45874443082212574</v>
      </c>
      <c r="AG82" s="354">
        <f t="shared" si="58"/>
        <v>2.9481991729423937E-2</v>
      </c>
      <c r="AH82" s="354">
        <f t="shared" si="74"/>
        <v>0.14833575223576184</v>
      </c>
      <c r="AI82" s="354">
        <f t="shared" si="75"/>
        <v>0</v>
      </c>
      <c r="AJ82" s="354">
        <f t="shared" si="76"/>
        <v>0.28092668685694</v>
      </c>
      <c r="AK82" s="374">
        <f t="shared" si="77"/>
        <v>0.30299750405187059</v>
      </c>
      <c r="AL82" s="354">
        <f t="shared" si="59"/>
        <v>8.6810796209416133E-2</v>
      </c>
      <c r="AM82" s="354">
        <f t="shared" si="78"/>
        <v>0.20474867565871288</v>
      </c>
      <c r="AN82" s="354">
        <f t="shared" si="79"/>
        <v>1.1438032183741573E-2</v>
      </c>
      <c r="AO82" s="374">
        <f t="shared" si="80"/>
        <v>0.17569164257739689</v>
      </c>
      <c r="AP82" s="354">
        <f t="shared" si="60"/>
        <v>4.0287941632594422E-2</v>
      </c>
      <c r="AQ82" s="354">
        <f t="shared" si="81"/>
        <v>0.13540370094480247</v>
      </c>
      <c r="AR82" s="374">
        <f t="shared" si="82"/>
        <v>0.32051271053327457</v>
      </c>
      <c r="AS82" s="354">
        <f t="shared" si="61"/>
        <v>0.13888903828136526</v>
      </c>
      <c r="AT82" s="354">
        <f t="shared" si="83"/>
        <v>0.18162367225190934</v>
      </c>
      <c r="AU82" s="355" t="s">
        <v>396</v>
      </c>
      <c r="AV82" s="353" t="s">
        <v>404</v>
      </c>
      <c r="AW82" s="355" t="s">
        <v>405</v>
      </c>
      <c r="AX82" s="355">
        <v>117872</v>
      </c>
      <c r="AY82" s="350" t="s">
        <v>406</v>
      </c>
      <c r="AZ82" s="351">
        <v>45079</v>
      </c>
      <c r="BA82" s="351">
        <v>45079</v>
      </c>
      <c r="BB82" s="350" t="s">
        <v>407</v>
      </c>
    </row>
    <row r="83" spans="1:54" x14ac:dyDescent="0.25">
      <c r="A83" s="348" t="s">
        <v>471</v>
      </c>
      <c r="B83" s="349">
        <v>4798</v>
      </c>
      <c r="C83" s="350" t="s">
        <v>458</v>
      </c>
      <c r="D83" s="351">
        <v>45076</v>
      </c>
      <c r="E83" s="352">
        <v>3130</v>
      </c>
      <c r="F83" s="352">
        <v>1</v>
      </c>
      <c r="H83" s="350" t="s">
        <v>439</v>
      </c>
      <c r="I83" s="350" t="s">
        <v>393</v>
      </c>
      <c r="J83" s="354">
        <v>1401.9</v>
      </c>
      <c r="K83" s="350" t="s">
        <v>394</v>
      </c>
      <c r="L83" s="354">
        <v>0</v>
      </c>
      <c r="M83" s="354">
        <v>0.68</v>
      </c>
      <c r="N83" s="354" t="s">
        <v>395</v>
      </c>
      <c r="O83" s="354">
        <v>0.56000000000000005</v>
      </c>
      <c r="P83" s="374">
        <f t="shared" si="53"/>
        <v>4.2845531695934226E-2</v>
      </c>
      <c r="Q83" s="354">
        <f t="shared" si="54"/>
        <v>4.0409872568741021E-3</v>
      </c>
      <c r="R83" s="354">
        <f t="shared" si="62"/>
        <v>6.8119292031804755E-3</v>
      </c>
      <c r="S83" s="354">
        <f t="shared" si="63"/>
        <v>6.0679753215875437E-3</v>
      </c>
      <c r="T83" s="354">
        <f t="shared" si="64"/>
        <v>2.5894369027500908E-2</v>
      </c>
      <c r="U83" s="374">
        <f t="shared" si="65"/>
        <v>0.171957709260978</v>
      </c>
      <c r="V83" s="354">
        <f t="shared" si="55"/>
        <v>4.5518437115452687E-3</v>
      </c>
      <c r="W83" s="354">
        <f t="shared" si="66"/>
        <v>0.15527281658054207</v>
      </c>
      <c r="X83" s="354">
        <f t="shared" si="67"/>
        <v>1.2133048968890676E-2</v>
      </c>
      <c r="Y83" s="374">
        <f t="shared" si="68"/>
        <v>2.5208737208572841E-2</v>
      </c>
      <c r="Z83" s="354">
        <f t="shared" si="56"/>
        <v>1.3004179844403682E-2</v>
      </c>
      <c r="AA83" s="354">
        <f t="shared" si="69"/>
        <v>1.2204557364169158E-2</v>
      </c>
      <c r="AB83" s="374">
        <f t="shared" si="70"/>
        <v>0.13772530952724493</v>
      </c>
      <c r="AC83" s="354">
        <f t="shared" si="57"/>
        <v>3.9085420748117619E-2</v>
      </c>
      <c r="AD83" s="354">
        <f t="shared" si="71"/>
        <v>8.508027882408388E-2</v>
      </c>
      <c r="AE83" s="354">
        <f t="shared" si="72"/>
        <v>1.3559609955043428E-2</v>
      </c>
      <c r="AF83" s="374">
        <f t="shared" si="73"/>
        <v>0.11022834380178287</v>
      </c>
      <c r="AG83" s="354">
        <f t="shared" si="58"/>
        <v>7.0840121469993916E-3</v>
      </c>
      <c r="AH83" s="354">
        <f t="shared" si="74"/>
        <v>3.5642512904706027E-2</v>
      </c>
      <c r="AI83" s="354">
        <f t="shared" si="75"/>
        <v>0</v>
      </c>
      <c r="AJ83" s="354">
        <f t="shared" si="76"/>
        <v>6.7501818750077464E-2</v>
      </c>
      <c r="AK83" s="374">
        <f t="shared" si="77"/>
        <v>7.2805053977127915E-2</v>
      </c>
      <c r="AL83" s="354">
        <f t="shared" si="59"/>
        <v>2.085913124466536E-2</v>
      </c>
      <c r="AM83" s="354">
        <f t="shared" si="78"/>
        <v>4.9197561642376243E-2</v>
      </c>
      <c r="AN83" s="354">
        <f t="shared" si="79"/>
        <v>2.7483610900863142E-3</v>
      </c>
      <c r="AO83" s="374">
        <f t="shared" si="80"/>
        <v>4.2215659700575933E-2</v>
      </c>
      <c r="AP83" s="354">
        <f t="shared" si="60"/>
        <v>9.680494809245304E-3</v>
      </c>
      <c r="AQ83" s="354">
        <f t="shared" si="81"/>
        <v>3.2535164891330633E-2</v>
      </c>
      <c r="AR83" s="374">
        <f t="shared" si="82"/>
        <v>7.7013654827783301E-2</v>
      </c>
      <c r="AS83" s="354">
        <f t="shared" si="61"/>
        <v>3.3372631106476459E-2</v>
      </c>
      <c r="AT83" s="354">
        <f t="shared" si="83"/>
        <v>4.3641023721306842E-2</v>
      </c>
      <c r="AU83" s="355" t="s">
        <v>396</v>
      </c>
      <c r="AV83" s="353" t="s">
        <v>404</v>
      </c>
      <c r="AW83" s="355" t="s">
        <v>405</v>
      </c>
      <c r="AX83" s="355">
        <v>103328</v>
      </c>
      <c r="AY83" s="350" t="s">
        <v>406</v>
      </c>
      <c r="AZ83" s="351">
        <v>45079</v>
      </c>
      <c r="BA83" s="351">
        <v>45079</v>
      </c>
      <c r="BB83" s="350" t="s">
        <v>407</v>
      </c>
    </row>
    <row r="84" spans="1:54" x14ac:dyDescent="0.25">
      <c r="A84" s="348" t="s">
        <v>471</v>
      </c>
      <c r="B84" s="349">
        <v>4798</v>
      </c>
      <c r="C84" s="350" t="s">
        <v>458</v>
      </c>
      <c r="D84" s="351">
        <v>45076</v>
      </c>
      <c r="E84" s="352">
        <v>3130</v>
      </c>
      <c r="F84" s="352">
        <v>1</v>
      </c>
      <c r="H84" s="350" t="s">
        <v>439</v>
      </c>
      <c r="I84" s="350" t="s">
        <v>393</v>
      </c>
      <c r="J84" s="354">
        <v>1983.7</v>
      </c>
      <c r="K84" s="350" t="s">
        <v>394</v>
      </c>
      <c r="L84" s="354">
        <v>0</v>
      </c>
      <c r="M84" s="354">
        <v>0.97</v>
      </c>
      <c r="N84" s="354" t="s">
        <v>395</v>
      </c>
      <c r="O84" s="354">
        <v>0.79</v>
      </c>
      <c r="P84" s="374">
        <f t="shared" si="53"/>
        <v>6.1117890801553228E-2</v>
      </c>
      <c r="Q84" s="354">
        <f t="shared" si="54"/>
        <v>5.7643494693645266E-3</v>
      </c>
      <c r="R84" s="354">
        <f t="shared" si="62"/>
        <v>9.7170166574780305E-3</v>
      </c>
      <c r="S84" s="354">
        <f t="shared" si="63"/>
        <v>8.6557883263822313E-3</v>
      </c>
      <c r="T84" s="354">
        <f t="shared" si="64"/>
        <v>3.6937555818640999E-2</v>
      </c>
      <c r="U84" s="374">
        <f t="shared" si="65"/>
        <v>0.24529261468110095</v>
      </c>
      <c r="V84" s="354">
        <f t="shared" si="55"/>
        <v>6.4930711767631037E-3</v>
      </c>
      <c r="W84" s="354">
        <f t="shared" si="66"/>
        <v>0.22149210600459673</v>
      </c>
      <c r="X84" s="354">
        <f t="shared" si="67"/>
        <v>1.7307437499741112E-2</v>
      </c>
      <c r="Y84" s="374">
        <f t="shared" si="68"/>
        <v>3.5959522194581844E-2</v>
      </c>
      <c r="Z84" s="354">
        <f t="shared" si="56"/>
        <v>1.8550080072164073E-2</v>
      </c>
      <c r="AA84" s="354">
        <f t="shared" si="69"/>
        <v>1.7409442122417768E-2</v>
      </c>
      <c r="AB84" s="374">
        <f t="shared" si="70"/>
        <v>0.19646110329621702</v>
      </c>
      <c r="AC84" s="354">
        <f t="shared" si="57"/>
        <v>5.5754203125991303E-2</v>
      </c>
      <c r="AD84" s="354">
        <f t="shared" si="71"/>
        <v>0.12136451538141377</v>
      </c>
      <c r="AE84" s="354">
        <f t="shared" si="72"/>
        <v>1.9342384788811947E-2</v>
      </c>
      <c r="AF84" s="374">
        <f t="shared" si="73"/>
        <v>0.15723749042313143</v>
      </c>
      <c r="AG84" s="354">
        <f t="shared" si="58"/>
        <v>1.0105134974396189E-2</v>
      </c>
      <c r="AH84" s="354">
        <f t="shared" si="74"/>
        <v>5.0842996349360056E-2</v>
      </c>
      <c r="AI84" s="354">
        <f t="shared" si="75"/>
        <v>0</v>
      </c>
      <c r="AJ84" s="354">
        <f t="shared" si="76"/>
        <v>9.6289359099375194E-2</v>
      </c>
      <c r="AK84" s="374">
        <f t="shared" si="77"/>
        <v>0.10385426817325598</v>
      </c>
      <c r="AL84" s="354">
        <f t="shared" si="59"/>
        <v>2.9754937216654995E-2</v>
      </c>
      <c r="AM84" s="354">
        <f t="shared" si="78"/>
        <v>7.0178874695742563E-2</v>
      </c>
      <c r="AN84" s="354">
        <f t="shared" si="79"/>
        <v>3.9204562608584183E-3</v>
      </c>
      <c r="AO84" s="374">
        <f t="shared" si="80"/>
        <v>6.0219396925821546E-2</v>
      </c>
      <c r="AP84" s="354">
        <f t="shared" si="60"/>
        <v>1.3808941124952859E-2</v>
      </c>
      <c r="AQ84" s="354">
        <f t="shared" si="81"/>
        <v>4.6410455800868687E-2</v>
      </c>
      <c r="AR84" s="374">
        <f t="shared" si="82"/>
        <v>0.10985771350433793</v>
      </c>
      <c r="AS84" s="354">
        <f t="shared" si="61"/>
        <v>4.7605076725414947E-2</v>
      </c>
      <c r="AT84" s="354">
        <f t="shared" si="83"/>
        <v>6.2252636778922989E-2</v>
      </c>
      <c r="AU84" s="355" t="s">
        <v>396</v>
      </c>
      <c r="AV84" s="353" t="s">
        <v>404</v>
      </c>
      <c r="AW84" s="355" t="s">
        <v>405</v>
      </c>
      <c r="AX84" s="355">
        <v>117293</v>
      </c>
      <c r="AY84" s="350" t="s">
        <v>406</v>
      </c>
      <c r="AZ84" s="351">
        <v>45079</v>
      </c>
      <c r="BA84" s="351">
        <v>45079</v>
      </c>
      <c r="BB84" s="350" t="s">
        <v>407</v>
      </c>
    </row>
    <row r="85" spans="1:54" x14ac:dyDescent="0.25">
      <c r="A85" s="348" t="s">
        <v>471</v>
      </c>
      <c r="B85" s="349">
        <v>4799</v>
      </c>
      <c r="C85" s="350" t="s">
        <v>458</v>
      </c>
      <c r="D85" s="351">
        <v>45076</v>
      </c>
      <c r="E85" s="352">
        <v>3130</v>
      </c>
      <c r="F85" s="352">
        <v>1</v>
      </c>
      <c r="H85" s="350" t="s">
        <v>439</v>
      </c>
      <c r="I85" s="350" t="s">
        <v>393</v>
      </c>
      <c r="J85" s="354">
        <v>152447.5</v>
      </c>
      <c r="K85" s="350" t="s">
        <v>394</v>
      </c>
      <c r="L85" s="354">
        <v>0</v>
      </c>
      <c r="M85" s="354">
        <v>74.209999999999994</v>
      </c>
      <c r="N85" s="354" t="s">
        <v>395</v>
      </c>
      <c r="O85" s="354">
        <v>60.98</v>
      </c>
      <c r="P85" s="374">
        <f t="shared" si="53"/>
        <v>4.6758336869930561</v>
      </c>
      <c r="Q85" s="354">
        <f t="shared" si="54"/>
        <v>0.4410024475479809</v>
      </c>
      <c r="R85" s="354">
        <f t="shared" si="62"/>
        <v>0.74340186201179848</v>
      </c>
      <c r="S85" s="354">
        <f t="shared" si="63"/>
        <v>0.66221242443384043</v>
      </c>
      <c r="T85" s="354">
        <f t="shared" si="64"/>
        <v>2.8259134198982969</v>
      </c>
      <c r="U85" s="374">
        <f t="shared" si="65"/>
        <v>18.766149418025257</v>
      </c>
      <c r="V85" s="354">
        <f t="shared" si="55"/>
        <v>0.49675341446143284</v>
      </c>
      <c r="W85" s="354">
        <f t="shared" si="66"/>
        <v>16.945287821238271</v>
      </c>
      <c r="X85" s="354">
        <f t="shared" si="67"/>
        <v>1.3241081823255543</v>
      </c>
      <c r="Y85" s="374">
        <f t="shared" si="68"/>
        <v>2.7510888062473384</v>
      </c>
      <c r="Z85" s="354">
        <f t="shared" si="56"/>
        <v>1.4191767444899956</v>
      </c>
      <c r="AA85" s="354">
        <f t="shared" si="69"/>
        <v>1.3319120617573426</v>
      </c>
      <c r="AB85" s="374">
        <f t="shared" si="70"/>
        <v>15.030287088260065</v>
      </c>
      <c r="AC85" s="354">
        <f t="shared" si="57"/>
        <v>4.2654839319379523</v>
      </c>
      <c r="AD85" s="354">
        <f t="shared" si="71"/>
        <v>9.2850110169636242</v>
      </c>
      <c r="AE85" s="354">
        <f t="shared" si="72"/>
        <v>1.4797921393584892</v>
      </c>
      <c r="AF85" s="374">
        <f t="shared" si="73"/>
        <v>12.029478519897507</v>
      </c>
      <c r="AG85" s="354">
        <f t="shared" si="58"/>
        <v>0.77309491386591878</v>
      </c>
      <c r="AH85" s="354">
        <f t="shared" si="74"/>
        <v>3.8897512980268143</v>
      </c>
      <c r="AI85" s="354">
        <f t="shared" si="75"/>
        <v>0</v>
      </c>
      <c r="AJ85" s="354">
        <f t="shared" si="76"/>
        <v>7.3666323080047755</v>
      </c>
      <c r="AK85" s="374">
        <f t="shared" si="77"/>
        <v>7.9453868465333262</v>
      </c>
      <c r="AL85" s="354">
        <f t="shared" si="59"/>
        <v>2.2764060730391416</v>
      </c>
      <c r="AM85" s="354">
        <f t="shared" si="78"/>
        <v>5.3690456610010884</v>
      </c>
      <c r="AN85" s="354">
        <f t="shared" si="79"/>
        <v>0.29993511249309612</v>
      </c>
      <c r="AO85" s="374">
        <f t="shared" si="80"/>
        <v>4.607094274087852</v>
      </c>
      <c r="AP85" s="354">
        <f t="shared" si="60"/>
        <v>1.0564551761677852</v>
      </c>
      <c r="AQ85" s="354">
        <f t="shared" si="81"/>
        <v>3.550639097920067</v>
      </c>
      <c r="AR85" s="374">
        <f t="shared" si="82"/>
        <v>8.4046813599555854</v>
      </c>
      <c r="AS85" s="354">
        <f t="shared" si="61"/>
        <v>3.6420337564876735</v>
      </c>
      <c r="AT85" s="354">
        <f t="shared" si="83"/>
        <v>4.7626476034679124</v>
      </c>
      <c r="AU85" s="355" t="s">
        <v>396</v>
      </c>
      <c r="AV85" s="353" t="s">
        <v>404</v>
      </c>
      <c r="AW85" s="355" t="s">
        <v>405</v>
      </c>
      <c r="AX85" s="355">
        <v>102955</v>
      </c>
      <c r="AY85" s="350" t="s">
        <v>406</v>
      </c>
      <c r="AZ85" s="351">
        <v>45082</v>
      </c>
      <c r="BA85" s="351">
        <v>45082</v>
      </c>
      <c r="BB85" s="350" t="s">
        <v>407</v>
      </c>
    </row>
    <row r="86" spans="1:54" x14ac:dyDescent="0.25">
      <c r="A86" s="348" t="s">
        <v>471</v>
      </c>
      <c r="B86" s="349">
        <v>4799</v>
      </c>
      <c r="C86" s="350" t="s">
        <v>458</v>
      </c>
      <c r="D86" s="351">
        <v>45076</v>
      </c>
      <c r="E86" s="352">
        <v>3130</v>
      </c>
      <c r="F86" s="352">
        <v>1</v>
      </c>
      <c r="H86" s="350" t="s">
        <v>439</v>
      </c>
      <c r="I86" s="350" t="s">
        <v>393</v>
      </c>
      <c r="J86" s="354">
        <v>55502.85</v>
      </c>
      <c r="K86" s="350" t="s">
        <v>394</v>
      </c>
      <c r="L86" s="354">
        <v>0</v>
      </c>
      <c r="M86" s="354">
        <v>27.02</v>
      </c>
      <c r="N86" s="354" t="s">
        <v>395</v>
      </c>
      <c r="O86" s="354">
        <v>22.2</v>
      </c>
      <c r="P86" s="374">
        <f t="shared" si="53"/>
        <v>1.7024798035649156</v>
      </c>
      <c r="Q86" s="354">
        <f t="shared" si="54"/>
        <v>0.1605698171775562</v>
      </c>
      <c r="R86" s="354">
        <f t="shared" si="62"/>
        <v>0.27067401039696531</v>
      </c>
      <c r="S86" s="354">
        <f t="shared" si="63"/>
        <v>0.24111278410190501</v>
      </c>
      <c r="T86" s="354">
        <f t="shared" si="64"/>
        <v>1.0289203692986388</v>
      </c>
      <c r="U86" s="374">
        <f t="shared" si="65"/>
        <v>6.8327901532818016</v>
      </c>
      <c r="V86" s="354">
        <f t="shared" si="55"/>
        <v>0.18086884865581346</v>
      </c>
      <c r="W86" s="354">
        <f t="shared" si="66"/>
        <v>6.1698110353033035</v>
      </c>
      <c r="X86" s="354">
        <f t="shared" si="67"/>
        <v>0.48211026932268536</v>
      </c>
      <c r="Y86" s="374">
        <f t="shared" si="68"/>
        <v>1.001676587317115</v>
      </c>
      <c r="Z86" s="354">
        <f t="shared" si="56"/>
        <v>0.51672491087615813</v>
      </c>
      <c r="AA86" s="354">
        <f t="shared" si="69"/>
        <v>0.48495167644095682</v>
      </c>
      <c r="AB86" s="374">
        <f t="shared" si="70"/>
        <v>5.4725556815090552</v>
      </c>
      <c r="AC86" s="354">
        <f t="shared" si="57"/>
        <v>1.553070689138438</v>
      </c>
      <c r="AD86" s="354">
        <f t="shared" si="71"/>
        <v>3.3806899026863917</v>
      </c>
      <c r="AE86" s="354">
        <f t="shared" si="72"/>
        <v>0.53879508968422551</v>
      </c>
      <c r="AF86" s="374">
        <f t="shared" si="73"/>
        <v>4.3799556610649599</v>
      </c>
      <c r="AG86" s="354">
        <f t="shared" si="58"/>
        <v>0.28148530619400519</v>
      </c>
      <c r="AH86" s="354">
        <f t="shared" si="74"/>
        <v>1.4162657333605246</v>
      </c>
      <c r="AI86" s="354">
        <f t="shared" si="75"/>
        <v>0</v>
      </c>
      <c r="AJ86" s="354">
        <f t="shared" si="76"/>
        <v>2.6822046215104307</v>
      </c>
      <c r="AK86" s="374">
        <f t="shared" si="77"/>
        <v>2.892930233032347</v>
      </c>
      <c r="AL86" s="354">
        <f t="shared" si="59"/>
        <v>0.82884371504537935</v>
      </c>
      <c r="AM86" s="354">
        <f t="shared" si="78"/>
        <v>1.9548795817308908</v>
      </c>
      <c r="AN86" s="354">
        <f t="shared" si="79"/>
        <v>0.10920693625607676</v>
      </c>
      <c r="AO86" s="374">
        <f t="shared" si="80"/>
        <v>1.6774516545728846</v>
      </c>
      <c r="AP86" s="354">
        <f t="shared" si="60"/>
        <v>0.38465730844971774</v>
      </c>
      <c r="AQ86" s="354">
        <f t="shared" si="81"/>
        <v>1.2927943461231668</v>
      </c>
      <c r="AR86" s="374">
        <f t="shared" si="82"/>
        <v>3.0601602256569183</v>
      </c>
      <c r="AS86" s="354">
        <f t="shared" si="61"/>
        <v>1.3260713124955792</v>
      </c>
      <c r="AT86" s="354">
        <f t="shared" si="83"/>
        <v>1.7340889131613393</v>
      </c>
      <c r="AU86" s="355" t="s">
        <v>396</v>
      </c>
      <c r="AV86" s="353" t="s">
        <v>404</v>
      </c>
      <c r="AW86" s="355" t="s">
        <v>405</v>
      </c>
      <c r="AX86" s="355">
        <v>103265</v>
      </c>
      <c r="AY86" s="350" t="s">
        <v>406</v>
      </c>
      <c r="AZ86" s="351">
        <v>45082</v>
      </c>
      <c r="BA86" s="351">
        <v>45082</v>
      </c>
      <c r="BB86" s="350" t="s">
        <v>407</v>
      </c>
    </row>
    <row r="87" spans="1:54" x14ac:dyDescent="0.25">
      <c r="A87" s="348" t="s">
        <v>471</v>
      </c>
      <c r="B87" s="349">
        <v>4799</v>
      </c>
      <c r="C87" s="350" t="s">
        <v>458</v>
      </c>
      <c r="D87" s="351">
        <v>45076</v>
      </c>
      <c r="E87" s="352">
        <v>3130</v>
      </c>
      <c r="F87" s="352">
        <v>1</v>
      </c>
      <c r="H87" s="350" t="s">
        <v>439</v>
      </c>
      <c r="I87" s="350" t="s">
        <v>393</v>
      </c>
      <c r="J87" s="354">
        <v>532244</v>
      </c>
      <c r="K87" s="350" t="s">
        <v>394</v>
      </c>
      <c r="L87" s="354">
        <v>0</v>
      </c>
      <c r="M87" s="354">
        <v>259.08999999999997</v>
      </c>
      <c r="N87" s="354" t="s">
        <v>395</v>
      </c>
      <c r="O87" s="354">
        <v>212.9</v>
      </c>
      <c r="P87" s="374">
        <f t="shared" si="53"/>
        <v>16.324777657499407</v>
      </c>
      <c r="Q87" s="354">
        <f t="shared" si="54"/>
        <v>1.5396755711522219</v>
      </c>
      <c r="R87" s="354">
        <f t="shared" si="62"/>
        <v>2.5954452018412191</v>
      </c>
      <c r="S87" s="354">
        <f t="shared" si="63"/>
        <v>2.3119878324560537</v>
      </c>
      <c r="T87" s="354">
        <f t="shared" si="64"/>
        <v>9.8661353990223652</v>
      </c>
      <c r="U87" s="374">
        <f t="shared" si="65"/>
        <v>65.518416018274678</v>
      </c>
      <c r="V87" s="354">
        <f t="shared" si="55"/>
        <v>1.7343193929768581</v>
      </c>
      <c r="W87" s="354">
        <f t="shared" si="66"/>
        <v>59.16122654095976</v>
      </c>
      <c r="X87" s="354">
        <f t="shared" si="67"/>
        <v>4.6228700843380661</v>
      </c>
      <c r="Y87" s="374">
        <f t="shared" si="68"/>
        <v>9.6048995931899057</v>
      </c>
      <c r="Z87" s="354">
        <f t="shared" si="56"/>
        <v>4.9547837586566903</v>
      </c>
      <c r="AA87" s="354">
        <f t="shared" si="69"/>
        <v>4.6501158345332154</v>
      </c>
      <c r="AB87" s="374">
        <f t="shared" si="70"/>
        <v>52.475368302079239</v>
      </c>
      <c r="AC87" s="354">
        <f t="shared" si="57"/>
        <v>14.892120090632046</v>
      </c>
      <c r="AD87" s="354">
        <f t="shared" si="71"/>
        <v>32.416837412546897</v>
      </c>
      <c r="AE87" s="354">
        <f t="shared" si="72"/>
        <v>5.1664107989002961</v>
      </c>
      <c r="AF87" s="374">
        <f t="shared" si="73"/>
        <v>41.998619993535172</v>
      </c>
      <c r="AG87" s="354">
        <f t="shared" si="58"/>
        <v>2.699112804655988</v>
      </c>
      <c r="AH87" s="354">
        <f t="shared" si="74"/>
        <v>13.580321571294533</v>
      </c>
      <c r="AI87" s="354">
        <f t="shared" si="75"/>
        <v>0</v>
      </c>
      <c r="AJ87" s="354">
        <f t="shared" si="76"/>
        <v>25.719185617584653</v>
      </c>
      <c r="AK87" s="374">
        <f t="shared" si="77"/>
        <v>27.739796227844217</v>
      </c>
      <c r="AL87" s="354">
        <f t="shared" si="59"/>
        <v>7.9476357561475695</v>
      </c>
      <c r="AM87" s="354">
        <f t="shared" si="78"/>
        <v>18.744994479298906</v>
      </c>
      <c r="AN87" s="354">
        <f t="shared" si="79"/>
        <v>1.0471659923977397</v>
      </c>
      <c r="AO87" s="374">
        <f t="shared" si="80"/>
        <v>16.084787164444435</v>
      </c>
      <c r="AP87" s="354">
        <f t="shared" si="60"/>
        <v>3.6884108825402429</v>
      </c>
      <c r="AQ87" s="354">
        <f t="shared" si="81"/>
        <v>12.396376281904192</v>
      </c>
      <c r="AR87" s="374">
        <f t="shared" si="82"/>
        <v>29.3433350431329</v>
      </c>
      <c r="AS87" s="354">
        <f t="shared" si="61"/>
        <v>12.715463225554389</v>
      </c>
      <c r="AT87" s="354">
        <f t="shared" si="83"/>
        <v>16.627871817578512</v>
      </c>
      <c r="AU87" s="355" t="s">
        <v>396</v>
      </c>
      <c r="AV87" s="353" t="s">
        <v>404</v>
      </c>
      <c r="AW87" s="355" t="s">
        <v>405</v>
      </c>
      <c r="AX87" s="355">
        <v>117871</v>
      </c>
      <c r="AY87" s="350" t="s">
        <v>406</v>
      </c>
      <c r="AZ87" s="351">
        <v>45082</v>
      </c>
      <c r="BA87" s="351">
        <v>45082</v>
      </c>
      <c r="BB87" s="350" t="s">
        <v>407</v>
      </c>
    </row>
    <row r="88" spans="1:54" x14ac:dyDescent="0.25">
      <c r="A88" s="348" t="s">
        <v>471</v>
      </c>
      <c r="B88" s="349">
        <v>4799</v>
      </c>
      <c r="C88" s="350" t="s">
        <v>458</v>
      </c>
      <c r="D88" s="351">
        <v>45076</v>
      </c>
      <c r="E88" s="352">
        <v>3130</v>
      </c>
      <c r="F88" s="352">
        <v>1</v>
      </c>
      <c r="H88" s="350" t="s">
        <v>439</v>
      </c>
      <c r="I88" s="350" t="s">
        <v>393</v>
      </c>
      <c r="J88" s="354">
        <v>286764.79999999999</v>
      </c>
      <c r="K88" s="350" t="s">
        <v>394</v>
      </c>
      <c r="L88" s="354">
        <v>0</v>
      </c>
      <c r="M88" s="354">
        <v>139.59</v>
      </c>
      <c r="N88" s="354" t="s">
        <v>395</v>
      </c>
      <c r="O88" s="354">
        <v>114.71</v>
      </c>
      <c r="P88" s="374">
        <f t="shared" si="53"/>
        <v>8.795305543287439</v>
      </c>
      <c r="Q88" s="354">
        <f t="shared" si="54"/>
        <v>0.82953148703978796</v>
      </c>
      <c r="R88" s="354">
        <f t="shared" si="62"/>
        <v>1.3983488198117096</v>
      </c>
      <c r="S88" s="354">
        <f t="shared" si="63"/>
        <v>1.2456304046182429</v>
      </c>
      <c r="T88" s="354">
        <f t="shared" si="64"/>
        <v>5.3155808419836053</v>
      </c>
      <c r="U88" s="374">
        <f t="shared" si="65"/>
        <v>35.299377405499882</v>
      </c>
      <c r="V88" s="354">
        <f t="shared" si="55"/>
        <v>0.93439979955088837</v>
      </c>
      <c r="W88" s="354">
        <f t="shared" si="66"/>
        <v>31.874312450702746</v>
      </c>
      <c r="X88" s="354">
        <f t="shared" si="67"/>
        <v>2.4906651552462495</v>
      </c>
      <c r="Y88" s="374">
        <f t="shared" si="68"/>
        <v>5.1748347455068862</v>
      </c>
      <c r="Z88" s="354">
        <f t="shared" si="56"/>
        <v>2.6694903889416319</v>
      </c>
      <c r="AA88" s="354">
        <f t="shared" si="69"/>
        <v>2.5053443565652538</v>
      </c>
      <c r="AB88" s="374">
        <f t="shared" si="70"/>
        <v>28.272170524864883</v>
      </c>
      <c r="AC88" s="354">
        <f t="shared" si="57"/>
        <v>8.0234321797496158</v>
      </c>
      <c r="AD88" s="354">
        <f t="shared" si="71"/>
        <v>17.465229589785103</v>
      </c>
      <c r="AE88" s="354">
        <f t="shared" si="72"/>
        <v>2.783508755330165</v>
      </c>
      <c r="AF88" s="374">
        <f t="shared" si="73"/>
        <v>22.627609575427751</v>
      </c>
      <c r="AG88" s="354">
        <f t="shared" si="58"/>
        <v>1.4542018464700663</v>
      </c>
      <c r="AH88" s="354">
        <f t="shared" si="74"/>
        <v>7.3166740828939911</v>
      </c>
      <c r="AI88" s="354">
        <f t="shared" si="75"/>
        <v>0</v>
      </c>
      <c r="AJ88" s="354">
        <f t="shared" si="76"/>
        <v>13.856733646063695</v>
      </c>
      <c r="AK88" s="374">
        <f t="shared" si="77"/>
        <v>14.945378653922479</v>
      </c>
      <c r="AL88" s="354">
        <f t="shared" si="59"/>
        <v>4.2819501918277023</v>
      </c>
      <c r="AM88" s="354">
        <f t="shared" si="78"/>
        <v>10.099246514204852</v>
      </c>
      <c r="AN88" s="354">
        <f t="shared" si="79"/>
        <v>0.56418194788992437</v>
      </c>
      <c r="AO88" s="374">
        <f t="shared" si="80"/>
        <v>8.6660057905932266</v>
      </c>
      <c r="AP88" s="354">
        <f t="shared" si="60"/>
        <v>1.9872062800331645</v>
      </c>
      <c r="AQ88" s="354">
        <f t="shared" si="81"/>
        <v>6.6787995105600624</v>
      </c>
      <c r="AR88" s="374">
        <f t="shared" si="82"/>
        <v>15.809317760897455</v>
      </c>
      <c r="AS88" s="354">
        <f t="shared" si="61"/>
        <v>6.8507140825780128</v>
      </c>
      <c r="AT88" s="354">
        <f t="shared" si="83"/>
        <v>8.9586036783194434</v>
      </c>
      <c r="AU88" s="355" t="s">
        <v>396</v>
      </c>
      <c r="AV88" s="353" t="s">
        <v>404</v>
      </c>
      <c r="AW88" s="355" t="s">
        <v>405</v>
      </c>
      <c r="AX88" s="355">
        <v>103321</v>
      </c>
      <c r="AY88" s="350" t="s">
        <v>406</v>
      </c>
      <c r="AZ88" s="351">
        <v>45082</v>
      </c>
      <c r="BA88" s="351">
        <v>45082</v>
      </c>
      <c r="BB88" s="350" t="s">
        <v>407</v>
      </c>
    </row>
    <row r="89" spans="1:54" x14ac:dyDescent="0.25">
      <c r="A89" s="348" t="s">
        <v>471</v>
      </c>
      <c r="B89" s="349">
        <v>4799</v>
      </c>
      <c r="C89" s="350" t="s">
        <v>458</v>
      </c>
      <c r="D89" s="351">
        <v>45076</v>
      </c>
      <c r="E89" s="352">
        <v>3130</v>
      </c>
      <c r="F89" s="352">
        <v>1</v>
      </c>
      <c r="H89" s="350" t="s">
        <v>439</v>
      </c>
      <c r="I89" s="350" t="s">
        <v>393</v>
      </c>
      <c r="J89" s="354">
        <v>55848.3</v>
      </c>
      <c r="K89" s="350" t="s">
        <v>394</v>
      </c>
      <c r="L89" s="354">
        <v>0</v>
      </c>
      <c r="M89" s="354">
        <v>27.19</v>
      </c>
      <c r="N89" s="354" t="s">
        <v>395</v>
      </c>
      <c r="O89" s="354">
        <v>22.34</v>
      </c>
      <c r="P89" s="374">
        <f t="shared" si="53"/>
        <v>1.7131911864888993</v>
      </c>
      <c r="Q89" s="354">
        <f t="shared" si="54"/>
        <v>0.16158006399177474</v>
      </c>
      <c r="R89" s="354">
        <f t="shared" si="62"/>
        <v>0.2723769926977605</v>
      </c>
      <c r="S89" s="354">
        <f t="shared" si="63"/>
        <v>0.24262977793230192</v>
      </c>
      <c r="T89" s="354">
        <f t="shared" si="64"/>
        <v>1.0353939615555141</v>
      </c>
      <c r="U89" s="374">
        <f t="shared" si="65"/>
        <v>6.8757795805970465</v>
      </c>
      <c r="V89" s="354">
        <f t="shared" si="55"/>
        <v>0.1820068095836998</v>
      </c>
      <c r="W89" s="354">
        <f t="shared" si="66"/>
        <v>6.208629239448439</v>
      </c>
      <c r="X89" s="354">
        <f t="shared" si="67"/>
        <v>0.48514353156490808</v>
      </c>
      <c r="Y89" s="374">
        <f t="shared" si="68"/>
        <v>1.0079787716192581</v>
      </c>
      <c r="Z89" s="354">
        <f t="shared" si="56"/>
        <v>0.51997595583725897</v>
      </c>
      <c r="AA89" s="354">
        <f t="shared" si="69"/>
        <v>0.48800281578199906</v>
      </c>
      <c r="AB89" s="374">
        <f t="shared" si="70"/>
        <v>5.5069870088908672</v>
      </c>
      <c r="AC89" s="354">
        <f t="shared" si="57"/>
        <v>1.5628420443254676</v>
      </c>
      <c r="AD89" s="354">
        <f t="shared" si="71"/>
        <v>3.401959972392413</v>
      </c>
      <c r="AE89" s="354">
        <f t="shared" si="72"/>
        <v>0.54218499217298644</v>
      </c>
      <c r="AF89" s="374">
        <f t="shared" si="73"/>
        <v>4.4075127470154056</v>
      </c>
      <c r="AG89" s="354">
        <f t="shared" si="58"/>
        <v>0.28325630923075507</v>
      </c>
      <c r="AH89" s="354">
        <f t="shared" si="74"/>
        <v>1.425176361586701</v>
      </c>
      <c r="AI89" s="354">
        <f t="shared" si="75"/>
        <v>0</v>
      </c>
      <c r="AJ89" s="354">
        <f t="shared" si="76"/>
        <v>2.6990800761979497</v>
      </c>
      <c r="AK89" s="374">
        <f t="shared" si="77"/>
        <v>2.9111314965266293</v>
      </c>
      <c r="AL89" s="354">
        <f t="shared" si="59"/>
        <v>0.83405849785654584</v>
      </c>
      <c r="AM89" s="354">
        <f t="shared" si="78"/>
        <v>1.9671789721414852</v>
      </c>
      <c r="AN89" s="354">
        <f t="shared" si="79"/>
        <v>0.10989402652859835</v>
      </c>
      <c r="AO89" s="374">
        <f t="shared" si="80"/>
        <v>1.6880055694980287</v>
      </c>
      <c r="AP89" s="354">
        <f t="shared" si="60"/>
        <v>0.38707743215202911</v>
      </c>
      <c r="AQ89" s="354">
        <f t="shared" si="81"/>
        <v>1.3009281373459998</v>
      </c>
      <c r="AR89" s="374">
        <f t="shared" si="82"/>
        <v>3.0794136393638643</v>
      </c>
      <c r="AS89" s="354">
        <f t="shared" si="61"/>
        <v>1.3344144702721983</v>
      </c>
      <c r="AT89" s="354">
        <f t="shared" si="83"/>
        <v>1.7449991690916662</v>
      </c>
      <c r="AU89" s="355" t="s">
        <v>396</v>
      </c>
      <c r="AV89" s="353" t="s">
        <v>404</v>
      </c>
      <c r="AW89" s="355" t="s">
        <v>405</v>
      </c>
      <c r="AX89" s="355">
        <v>117427</v>
      </c>
      <c r="AY89" s="350" t="s">
        <v>406</v>
      </c>
      <c r="AZ89" s="351">
        <v>45082</v>
      </c>
      <c r="BA89" s="351">
        <v>45082</v>
      </c>
      <c r="BB89" s="350" t="s">
        <v>407</v>
      </c>
    </row>
    <row r="90" spans="1:54" x14ac:dyDescent="0.25">
      <c r="A90" s="348" t="s">
        <v>471</v>
      </c>
      <c r="B90" s="349">
        <v>4799</v>
      </c>
      <c r="C90" s="350" t="s">
        <v>458</v>
      </c>
      <c r="D90" s="351">
        <v>45076</v>
      </c>
      <c r="E90" s="352">
        <v>3130</v>
      </c>
      <c r="F90" s="352">
        <v>1</v>
      </c>
      <c r="H90" s="350" t="s">
        <v>439</v>
      </c>
      <c r="I90" s="350" t="s">
        <v>393</v>
      </c>
      <c r="J90" s="354">
        <v>297857.59999999998</v>
      </c>
      <c r="K90" s="350" t="s">
        <v>394</v>
      </c>
      <c r="L90" s="354">
        <v>0</v>
      </c>
      <c r="M90" s="354">
        <v>144.99</v>
      </c>
      <c r="N90" s="354" t="s">
        <v>395</v>
      </c>
      <c r="O90" s="354">
        <v>119.14</v>
      </c>
      <c r="P90" s="374">
        <f t="shared" si="53"/>
        <v>9.1355494714610348</v>
      </c>
      <c r="Q90" s="354">
        <f t="shared" si="54"/>
        <v>0.86162167996202355</v>
      </c>
      <c r="R90" s="354">
        <f t="shared" si="62"/>
        <v>1.4524435517193195</v>
      </c>
      <c r="S90" s="354">
        <f t="shared" si="63"/>
        <v>1.2938172674661441</v>
      </c>
      <c r="T90" s="354">
        <f t="shared" si="64"/>
        <v>5.5212125960255243</v>
      </c>
      <c r="U90" s="374">
        <f t="shared" si="65"/>
        <v>36.664923920219415</v>
      </c>
      <c r="V90" s="354">
        <f t="shared" si="55"/>
        <v>0.97054679373080677</v>
      </c>
      <c r="W90" s="354">
        <f t="shared" si="66"/>
        <v>33.107361288254111</v>
      </c>
      <c r="X90" s="354">
        <f t="shared" si="67"/>
        <v>2.5870158382344992</v>
      </c>
      <c r="Y90" s="374">
        <f t="shared" si="68"/>
        <v>5.375021776280847</v>
      </c>
      <c r="Z90" s="354">
        <f t="shared" si="56"/>
        <v>2.7727588759413084</v>
      </c>
      <c r="AA90" s="354">
        <f t="shared" si="69"/>
        <v>2.6022629003395381</v>
      </c>
      <c r="AB90" s="374">
        <f t="shared" si="70"/>
        <v>29.365871512287121</v>
      </c>
      <c r="AC90" s="354">
        <f t="shared" si="57"/>
        <v>8.3338164033376074</v>
      </c>
      <c r="AD90" s="354">
        <f t="shared" si="71"/>
        <v>18.140867098094002</v>
      </c>
      <c r="AE90" s="354">
        <f t="shared" si="72"/>
        <v>2.8911880108555095</v>
      </c>
      <c r="AF90" s="374">
        <f t="shared" si="73"/>
        <v>23.502952305618379</v>
      </c>
      <c r="AG90" s="354">
        <f t="shared" si="58"/>
        <v>1.5104572370491791</v>
      </c>
      <c r="AH90" s="354">
        <f t="shared" si="74"/>
        <v>7.59971756772548</v>
      </c>
      <c r="AI90" s="354">
        <f t="shared" si="75"/>
        <v>0</v>
      </c>
      <c r="AJ90" s="354">
        <f t="shared" si="76"/>
        <v>14.392777500843721</v>
      </c>
      <c r="AK90" s="374">
        <f t="shared" si="77"/>
        <v>15.523536435505553</v>
      </c>
      <c r="AL90" s="354">
        <f t="shared" si="59"/>
        <v>4.4475962340647515</v>
      </c>
      <c r="AM90" s="354">
        <f t="shared" si="78"/>
        <v>10.489933033129605</v>
      </c>
      <c r="AN90" s="354">
        <f t="shared" si="79"/>
        <v>0.58600716831119803</v>
      </c>
      <c r="AO90" s="374">
        <f t="shared" si="80"/>
        <v>9.0012477940978002</v>
      </c>
      <c r="AP90" s="354">
        <f t="shared" si="60"/>
        <v>2.0640807976359947</v>
      </c>
      <c r="AQ90" s="354">
        <f t="shared" si="81"/>
        <v>6.9371669964618059</v>
      </c>
      <c r="AR90" s="374">
        <f t="shared" si="82"/>
        <v>16.420896784529852</v>
      </c>
      <c r="AS90" s="354">
        <f t="shared" si="61"/>
        <v>7.1157320354823845</v>
      </c>
      <c r="AT90" s="354">
        <f t="shared" si="83"/>
        <v>9.3051647490474689</v>
      </c>
      <c r="AU90" s="355" t="s">
        <v>396</v>
      </c>
      <c r="AV90" s="353" t="s">
        <v>404</v>
      </c>
      <c r="AW90" s="355" t="s">
        <v>405</v>
      </c>
      <c r="AX90" s="355">
        <v>117872</v>
      </c>
      <c r="AY90" s="350" t="s">
        <v>406</v>
      </c>
      <c r="AZ90" s="351">
        <v>45082</v>
      </c>
      <c r="BA90" s="351">
        <v>45082</v>
      </c>
      <c r="BB90" s="350" t="s">
        <v>407</v>
      </c>
    </row>
    <row r="91" spans="1:54" x14ac:dyDescent="0.25">
      <c r="A91" s="348" t="s">
        <v>471</v>
      </c>
      <c r="B91" s="349">
        <v>4799</v>
      </c>
      <c r="C91" s="350" t="s">
        <v>458</v>
      </c>
      <c r="D91" s="351">
        <v>45076</v>
      </c>
      <c r="E91" s="352">
        <v>3130</v>
      </c>
      <c r="F91" s="352">
        <v>1</v>
      </c>
      <c r="H91" s="350" t="s">
        <v>439</v>
      </c>
      <c r="I91" s="350" t="s">
        <v>393</v>
      </c>
      <c r="J91" s="354">
        <v>40032.9</v>
      </c>
      <c r="K91" s="350" t="s">
        <v>394</v>
      </c>
      <c r="L91" s="354">
        <v>0</v>
      </c>
      <c r="M91" s="354">
        <v>19.489999999999998</v>
      </c>
      <c r="N91" s="354" t="s">
        <v>395</v>
      </c>
      <c r="O91" s="354">
        <v>16.010000000000002</v>
      </c>
      <c r="P91" s="374">
        <f t="shared" si="53"/>
        <v>1.228028548167291</v>
      </c>
      <c r="Q91" s="354">
        <f t="shared" si="54"/>
        <v>0.11582182593599445</v>
      </c>
      <c r="R91" s="354">
        <f t="shared" si="62"/>
        <v>0.19524191201468741</v>
      </c>
      <c r="S91" s="354">
        <f t="shared" si="63"/>
        <v>0.17391888090844296</v>
      </c>
      <c r="T91" s="354">
        <f t="shared" si="64"/>
        <v>0.74217831227351849</v>
      </c>
      <c r="U91" s="374">
        <f t="shared" si="65"/>
        <v>4.9286114022006773</v>
      </c>
      <c r="V91" s="354">
        <f t="shared" si="55"/>
        <v>0.13046387343826069</v>
      </c>
      <c r="W91" s="354">
        <f t="shared" si="66"/>
        <v>4.4503929340511235</v>
      </c>
      <c r="X91" s="354">
        <f t="shared" si="67"/>
        <v>0.347754594711293</v>
      </c>
      <c r="Y91" s="374">
        <f t="shared" si="68"/>
        <v>0.72252689440453621</v>
      </c>
      <c r="Z91" s="354">
        <f t="shared" si="56"/>
        <v>0.37272274289327612</v>
      </c>
      <c r="AA91" s="354">
        <f t="shared" si="69"/>
        <v>0.3498041515112601</v>
      </c>
      <c r="AB91" s="374">
        <f t="shared" si="70"/>
        <v>3.947450415714711</v>
      </c>
      <c r="AC91" s="354">
        <f t="shared" si="57"/>
        <v>1.1202571329129591</v>
      </c>
      <c r="AD91" s="354">
        <f t="shared" si="71"/>
        <v>2.4385509327667569</v>
      </c>
      <c r="AE91" s="354">
        <f t="shared" si="72"/>
        <v>0.3886423500349947</v>
      </c>
      <c r="AF91" s="374">
        <f t="shared" si="73"/>
        <v>3.1593388539658056</v>
      </c>
      <c r="AG91" s="354">
        <f t="shared" si="58"/>
        <v>0.20304028933090901</v>
      </c>
      <c r="AH91" s="354">
        <f t="shared" si="74"/>
        <v>1.0215773184010593</v>
      </c>
      <c r="AI91" s="354">
        <f t="shared" si="75"/>
        <v>0</v>
      </c>
      <c r="AJ91" s="354">
        <f t="shared" si="76"/>
        <v>1.9347212462338375</v>
      </c>
      <c r="AK91" s="374">
        <f t="shared" si="77"/>
        <v>2.0867213264915043</v>
      </c>
      <c r="AL91" s="354">
        <f t="shared" si="59"/>
        <v>0.59785951170371743</v>
      </c>
      <c r="AM91" s="354">
        <f t="shared" si="78"/>
        <v>1.4100889358969306</v>
      </c>
      <c r="AN91" s="354">
        <f t="shared" si="79"/>
        <v>7.8772878890856268E-2</v>
      </c>
      <c r="AO91" s="374">
        <f t="shared" si="80"/>
        <v>1.209975305241507</v>
      </c>
      <c r="AP91" s="354">
        <f t="shared" si="60"/>
        <v>0.27746006445910432</v>
      </c>
      <c r="AQ91" s="354">
        <f t="shared" si="81"/>
        <v>0.93251524078240267</v>
      </c>
      <c r="AR91" s="374">
        <f t="shared" si="82"/>
        <v>2.2073472538139649</v>
      </c>
      <c r="AS91" s="354">
        <f t="shared" si="61"/>
        <v>0.95651850039003827</v>
      </c>
      <c r="AT91" s="354">
        <f t="shared" si="83"/>
        <v>1.2508287534239266</v>
      </c>
      <c r="AU91" s="355" t="s">
        <v>396</v>
      </c>
      <c r="AV91" s="353" t="s">
        <v>404</v>
      </c>
      <c r="AW91" s="355" t="s">
        <v>405</v>
      </c>
      <c r="AX91" s="355">
        <v>103328</v>
      </c>
      <c r="AY91" s="350" t="s">
        <v>406</v>
      </c>
      <c r="AZ91" s="351">
        <v>45082</v>
      </c>
      <c r="BA91" s="351">
        <v>45082</v>
      </c>
      <c r="BB91" s="350" t="s">
        <v>407</v>
      </c>
    </row>
    <row r="92" spans="1:54" x14ac:dyDescent="0.25">
      <c r="A92" s="348" t="s">
        <v>471</v>
      </c>
      <c r="B92" s="349">
        <v>4799</v>
      </c>
      <c r="C92" s="350" t="s">
        <v>458</v>
      </c>
      <c r="D92" s="351">
        <v>45076</v>
      </c>
      <c r="E92" s="352">
        <v>3130</v>
      </c>
      <c r="F92" s="352">
        <v>1</v>
      </c>
      <c r="H92" s="350" t="s">
        <v>439</v>
      </c>
      <c r="I92" s="350" t="s">
        <v>393</v>
      </c>
      <c r="J92" s="354">
        <v>65749.600000000006</v>
      </c>
      <c r="K92" s="350" t="s">
        <v>394</v>
      </c>
      <c r="L92" s="354">
        <v>0</v>
      </c>
      <c r="M92" s="354">
        <v>32.01</v>
      </c>
      <c r="N92" s="354" t="s">
        <v>395</v>
      </c>
      <c r="O92" s="354">
        <v>26.3</v>
      </c>
      <c r="P92" s="374">
        <f t="shared" si="53"/>
        <v>2.0168903964512563</v>
      </c>
      <c r="Q92" s="354">
        <f t="shared" si="54"/>
        <v>0.19022353248902937</v>
      </c>
      <c r="R92" s="354">
        <f t="shared" si="62"/>
        <v>0.32066154969677496</v>
      </c>
      <c r="S92" s="354">
        <f t="shared" si="63"/>
        <v>0.2856410147706136</v>
      </c>
      <c r="T92" s="354">
        <f t="shared" si="64"/>
        <v>1.2189393420151529</v>
      </c>
      <c r="U92" s="374">
        <f t="shared" si="65"/>
        <v>8.094656284476331</v>
      </c>
      <c r="V92" s="354">
        <f t="shared" si="55"/>
        <v>0.21427134883318241</v>
      </c>
      <c r="W92" s="354">
        <f t="shared" si="66"/>
        <v>7.3092394981516922</v>
      </c>
      <c r="X92" s="354">
        <f t="shared" si="67"/>
        <v>0.57114543749145663</v>
      </c>
      <c r="Y92" s="374">
        <f t="shared" si="68"/>
        <v>1.1866642324212009</v>
      </c>
      <c r="Z92" s="354">
        <f t="shared" si="56"/>
        <v>0.61215264238141454</v>
      </c>
      <c r="AA92" s="354">
        <f t="shared" si="69"/>
        <v>0.57451159003978636</v>
      </c>
      <c r="AB92" s="374">
        <f t="shared" si="70"/>
        <v>6.4832164087751618</v>
      </c>
      <c r="AC92" s="354">
        <f t="shared" si="57"/>
        <v>1.8398887031577129</v>
      </c>
      <c r="AD92" s="354">
        <f t="shared" si="71"/>
        <v>4.0050290075866544</v>
      </c>
      <c r="AE92" s="354">
        <f t="shared" si="72"/>
        <v>0.63829869803079431</v>
      </c>
      <c r="AF92" s="374">
        <f t="shared" si="73"/>
        <v>5.1888371839633374</v>
      </c>
      <c r="AG92" s="354">
        <f t="shared" si="58"/>
        <v>0.33346945415507429</v>
      </c>
      <c r="AH92" s="354">
        <f t="shared" si="74"/>
        <v>1.677818879528882</v>
      </c>
      <c r="AI92" s="354">
        <f t="shared" si="75"/>
        <v>0</v>
      </c>
      <c r="AJ92" s="354">
        <f t="shared" si="76"/>
        <v>3.1775488502793814</v>
      </c>
      <c r="AK92" s="374">
        <f t="shared" si="77"/>
        <v>3.4271908497174475</v>
      </c>
      <c r="AL92" s="354">
        <f t="shared" si="59"/>
        <v>0.98191292814961495</v>
      </c>
      <c r="AM92" s="354">
        <f t="shared" si="78"/>
        <v>2.3159028649595048</v>
      </c>
      <c r="AN92" s="354">
        <f t="shared" si="79"/>
        <v>0.12937505660832779</v>
      </c>
      <c r="AO92" s="374">
        <f t="shared" si="80"/>
        <v>1.9872400985521108</v>
      </c>
      <c r="AP92" s="354">
        <f t="shared" si="60"/>
        <v>0.45569505712344427</v>
      </c>
      <c r="AQ92" s="354">
        <f t="shared" si="81"/>
        <v>1.5315450414286667</v>
      </c>
      <c r="AR92" s="374">
        <f t="shared" si="82"/>
        <v>3.6253045456431514</v>
      </c>
      <c r="AS92" s="354">
        <f t="shared" si="61"/>
        <v>1.5709675319386931</v>
      </c>
      <c r="AT92" s="354">
        <f t="shared" si="83"/>
        <v>2.0543370137044588</v>
      </c>
      <c r="AU92" s="355" t="s">
        <v>396</v>
      </c>
      <c r="AV92" s="353" t="s">
        <v>404</v>
      </c>
      <c r="AW92" s="355" t="s">
        <v>405</v>
      </c>
      <c r="AX92" s="355">
        <v>117293</v>
      </c>
      <c r="AY92" s="350" t="s">
        <v>406</v>
      </c>
      <c r="AZ92" s="351">
        <v>45082</v>
      </c>
      <c r="BA92" s="351">
        <v>45082</v>
      </c>
      <c r="BB92" s="350" t="s">
        <v>407</v>
      </c>
    </row>
    <row r="93" spans="1:54" x14ac:dyDescent="0.25">
      <c r="A93" s="348" t="s">
        <v>471</v>
      </c>
      <c r="B93" s="349">
        <v>4799</v>
      </c>
      <c r="C93" s="350" t="s">
        <v>458</v>
      </c>
      <c r="D93" s="351">
        <v>45076</v>
      </c>
      <c r="E93" s="352">
        <v>3110</v>
      </c>
      <c r="F93" s="352">
        <v>1</v>
      </c>
      <c r="H93" s="350" t="s">
        <v>437</v>
      </c>
      <c r="I93" s="350" t="s">
        <v>393</v>
      </c>
      <c r="J93" s="354">
        <v>1524475</v>
      </c>
      <c r="K93" s="350" t="s">
        <v>394</v>
      </c>
      <c r="L93" s="354">
        <v>0</v>
      </c>
      <c r="M93" s="354">
        <v>742.08</v>
      </c>
      <c r="N93" s="354" t="s">
        <v>395</v>
      </c>
      <c r="O93" s="354">
        <v>609.79</v>
      </c>
      <c r="P93" s="374">
        <f t="shared" si="53"/>
        <v>46.75707670723363</v>
      </c>
      <c r="Q93" s="354">
        <f t="shared" si="54"/>
        <v>4.4099056229134312</v>
      </c>
      <c r="R93" s="354">
        <f t="shared" si="62"/>
        <v>7.4338182692590689</v>
      </c>
      <c r="S93" s="354">
        <f t="shared" si="63"/>
        <v>6.6219457744760062</v>
      </c>
      <c r="T93" s="354">
        <f t="shared" si="64"/>
        <v>28.258372599893928</v>
      </c>
      <c r="U93" s="374">
        <f t="shared" si="65"/>
        <v>187.65643660056847</v>
      </c>
      <c r="V93" s="354">
        <f t="shared" si="55"/>
        <v>4.9674002668581076</v>
      </c>
      <c r="W93" s="354">
        <f t="shared" si="66"/>
        <v>169.44831136483626</v>
      </c>
      <c r="X93" s="354">
        <f t="shared" si="67"/>
        <v>13.240724968874108</v>
      </c>
      <c r="Y93" s="374">
        <f t="shared" si="68"/>
        <v>27.510146629026078</v>
      </c>
      <c r="Z93" s="354">
        <f t="shared" si="56"/>
        <v>14.191384969022183</v>
      </c>
      <c r="AA93" s="354">
        <f t="shared" si="69"/>
        <v>13.318761660003894</v>
      </c>
      <c r="AB93" s="374">
        <f t="shared" si="70"/>
        <v>150.29882013820281</v>
      </c>
      <c r="AC93" s="354">
        <f t="shared" si="57"/>
        <v>42.653689748181058</v>
      </c>
      <c r="AD93" s="354">
        <f t="shared" si="71"/>
        <v>92.847607808494359</v>
      </c>
      <c r="AE93" s="354">
        <f t="shared" si="72"/>
        <v>14.797522581527392</v>
      </c>
      <c r="AF93" s="374">
        <f t="shared" si="73"/>
        <v>120.29154318886327</v>
      </c>
      <c r="AG93" s="354">
        <f t="shared" si="58"/>
        <v>7.730740785360747</v>
      </c>
      <c r="AH93" s="354">
        <f t="shared" si="74"/>
        <v>38.896464671065068</v>
      </c>
      <c r="AI93" s="354">
        <f t="shared" si="75"/>
        <v>0</v>
      </c>
      <c r="AJ93" s="354">
        <f t="shared" si="76"/>
        <v>73.664337732437474</v>
      </c>
      <c r="AK93" s="374">
        <f t="shared" si="77"/>
        <v>79.451727140216292</v>
      </c>
      <c r="AL93" s="354">
        <f t="shared" si="59"/>
        <v>22.76344722653128</v>
      </c>
      <c r="AM93" s="354">
        <f t="shared" si="78"/>
        <v>53.689009622903761</v>
      </c>
      <c r="AN93" s="354">
        <f t="shared" si="79"/>
        <v>2.999270290781253</v>
      </c>
      <c r="AO93" s="374">
        <f t="shared" si="80"/>
        <v>46.069701103828507</v>
      </c>
      <c r="AP93" s="354">
        <f t="shared" si="60"/>
        <v>10.564267041242285</v>
      </c>
      <c r="AQ93" s="354">
        <f t="shared" si="81"/>
        <v>35.505434062586225</v>
      </c>
      <c r="AR93" s="374">
        <f t="shared" si="82"/>
        <v>84.044548492060926</v>
      </c>
      <c r="AS93" s="354">
        <f t="shared" si="61"/>
        <v>36.419356016903016</v>
      </c>
      <c r="AT93" s="354">
        <f t="shared" si="83"/>
        <v>47.625192475157917</v>
      </c>
      <c r="AU93" s="355" t="s">
        <v>396</v>
      </c>
      <c r="AV93" s="353" t="s">
        <v>404</v>
      </c>
      <c r="AW93" s="355" t="s">
        <v>405</v>
      </c>
      <c r="AX93" s="355">
        <v>102955</v>
      </c>
      <c r="AY93" s="350" t="s">
        <v>406</v>
      </c>
      <c r="AZ93" s="351">
        <v>45082</v>
      </c>
      <c r="BA93" s="351">
        <v>45082</v>
      </c>
      <c r="BB93" s="350" t="s">
        <v>407</v>
      </c>
    </row>
    <row r="94" spans="1:54" x14ac:dyDescent="0.25">
      <c r="A94" s="348" t="s">
        <v>471</v>
      </c>
      <c r="B94" s="349">
        <v>4799</v>
      </c>
      <c r="C94" s="350" t="s">
        <v>458</v>
      </c>
      <c r="D94" s="351">
        <v>45076</v>
      </c>
      <c r="E94" s="352">
        <v>3110</v>
      </c>
      <c r="F94" s="352">
        <v>1</v>
      </c>
      <c r="H94" s="350" t="s">
        <v>437</v>
      </c>
      <c r="I94" s="350" t="s">
        <v>393</v>
      </c>
      <c r="J94" s="354">
        <v>595528.80000000005</v>
      </c>
      <c r="K94" s="350" t="s">
        <v>394</v>
      </c>
      <c r="L94" s="354">
        <v>0</v>
      </c>
      <c r="M94" s="354">
        <v>289.89</v>
      </c>
      <c r="N94" s="354" t="s">
        <v>395</v>
      </c>
      <c r="O94" s="354">
        <v>238.21</v>
      </c>
      <c r="P94" s="374">
        <f t="shared" si="53"/>
        <v>18.265428210785839</v>
      </c>
      <c r="Q94" s="354">
        <f t="shared" si="54"/>
        <v>1.7227085233753427</v>
      </c>
      <c r="R94" s="354">
        <f t="shared" si="62"/>
        <v>2.9039855245735113</v>
      </c>
      <c r="S94" s="354">
        <f t="shared" si="63"/>
        <v>2.5868314205514893</v>
      </c>
      <c r="T94" s="354">
        <f t="shared" si="64"/>
        <v>11.038997996150348</v>
      </c>
      <c r="U94" s="374">
        <f t="shared" si="65"/>
        <v>73.307088731860162</v>
      </c>
      <c r="V94" s="354">
        <f t="shared" si="55"/>
        <v>1.9404911375586147</v>
      </c>
      <c r="W94" s="354">
        <f t="shared" si="66"/>
        <v>66.194171762549018</v>
      </c>
      <c r="X94" s="354">
        <f t="shared" si="67"/>
        <v>5.1724258317525269</v>
      </c>
      <c r="Y94" s="374">
        <f t="shared" si="68"/>
        <v>10.746707102048795</v>
      </c>
      <c r="Z94" s="354">
        <f t="shared" si="56"/>
        <v>5.5437966104326222</v>
      </c>
      <c r="AA94" s="354">
        <f t="shared" si="69"/>
        <v>5.2029104916161719</v>
      </c>
      <c r="AB94" s="374">
        <f t="shared" si="70"/>
        <v>58.713514674783866</v>
      </c>
      <c r="AC94" s="354">
        <f t="shared" si="57"/>
        <v>16.662459736282081</v>
      </c>
      <c r="AD94" s="354">
        <f t="shared" si="71"/>
        <v>36.270473571049521</v>
      </c>
      <c r="AE94" s="354">
        <f t="shared" si="72"/>
        <v>5.780581367452263</v>
      </c>
      <c r="AF94" s="374">
        <f t="shared" si="73"/>
        <v>46.991315565733579</v>
      </c>
      <c r="AG94" s="354">
        <f t="shared" si="58"/>
        <v>3.0199768842553727</v>
      </c>
      <c r="AH94" s="354">
        <f t="shared" si="74"/>
        <v>15.194717744037101</v>
      </c>
      <c r="AI94" s="354">
        <f t="shared" si="75"/>
        <v>0</v>
      </c>
      <c r="AJ94" s="354">
        <f t="shared" si="76"/>
        <v>28.776620937441109</v>
      </c>
      <c r="AK94" s="374">
        <f t="shared" si="77"/>
        <v>31.037436907984716</v>
      </c>
      <c r="AL94" s="354">
        <f t="shared" si="59"/>
        <v>8.8924317007588822</v>
      </c>
      <c r="AM94" s="354">
        <f t="shared" si="78"/>
        <v>20.973354624277125</v>
      </c>
      <c r="AN94" s="354">
        <f t="shared" si="79"/>
        <v>1.1716505829487081</v>
      </c>
      <c r="AO94" s="374">
        <f t="shared" si="80"/>
        <v>17.996908221470523</v>
      </c>
      <c r="AP94" s="354">
        <f t="shared" si="60"/>
        <v>4.1268803533119423</v>
      </c>
      <c r="AQ94" s="354">
        <f t="shared" si="81"/>
        <v>13.870027868158582</v>
      </c>
      <c r="AR94" s="374">
        <f t="shared" si="82"/>
        <v>32.831600585332495</v>
      </c>
      <c r="AS94" s="354">
        <f t="shared" si="61"/>
        <v>14.227047105083029</v>
      </c>
      <c r="AT94" s="354">
        <f t="shared" si="83"/>
        <v>18.604553480249468</v>
      </c>
      <c r="AU94" s="355" t="s">
        <v>396</v>
      </c>
      <c r="AV94" s="353" t="s">
        <v>404</v>
      </c>
      <c r="AW94" s="355" t="s">
        <v>405</v>
      </c>
      <c r="AX94" s="355">
        <v>103265</v>
      </c>
      <c r="AY94" s="350" t="s">
        <v>406</v>
      </c>
      <c r="AZ94" s="351">
        <v>45082</v>
      </c>
      <c r="BA94" s="351">
        <v>45082</v>
      </c>
      <c r="BB94" s="350" t="s">
        <v>407</v>
      </c>
    </row>
    <row r="95" spans="1:54" x14ac:dyDescent="0.25">
      <c r="A95" s="348" t="s">
        <v>471</v>
      </c>
      <c r="B95" s="349">
        <v>4799</v>
      </c>
      <c r="C95" s="350" t="s">
        <v>458</v>
      </c>
      <c r="D95" s="351">
        <v>45076</v>
      </c>
      <c r="E95" s="352">
        <v>3110</v>
      </c>
      <c r="F95" s="352">
        <v>1</v>
      </c>
      <c r="H95" s="350" t="s">
        <v>437</v>
      </c>
      <c r="I95" s="350" t="s">
        <v>393</v>
      </c>
      <c r="J95" s="354">
        <v>5592445</v>
      </c>
      <c r="K95" s="350" t="s">
        <v>394</v>
      </c>
      <c r="L95" s="354">
        <v>0</v>
      </c>
      <c r="M95" s="354">
        <v>2722.29</v>
      </c>
      <c r="N95" s="354" t="s">
        <v>395</v>
      </c>
      <c r="O95" s="354">
        <v>2236.98</v>
      </c>
      <c r="P95" s="374">
        <f t="shared" si="53"/>
        <v>171.52641541253644</v>
      </c>
      <c r="Q95" s="354">
        <f t="shared" si="54"/>
        <v>16.177557646346763</v>
      </c>
      <c r="R95" s="354">
        <f t="shared" si="62"/>
        <v>27.270656986067905</v>
      </c>
      <c r="S95" s="354">
        <f t="shared" si="63"/>
        <v>24.292336085594933</v>
      </c>
      <c r="T95" s="354">
        <f t="shared" si="64"/>
        <v>103.66467920569917</v>
      </c>
      <c r="U95" s="374">
        <f t="shared" si="65"/>
        <v>688.40992991774669</v>
      </c>
      <c r="V95" s="354">
        <f t="shared" si="55"/>
        <v>18.222703849268484</v>
      </c>
      <c r="W95" s="354">
        <f t="shared" si="66"/>
        <v>621.61417036624096</v>
      </c>
      <c r="X95" s="354">
        <f t="shared" si="67"/>
        <v>48.573055702237347</v>
      </c>
      <c r="Y95" s="374">
        <f t="shared" si="68"/>
        <v>100.91984296400847</v>
      </c>
      <c r="Z95" s="354">
        <f t="shared" si="56"/>
        <v>52.060512865620147</v>
      </c>
      <c r="AA95" s="354">
        <f t="shared" si="69"/>
        <v>48.859330098388313</v>
      </c>
      <c r="AB95" s="374">
        <f t="shared" si="70"/>
        <v>551.36504834253469</v>
      </c>
      <c r="AC95" s="354">
        <f t="shared" si="57"/>
        <v>156.47330889469575</v>
      </c>
      <c r="AD95" s="354">
        <f t="shared" si="71"/>
        <v>340.60763564708134</v>
      </c>
      <c r="AE95" s="354">
        <f t="shared" si="72"/>
        <v>54.284103800757606</v>
      </c>
      <c r="AF95" s="374">
        <f t="shared" si="73"/>
        <v>441.28458536493451</v>
      </c>
      <c r="AG95" s="354">
        <f t="shared" si="58"/>
        <v>28.359905040669076</v>
      </c>
      <c r="AH95" s="354">
        <f t="shared" si="74"/>
        <v>142.69008302257672</v>
      </c>
      <c r="AI95" s="354">
        <f t="shared" si="75"/>
        <v>0</v>
      </c>
      <c r="AJ95" s="354">
        <f t="shared" si="76"/>
        <v>270.23459730168878</v>
      </c>
      <c r="AK95" s="374">
        <f t="shared" si="77"/>
        <v>291.46539763440518</v>
      </c>
      <c r="AL95" s="354">
        <f t="shared" si="59"/>
        <v>83.506771170647141</v>
      </c>
      <c r="AM95" s="354">
        <f t="shared" si="78"/>
        <v>196.95592659327119</v>
      </c>
      <c r="AN95" s="354">
        <f t="shared" si="79"/>
        <v>11.00269987048687</v>
      </c>
      <c r="AO95" s="374">
        <f t="shared" si="80"/>
        <v>169.00480624453064</v>
      </c>
      <c r="AP95" s="354">
        <f t="shared" si="60"/>
        <v>38.754579726853521</v>
      </c>
      <c r="AQ95" s="354">
        <f t="shared" si="81"/>
        <v>130.25022651767713</v>
      </c>
      <c r="AR95" s="374">
        <f t="shared" si="82"/>
        <v>308.31397411930317</v>
      </c>
      <c r="AS95" s="354">
        <f t="shared" si="61"/>
        <v>133.60291166889675</v>
      </c>
      <c r="AT95" s="354">
        <f t="shared" si="83"/>
        <v>174.71106245040644</v>
      </c>
      <c r="AU95" s="355" t="s">
        <v>396</v>
      </c>
      <c r="AV95" s="353" t="s">
        <v>404</v>
      </c>
      <c r="AW95" s="355" t="s">
        <v>405</v>
      </c>
      <c r="AX95" s="355">
        <v>117871</v>
      </c>
      <c r="AY95" s="350" t="s">
        <v>406</v>
      </c>
      <c r="AZ95" s="351">
        <v>45082</v>
      </c>
      <c r="BA95" s="351">
        <v>45082</v>
      </c>
      <c r="BB95" s="350" t="s">
        <v>407</v>
      </c>
    </row>
    <row r="96" spans="1:54" x14ac:dyDescent="0.25">
      <c r="A96" s="348" t="s">
        <v>471</v>
      </c>
      <c r="B96" s="349">
        <v>4799</v>
      </c>
      <c r="C96" s="350" t="s">
        <v>458</v>
      </c>
      <c r="D96" s="351">
        <v>45076</v>
      </c>
      <c r="E96" s="352">
        <v>3110</v>
      </c>
      <c r="F96" s="352">
        <v>1</v>
      </c>
      <c r="H96" s="350" t="s">
        <v>437</v>
      </c>
      <c r="I96" s="350" t="s">
        <v>393</v>
      </c>
      <c r="J96" s="354">
        <v>3083644.8</v>
      </c>
      <c r="K96" s="350" t="s">
        <v>394</v>
      </c>
      <c r="L96" s="354">
        <v>0</v>
      </c>
      <c r="M96" s="354">
        <v>1501.06</v>
      </c>
      <c r="N96" s="354" t="s">
        <v>395</v>
      </c>
      <c r="O96" s="354">
        <v>1233.46</v>
      </c>
      <c r="P96" s="374">
        <f t="shared" si="53"/>
        <v>94.578990893380919</v>
      </c>
      <c r="Q96" s="354">
        <f t="shared" si="54"/>
        <v>8.920241664416821</v>
      </c>
      <c r="R96" s="354">
        <f t="shared" si="62"/>
        <v>15.036933014303065</v>
      </c>
      <c r="S96" s="354">
        <f t="shared" si="63"/>
        <v>13.394698582679704</v>
      </c>
      <c r="T96" s="354">
        <f t="shared" si="64"/>
        <v>57.160296430030158</v>
      </c>
      <c r="U96" s="374">
        <f t="shared" si="65"/>
        <v>379.58652803424059</v>
      </c>
      <c r="V96" s="354">
        <f t="shared" si="55"/>
        <v>10.047927237723735</v>
      </c>
      <c r="W96" s="354">
        <f t="shared" si="66"/>
        <v>342.75560890645357</v>
      </c>
      <c r="X96" s="354">
        <f t="shared" si="67"/>
        <v>26.78299189006329</v>
      </c>
      <c r="Y96" s="374">
        <f t="shared" si="68"/>
        <v>55.646804521029921</v>
      </c>
      <c r="Z96" s="354">
        <f t="shared" si="56"/>
        <v>28.705962054765575</v>
      </c>
      <c r="AA96" s="354">
        <f t="shared" si="69"/>
        <v>26.940842466264343</v>
      </c>
      <c r="AB96" s="374">
        <f t="shared" si="70"/>
        <v>304.02051929259744</v>
      </c>
      <c r="AC96" s="354">
        <f t="shared" si="57"/>
        <v>86.278767159072686</v>
      </c>
      <c r="AD96" s="354">
        <f t="shared" si="71"/>
        <v>187.80971078188139</v>
      </c>
      <c r="AE96" s="354">
        <f t="shared" si="72"/>
        <v>29.932041351643363</v>
      </c>
      <c r="AF96" s="374">
        <f t="shared" si="73"/>
        <v>243.32258492221203</v>
      </c>
      <c r="AG96" s="354">
        <f t="shared" si="58"/>
        <v>15.637540107904274</v>
      </c>
      <c r="AH96" s="354">
        <f t="shared" si="74"/>
        <v>78.67875061873238</v>
      </c>
      <c r="AI96" s="354">
        <f t="shared" si="75"/>
        <v>0</v>
      </c>
      <c r="AJ96" s="354">
        <f t="shared" si="76"/>
        <v>149.00629419557538</v>
      </c>
      <c r="AK96" s="374">
        <f t="shared" si="77"/>
        <v>160.7128740042759</v>
      </c>
      <c r="AL96" s="354">
        <f t="shared" si="59"/>
        <v>46.045305214878503</v>
      </c>
      <c r="AM96" s="354">
        <f t="shared" si="78"/>
        <v>108.60072335133128</v>
      </c>
      <c r="AN96" s="354">
        <f t="shared" si="79"/>
        <v>6.066845438066121</v>
      </c>
      <c r="AO96" s="374">
        <f t="shared" si="80"/>
        <v>93.188585514921328</v>
      </c>
      <c r="AP96" s="354">
        <f t="shared" si="60"/>
        <v>21.369122850537874</v>
      </c>
      <c r="AQ96" s="354">
        <f t="shared" si="81"/>
        <v>71.819462664383451</v>
      </c>
      <c r="AR96" s="374">
        <f t="shared" si="82"/>
        <v>170.00311281734173</v>
      </c>
      <c r="AS96" s="354">
        <f t="shared" si="61"/>
        <v>73.668120071599333</v>
      </c>
      <c r="AT96" s="354">
        <f t="shared" si="83"/>
        <v>96.334992745742412</v>
      </c>
      <c r="AU96" s="355" t="s">
        <v>396</v>
      </c>
      <c r="AV96" s="353" t="s">
        <v>404</v>
      </c>
      <c r="AW96" s="355" t="s">
        <v>405</v>
      </c>
      <c r="AX96" s="355">
        <v>103321</v>
      </c>
      <c r="AY96" s="350" t="s">
        <v>406</v>
      </c>
      <c r="AZ96" s="351">
        <v>45082</v>
      </c>
      <c r="BA96" s="351">
        <v>45082</v>
      </c>
      <c r="BB96" s="350" t="s">
        <v>407</v>
      </c>
    </row>
    <row r="97" spans="1:54" x14ac:dyDescent="0.25">
      <c r="A97" s="348" t="s">
        <v>471</v>
      </c>
      <c r="B97" s="349">
        <v>4799</v>
      </c>
      <c r="C97" s="350" t="s">
        <v>458</v>
      </c>
      <c r="D97" s="351">
        <v>45076</v>
      </c>
      <c r="E97" s="352">
        <v>3110</v>
      </c>
      <c r="F97" s="352">
        <v>1</v>
      </c>
      <c r="H97" s="350" t="s">
        <v>437</v>
      </c>
      <c r="I97" s="350" t="s">
        <v>393</v>
      </c>
      <c r="J97" s="354">
        <v>598983.44999999995</v>
      </c>
      <c r="K97" s="350" t="s">
        <v>394</v>
      </c>
      <c r="L97" s="354">
        <v>0</v>
      </c>
      <c r="M97" s="354">
        <v>291.57</v>
      </c>
      <c r="N97" s="354" t="s">
        <v>395</v>
      </c>
      <c r="O97" s="354">
        <v>239.59</v>
      </c>
      <c r="P97" s="374">
        <f t="shared" si="53"/>
        <v>18.371281877328737</v>
      </c>
      <c r="Q97" s="354">
        <f t="shared" si="54"/>
        <v>1.7326921389511496</v>
      </c>
      <c r="R97" s="354">
        <f t="shared" si="62"/>
        <v>2.9208149967225459</v>
      </c>
      <c r="S97" s="354">
        <f t="shared" si="63"/>
        <v>2.601822888993059</v>
      </c>
      <c r="T97" s="354">
        <f t="shared" si="64"/>
        <v>11.102972319630057</v>
      </c>
      <c r="U97" s="374">
        <f t="shared" si="65"/>
        <v>73.731925425328456</v>
      </c>
      <c r="V97" s="354">
        <f t="shared" si="55"/>
        <v>1.9517368690812558</v>
      </c>
      <c r="W97" s="354">
        <f t="shared" si="66"/>
        <v>66.577786956453892</v>
      </c>
      <c r="X97" s="354">
        <f t="shared" si="67"/>
        <v>5.2024015997933146</v>
      </c>
      <c r="Y97" s="374">
        <f t="shared" si="68"/>
        <v>10.808987511622915</v>
      </c>
      <c r="Z97" s="354">
        <f t="shared" si="56"/>
        <v>5.575924584165854</v>
      </c>
      <c r="AA97" s="354">
        <f t="shared" si="69"/>
        <v>5.2330629274570599</v>
      </c>
      <c r="AB97" s="374">
        <f t="shared" si="70"/>
        <v>59.053777204204117</v>
      </c>
      <c r="AC97" s="354">
        <f t="shared" si="57"/>
        <v>16.759023716953902</v>
      </c>
      <c r="AD97" s="354">
        <f t="shared" si="71"/>
        <v>36.480671906967849</v>
      </c>
      <c r="AE97" s="354">
        <f t="shared" si="72"/>
        <v>5.8140815802823704</v>
      </c>
      <c r="AF97" s="374">
        <f t="shared" si="73"/>
        <v>47.263644415126215</v>
      </c>
      <c r="AG97" s="354">
        <f t="shared" si="58"/>
        <v>3.0374785613244297</v>
      </c>
      <c r="AH97" s="354">
        <f t="shared" si="74"/>
        <v>15.282775717095786</v>
      </c>
      <c r="AI97" s="354">
        <f t="shared" si="75"/>
        <v>0</v>
      </c>
      <c r="AJ97" s="354">
        <f t="shared" si="76"/>
        <v>28.943390136706004</v>
      </c>
      <c r="AK97" s="374">
        <f t="shared" si="77"/>
        <v>31.217308217810565</v>
      </c>
      <c r="AL97" s="354">
        <f t="shared" si="59"/>
        <v>8.9439660250104094</v>
      </c>
      <c r="AM97" s="354">
        <f t="shared" si="78"/>
        <v>21.094901541275942</v>
      </c>
      <c r="AN97" s="354">
        <f t="shared" si="79"/>
        <v>1.1784406515242156</v>
      </c>
      <c r="AO97" s="374">
        <f t="shared" si="80"/>
        <v>18.101205733671947</v>
      </c>
      <c r="AP97" s="354">
        <f t="shared" si="60"/>
        <v>4.1507968698994899</v>
      </c>
      <c r="AQ97" s="354">
        <f t="shared" si="81"/>
        <v>13.950408863772457</v>
      </c>
      <c r="AR97" s="374">
        <f t="shared" si="82"/>
        <v>33.021869614907018</v>
      </c>
      <c r="AS97" s="354">
        <f t="shared" si="61"/>
        <v>14.3094971348755</v>
      </c>
      <c r="AT97" s="354">
        <f t="shared" si="83"/>
        <v>18.712372480031522</v>
      </c>
      <c r="AU97" s="355" t="s">
        <v>396</v>
      </c>
      <c r="AV97" s="353" t="s">
        <v>404</v>
      </c>
      <c r="AW97" s="355" t="s">
        <v>405</v>
      </c>
      <c r="AX97" s="355">
        <v>117427</v>
      </c>
      <c r="AY97" s="350" t="s">
        <v>406</v>
      </c>
      <c r="AZ97" s="351">
        <v>45082</v>
      </c>
      <c r="BA97" s="351">
        <v>45082</v>
      </c>
      <c r="BB97" s="350" t="s">
        <v>407</v>
      </c>
    </row>
    <row r="98" spans="1:54" x14ac:dyDescent="0.25">
      <c r="A98" s="348" t="s">
        <v>471</v>
      </c>
      <c r="B98" s="349">
        <v>4799</v>
      </c>
      <c r="C98" s="350" t="s">
        <v>458</v>
      </c>
      <c r="D98" s="351">
        <v>45076</v>
      </c>
      <c r="E98" s="352">
        <v>3110</v>
      </c>
      <c r="F98" s="352">
        <v>1</v>
      </c>
      <c r="H98" s="350" t="s">
        <v>437</v>
      </c>
      <c r="I98" s="350" t="s">
        <v>393</v>
      </c>
      <c r="J98" s="354">
        <v>3194579.2</v>
      </c>
      <c r="K98" s="350" t="s">
        <v>394</v>
      </c>
      <c r="L98" s="354">
        <v>0</v>
      </c>
      <c r="M98" s="354">
        <v>1555.06</v>
      </c>
      <c r="N98" s="354" t="s">
        <v>395</v>
      </c>
      <c r="O98" s="354">
        <v>1277.83</v>
      </c>
      <c r="P98" s="374">
        <f t="shared" si="53"/>
        <v>97.98143017511687</v>
      </c>
      <c r="Q98" s="354">
        <f t="shared" si="54"/>
        <v>9.2411435936391761</v>
      </c>
      <c r="R98" s="354">
        <f t="shared" si="62"/>
        <v>15.577880333379161</v>
      </c>
      <c r="S98" s="354">
        <f t="shared" si="63"/>
        <v>13.876567211158713</v>
      </c>
      <c r="T98" s="354">
        <f t="shared" si="64"/>
        <v>59.216613970449352</v>
      </c>
      <c r="U98" s="374">
        <f t="shared" si="65"/>
        <v>393.24199318143593</v>
      </c>
      <c r="V98" s="354">
        <f t="shared" si="55"/>
        <v>10.409397179522919</v>
      </c>
      <c r="W98" s="354">
        <f t="shared" si="66"/>
        <v>355.08609728196723</v>
      </c>
      <c r="X98" s="354">
        <f t="shared" si="67"/>
        <v>27.746498719945787</v>
      </c>
      <c r="Y98" s="374">
        <f t="shared" si="68"/>
        <v>57.648674828769529</v>
      </c>
      <c r="Z98" s="354">
        <f t="shared" si="56"/>
        <v>29.738646924762335</v>
      </c>
      <c r="AA98" s="354">
        <f t="shared" si="69"/>
        <v>27.91002790400719</v>
      </c>
      <c r="AB98" s="374">
        <f t="shared" si="70"/>
        <v>314.95752916681982</v>
      </c>
      <c r="AC98" s="354">
        <f t="shared" si="57"/>
        <v>89.38260939495261</v>
      </c>
      <c r="AD98" s="354">
        <f t="shared" si="71"/>
        <v>194.5660858649704</v>
      </c>
      <c r="AE98" s="354">
        <f t="shared" si="72"/>
        <v>31.008833906896811</v>
      </c>
      <c r="AF98" s="374">
        <f t="shared" si="73"/>
        <v>252.0760122241183</v>
      </c>
      <c r="AG98" s="354">
        <f t="shared" si="58"/>
        <v>16.200094013695399</v>
      </c>
      <c r="AH98" s="354">
        <f t="shared" si="74"/>
        <v>81.509185467047274</v>
      </c>
      <c r="AI98" s="354">
        <f t="shared" si="75"/>
        <v>0</v>
      </c>
      <c r="AJ98" s="354">
        <f t="shared" si="76"/>
        <v>154.36673274337565</v>
      </c>
      <c r="AK98" s="374">
        <f t="shared" si="77"/>
        <v>166.49445182010666</v>
      </c>
      <c r="AL98" s="354">
        <f t="shared" si="59"/>
        <v>47.701765637248997</v>
      </c>
      <c r="AM98" s="354">
        <f t="shared" si="78"/>
        <v>112.50758854057881</v>
      </c>
      <c r="AN98" s="354">
        <f t="shared" si="79"/>
        <v>6.285097642278858</v>
      </c>
      <c r="AO98" s="374">
        <f t="shared" si="80"/>
        <v>96.541005549967068</v>
      </c>
      <c r="AP98" s="354">
        <f t="shared" si="60"/>
        <v>22.137868026566178</v>
      </c>
      <c r="AQ98" s="354">
        <f t="shared" si="81"/>
        <v>74.403137523400886</v>
      </c>
      <c r="AR98" s="374">
        <f t="shared" si="82"/>
        <v>176.11890305366572</v>
      </c>
      <c r="AS98" s="354">
        <f t="shared" si="61"/>
        <v>76.318299600643059</v>
      </c>
      <c r="AT98" s="354">
        <f t="shared" si="83"/>
        <v>99.800603453022674</v>
      </c>
      <c r="AU98" s="355" t="s">
        <v>396</v>
      </c>
      <c r="AV98" s="353" t="s">
        <v>404</v>
      </c>
      <c r="AW98" s="355" t="s">
        <v>405</v>
      </c>
      <c r="AX98" s="355">
        <v>117872</v>
      </c>
      <c r="AY98" s="350" t="s">
        <v>406</v>
      </c>
      <c r="AZ98" s="351">
        <v>45082</v>
      </c>
      <c r="BA98" s="351">
        <v>45082</v>
      </c>
      <c r="BB98" s="350" t="s">
        <v>407</v>
      </c>
    </row>
    <row r="99" spans="1:54" x14ac:dyDescent="0.25">
      <c r="A99" s="348" t="s">
        <v>471</v>
      </c>
      <c r="B99" s="349">
        <v>4799</v>
      </c>
      <c r="C99" s="350" t="s">
        <v>458</v>
      </c>
      <c r="D99" s="351">
        <v>45076</v>
      </c>
      <c r="E99" s="352">
        <v>3110</v>
      </c>
      <c r="F99" s="352">
        <v>1</v>
      </c>
      <c r="H99" s="350" t="s">
        <v>437</v>
      </c>
      <c r="I99" s="350" t="s">
        <v>393</v>
      </c>
      <c r="J99" s="354">
        <v>481329.9</v>
      </c>
      <c r="K99" s="350" t="s">
        <v>394</v>
      </c>
      <c r="L99" s="354">
        <v>0</v>
      </c>
      <c r="M99" s="354">
        <v>234.3</v>
      </c>
      <c r="N99" s="354" t="s">
        <v>395</v>
      </c>
      <c r="O99" s="354">
        <v>192.53</v>
      </c>
      <c r="P99" s="374">
        <f t="shared" si="53"/>
        <v>14.76280599464322</v>
      </c>
      <c r="Q99" s="354">
        <f t="shared" si="54"/>
        <v>1.3923578151258853</v>
      </c>
      <c r="R99" s="354">
        <f t="shared" si="62"/>
        <v>2.3471103122135082</v>
      </c>
      <c r="S99" s="354">
        <f t="shared" si="63"/>
        <v>2.0907744380117084</v>
      </c>
      <c r="T99" s="354">
        <f t="shared" si="64"/>
        <v>8.9221333281521513</v>
      </c>
      <c r="U99" s="374">
        <f t="shared" si="65"/>
        <v>59.249545999775215</v>
      </c>
      <c r="V99" s="354">
        <f t="shared" si="55"/>
        <v>1.5683779141397891</v>
      </c>
      <c r="W99" s="354">
        <f t="shared" si="66"/>
        <v>53.500619007089718</v>
      </c>
      <c r="X99" s="354">
        <f t="shared" si="67"/>
        <v>4.180549078545714</v>
      </c>
      <c r="Y99" s="374">
        <f t="shared" si="68"/>
        <v>8.6858928352479658</v>
      </c>
      <c r="Z99" s="354">
        <f t="shared" si="56"/>
        <v>4.4807049081526218</v>
      </c>
      <c r="AA99" s="354">
        <f t="shared" si="69"/>
        <v>4.2051879270953432</v>
      </c>
      <c r="AB99" s="374">
        <f t="shared" si="70"/>
        <v>47.454470620931602</v>
      </c>
      <c r="AC99" s="354">
        <f t="shared" si="57"/>
        <v>13.467226590123468</v>
      </c>
      <c r="AD99" s="354">
        <f t="shared" si="71"/>
        <v>29.315160777180669</v>
      </c>
      <c r="AE99" s="354">
        <f t="shared" si="72"/>
        <v>4.6720832536274637</v>
      </c>
      <c r="AF99" s="374">
        <f t="shared" si="73"/>
        <v>37.98014845993783</v>
      </c>
      <c r="AG99" s="354">
        <f t="shared" si="58"/>
        <v>2.4408588912381726</v>
      </c>
      <c r="AH99" s="354">
        <f t="shared" si="74"/>
        <v>12.280942314077384</v>
      </c>
      <c r="AI99" s="354">
        <f t="shared" si="75"/>
        <v>0</v>
      </c>
      <c r="AJ99" s="354">
        <f t="shared" si="76"/>
        <v>23.258347254622276</v>
      </c>
      <c r="AK99" s="374">
        <f t="shared" si="77"/>
        <v>25.085623745354514</v>
      </c>
      <c r="AL99" s="354">
        <f t="shared" si="59"/>
        <v>7.1871977215074914</v>
      </c>
      <c r="AM99" s="354">
        <f t="shared" si="78"/>
        <v>16.95145396001287</v>
      </c>
      <c r="AN99" s="354">
        <f t="shared" si="79"/>
        <v>0.946972063834152</v>
      </c>
      <c r="AO99" s="374">
        <f t="shared" si="80"/>
        <v>14.545778040948441</v>
      </c>
      <c r="AP99" s="354">
        <f t="shared" si="60"/>
        <v>3.3354999026561387</v>
      </c>
      <c r="AQ99" s="354">
        <f t="shared" si="81"/>
        <v>11.210278138292303</v>
      </c>
      <c r="AR99" s="374">
        <f t="shared" si="82"/>
        <v>26.535734303161213</v>
      </c>
      <c r="AS99" s="354">
        <f t="shared" si="61"/>
        <v>11.498834512128578</v>
      </c>
      <c r="AT99" s="354">
        <f t="shared" si="83"/>
        <v>15.036899791032635</v>
      </c>
      <c r="AU99" s="355" t="s">
        <v>396</v>
      </c>
      <c r="AV99" s="353" t="s">
        <v>404</v>
      </c>
      <c r="AW99" s="355" t="s">
        <v>405</v>
      </c>
      <c r="AX99" s="355">
        <v>103328</v>
      </c>
      <c r="AY99" s="350" t="s">
        <v>406</v>
      </c>
      <c r="AZ99" s="351">
        <v>45082</v>
      </c>
      <c r="BA99" s="351">
        <v>45082</v>
      </c>
      <c r="BB99" s="350" t="s">
        <v>407</v>
      </c>
    </row>
    <row r="100" spans="1:54" x14ac:dyDescent="0.25">
      <c r="A100" s="348" t="s">
        <v>471</v>
      </c>
      <c r="B100" s="349">
        <v>4799</v>
      </c>
      <c r="C100" s="350" t="s">
        <v>458</v>
      </c>
      <c r="D100" s="351">
        <v>45076</v>
      </c>
      <c r="E100" s="352">
        <v>3110</v>
      </c>
      <c r="F100" s="352">
        <v>1</v>
      </c>
      <c r="H100" s="350" t="s">
        <v>437</v>
      </c>
      <c r="I100" s="350" t="s">
        <v>393</v>
      </c>
      <c r="J100" s="354">
        <v>684495.8</v>
      </c>
      <c r="K100" s="350" t="s">
        <v>394</v>
      </c>
      <c r="L100" s="354">
        <v>0</v>
      </c>
      <c r="M100" s="354">
        <v>333.2</v>
      </c>
      <c r="N100" s="354" t="s">
        <v>395</v>
      </c>
      <c r="O100" s="354">
        <v>273.8</v>
      </c>
      <c r="P100" s="374">
        <f t="shared" si="53"/>
        <v>20.99431053100777</v>
      </c>
      <c r="Q100" s="354">
        <f t="shared" si="54"/>
        <v>1.9800837558683098</v>
      </c>
      <c r="R100" s="354">
        <f t="shared" si="62"/>
        <v>3.3378453095584328</v>
      </c>
      <c r="S100" s="354">
        <f t="shared" si="63"/>
        <v>2.9733079075778965</v>
      </c>
      <c r="T100" s="354">
        <f t="shared" si="64"/>
        <v>12.688240823475445</v>
      </c>
      <c r="U100" s="374">
        <f t="shared" si="65"/>
        <v>84.259277537879214</v>
      </c>
      <c r="V100" s="354">
        <f t="shared" si="55"/>
        <v>2.2304034186571817</v>
      </c>
      <c r="W100" s="354">
        <f t="shared" si="66"/>
        <v>76.083680124465602</v>
      </c>
      <c r="X100" s="354">
        <f t="shared" si="67"/>
        <v>5.9451939947564307</v>
      </c>
      <c r="Y100" s="374">
        <f t="shared" si="68"/>
        <v>12.35228123220069</v>
      </c>
      <c r="Z100" s="354">
        <f t="shared" si="56"/>
        <v>6.3720481237578035</v>
      </c>
      <c r="AA100" s="354">
        <f t="shared" si="69"/>
        <v>5.9802331084428859</v>
      </c>
      <c r="AB100" s="374">
        <f t="shared" si="70"/>
        <v>67.485401668350008</v>
      </c>
      <c r="AC100" s="354">
        <f t="shared" si="57"/>
        <v>19.15185616657763</v>
      </c>
      <c r="AD100" s="354">
        <f t="shared" si="71"/>
        <v>41.689336623801097</v>
      </c>
      <c r="AE100" s="354">
        <f t="shared" si="72"/>
        <v>6.6442088779712787</v>
      </c>
      <c r="AF100" s="374">
        <f t="shared" si="73"/>
        <v>54.0118884628736</v>
      </c>
      <c r="AG100" s="354">
        <f t="shared" si="58"/>
        <v>3.4711659520297014</v>
      </c>
      <c r="AH100" s="354">
        <f t="shared" si="74"/>
        <v>17.464831323305951</v>
      </c>
      <c r="AI100" s="354">
        <f t="shared" si="75"/>
        <v>0</v>
      </c>
      <c r="AJ100" s="354">
        <f t="shared" si="76"/>
        <v>33.075891187537948</v>
      </c>
      <c r="AK100" s="374">
        <f t="shared" si="77"/>
        <v>35.674476448792674</v>
      </c>
      <c r="AL100" s="354">
        <f t="shared" si="59"/>
        <v>10.220974309886026</v>
      </c>
      <c r="AM100" s="354">
        <f t="shared" si="78"/>
        <v>24.106805204764356</v>
      </c>
      <c r="AN100" s="354">
        <f t="shared" si="79"/>
        <v>1.3466969341422939</v>
      </c>
      <c r="AO100" s="374">
        <f t="shared" si="80"/>
        <v>20.685673253282204</v>
      </c>
      <c r="AP100" s="354">
        <f t="shared" si="60"/>
        <v>4.7434424565301976</v>
      </c>
      <c r="AQ100" s="354">
        <f t="shared" si="81"/>
        <v>15.942230796752007</v>
      </c>
      <c r="AR100" s="374">
        <f t="shared" si="82"/>
        <v>37.736690865613809</v>
      </c>
      <c r="AS100" s="354">
        <f t="shared" si="61"/>
        <v>16.352589242173462</v>
      </c>
      <c r="AT100" s="354">
        <f t="shared" si="83"/>
        <v>21.384101623440348</v>
      </c>
      <c r="AU100" s="355" t="s">
        <v>396</v>
      </c>
      <c r="AV100" s="353" t="s">
        <v>404</v>
      </c>
      <c r="AW100" s="355" t="s">
        <v>405</v>
      </c>
      <c r="AX100" s="355">
        <v>117293</v>
      </c>
      <c r="AY100" s="350" t="s">
        <v>406</v>
      </c>
      <c r="AZ100" s="351">
        <v>45082</v>
      </c>
      <c r="BA100" s="351">
        <v>45082</v>
      </c>
      <c r="BB100" s="350" t="s">
        <v>407</v>
      </c>
    </row>
    <row r="101" spans="1:54" x14ac:dyDescent="0.25">
      <c r="A101" s="348" t="s">
        <v>471</v>
      </c>
      <c r="B101" s="349">
        <v>4799</v>
      </c>
      <c r="C101" s="350" t="s">
        <v>458</v>
      </c>
      <c r="D101" s="351">
        <v>45076</v>
      </c>
      <c r="E101" s="352">
        <v>3120</v>
      </c>
      <c r="F101" s="352">
        <v>1</v>
      </c>
      <c r="H101" s="350" t="s">
        <v>438</v>
      </c>
      <c r="I101" s="350" t="s">
        <v>393</v>
      </c>
      <c r="J101" s="354">
        <v>4410</v>
      </c>
      <c r="K101" s="350" t="s">
        <v>394</v>
      </c>
      <c r="L101" s="354">
        <v>0</v>
      </c>
      <c r="M101" s="354">
        <v>2.15</v>
      </c>
      <c r="N101" s="354" t="s">
        <v>395</v>
      </c>
      <c r="O101" s="354">
        <v>1.76</v>
      </c>
      <c r="P101" s="374">
        <f t="shared" si="53"/>
        <v>0.13546748992096849</v>
      </c>
      <c r="Q101" s="354">
        <f t="shared" si="54"/>
        <v>1.277665088570488E-2</v>
      </c>
      <c r="R101" s="354">
        <f t="shared" si="62"/>
        <v>2.1537717333585324E-2</v>
      </c>
      <c r="S101" s="354">
        <f t="shared" si="63"/>
        <v>1.9185510207960613E-2</v>
      </c>
      <c r="T101" s="354">
        <f t="shared" si="64"/>
        <v>8.1871902072245512E-2</v>
      </c>
      <c r="U101" s="374">
        <f t="shared" si="65"/>
        <v>0.54368981604573918</v>
      </c>
      <c r="V101" s="354">
        <f t="shared" si="55"/>
        <v>1.4391858793856363E-2</v>
      </c>
      <c r="W101" s="354">
        <f t="shared" si="66"/>
        <v>0.49093611124730202</v>
      </c>
      <c r="X101" s="354">
        <f t="shared" si="67"/>
        <v>3.8361846004580813E-2</v>
      </c>
      <c r="Y101" s="374">
        <f t="shared" si="68"/>
        <v>7.9704095585928822E-2</v>
      </c>
      <c r="Z101" s="354">
        <f t="shared" si="56"/>
        <v>4.1116156860982224E-2</v>
      </c>
      <c r="AA101" s="354">
        <f t="shared" si="69"/>
        <v>3.8587938724946591E-2</v>
      </c>
      <c r="AB101" s="374">
        <f t="shared" si="70"/>
        <v>0.43545502276996556</v>
      </c>
      <c r="AC101" s="354">
        <f t="shared" si="57"/>
        <v>0.1235789038359601</v>
      </c>
      <c r="AD101" s="354">
        <f t="shared" si="71"/>
        <v>0.26900382275261814</v>
      </c>
      <c r="AE101" s="354">
        <f t="shared" si="72"/>
        <v>4.2872296181387305E-2</v>
      </c>
      <c r="AF101" s="374">
        <f t="shared" si="73"/>
        <v>0.34851608702034287</v>
      </c>
      <c r="AG101" s="354">
        <f t="shared" si="58"/>
        <v>2.2397979582424545E-2</v>
      </c>
      <c r="AH101" s="354">
        <f t="shared" si="74"/>
        <v>0.11269323933105581</v>
      </c>
      <c r="AI101" s="354">
        <f t="shared" si="75"/>
        <v>0</v>
      </c>
      <c r="AJ101" s="354">
        <f t="shared" si="76"/>
        <v>0.21342486810686254</v>
      </c>
      <c r="AK101" s="374">
        <f t="shared" si="77"/>
        <v>0.23019245007474265</v>
      </c>
      <c r="AL101" s="354">
        <f t="shared" si="59"/>
        <v>6.5951664964750772E-2</v>
      </c>
      <c r="AM101" s="354">
        <f t="shared" si="78"/>
        <v>0.15555111401633662</v>
      </c>
      <c r="AN101" s="354">
        <f t="shared" si="79"/>
        <v>8.6896710936552567E-3</v>
      </c>
      <c r="AO101" s="374">
        <f t="shared" si="80"/>
        <v>0.13347598287682094</v>
      </c>
      <c r="AP101" s="354">
        <f t="shared" si="60"/>
        <v>3.0607446823349118E-2</v>
      </c>
      <c r="AQ101" s="354">
        <f t="shared" si="81"/>
        <v>0.10286853605347183</v>
      </c>
      <c r="AR101" s="374">
        <f t="shared" si="82"/>
        <v>0.24349905570549127</v>
      </c>
      <c r="AS101" s="354">
        <f t="shared" si="61"/>
        <v>0.10551640717488879</v>
      </c>
      <c r="AT101" s="354">
        <f t="shared" si="83"/>
        <v>0.13798264853060249</v>
      </c>
      <c r="AU101" s="355" t="s">
        <v>396</v>
      </c>
      <c r="AV101" s="353" t="s">
        <v>404</v>
      </c>
      <c r="AW101" s="355" t="s">
        <v>405</v>
      </c>
      <c r="AX101" s="355">
        <v>103265</v>
      </c>
      <c r="AY101" s="350" t="s">
        <v>406</v>
      </c>
      <c r="AZ101" s="351">
        <v>45082</v>
      </c>
      <c r="BA101" s="351">
        <v>45082</v>
      </c>
      <c r="BB101" s="350" t="s">
        <v>407</v>
      </c>
    </row>
    <row r="102" spans="1:54" x14ac:dyDescent="0.25">
      <c r="A102" s="348" t="s">
        <v>471</v>
      </c>
      <c r="B102" s="349">
        <v>4799</v>
      </c>
      <c r="C102" s="350" t="s">
        <v>458</v>
      </c>
      <c r="D102" s="351">
        <v>45076</v>
      </c>
      <c r="E102" s="352">
        <v>3120</v>
      </c>
      <c r="F102" s="352">
        <v>1</v>
      </c>
      <c r="H102" s="350" t="s">
        <v>438</v>
      </c>
      <c r="I102" s="350" t="s">
        <v>393</v>
      </c>
      <c r="J102" s="354">
        <v>29400</v>
      </c>
      <c r="K102" s="350" t="s">
        <v>394</v>
      </c>
      <c r="L102" s="354">
        <v>0</v>
      </c>
      <c r="M102" s="354">
        <v>14.31</v>
      </c>
      <c r="N102" s="354" t="s">
        <v>395</v>
      </c>
      <c r="O102" s="354">
        <v>11.76</v>
      </c>
      <c r="P102" s="374">
        <f t="shared" si="53"/>
        <v>0.90164640966002751</v>
      </c>
      <c r="Q102" s="354">
        <f t="shared" si="54"/>
        <v>8.5039011243924101E-2</v>
      </c>
      <c r="R102" s="354">
        <f t="shared" si="62"/>
        <v>0.14335103955516559</v>
      </c>
      <c r="S102" s="354">
        <f t="shared" si="63"/>
        <v>0.12769518654693787</v>
      </c>
      <c r="T102" s="354">
        <f t="shared" si="64"/>
        <v>0.54492414821108526</v>
      </c>
      <c r="U102" s="374">
        <f t="shared" si="65"/>
        <v>3.6186982640067575</v>
      </c>
      <c r="V102" s="354">
        <f t="shared" si="55"/>
        <v>9.5789534576783519E-2</v>
      </c>
      <c r="W102" s="354">
        <f t="shared" si="66"/>
        <v>3.267579419511113</v>
      </c>
      <c r="X102" s="354">
        <f t="shared" si="67"/>
        <v>0.25532930991886116</v>
      </c>
      <c r="Y102" s="374">
        <f t="shared" si="68"/>
        <v>0.53049563155099611</v>
      </c>
      <c r="Z102" s="354">
        <f t="shared" si="56"/>
        <v>0.27366149054914218</v>
      </c>
      <c r="AA102" s="354">
        <f t="shared" si="69"/>
        <v>0.25683414100185387</v>
      </c>
      <c r="AB102" s="374">
        <f t="shared" si="70"/>
        <v>2.8983076166689337</v>
      </c>
      <c r="AC102" s="354">
        <f t="shared" si="57"/>
        <v>0.82251819250818103</v>
      </c>
      <c r="AD102" s="354">
        <f t="shared" si="71"/>
        <v>1.7904393970185888</v>
      </c>
      <c r="AE102" s="354">
        <f t="shared" si="72"/>
        <v>0.2853500271421639</v>
      </c>
      <c r="AF102" s="374">
        <f t="shared" si="73"/>
        <v>2.319658235005166</v>
      </c>
      <c r="AG102" s="354">
        <f t="shared" si="58"/>
        <v>0.14907678503464897</v>
      </c>
      <c r="AH102" s="354">
        <f t="shared" si="74"/>
        <v>0.75006523480344589</v>
      </c>
      <c r="AI102" s="354">
        <f t="shared" si="75"/>
        <v>0</v>
      </c>
      <c r="AJ102" s="354">
        <f t="shared" si="76"/>
        <v>1.4205162151670712</v>
      </c>
      <c r="AK102" s="374">
        <f t="shared" si="77"/>
        <v>1.5321181211951476</v>
      </c>
      <c r="AL102" s="354">
        <f t="shared" si="59"/>
        <v>0.43896201192817835</v>
      </c>
      <c r="AM102" s="354">
        <f t="shared" si="78"/>
        <v>1.035319275150594</v>
      </c>
      <c r="AN102" s="354">
        <f t="shared" si="79"/>
        <v>5.7836834116375226E-2</v>
      </c>
      <c r="AO102" s="374">
        <f t="shared" si="80"/>
        <v>0.88839130928711996</v>
      </c>
      <c r="AP102" s="354">
        <f t="shared" si="60"/>
        <v>0.20371747164750043</v>
      </c>
      <c r="AQ102" s="354">
        <f t="shared" si="81"/>
        <v>0.68467383763961953</v>
      </c>
      <c r="AR102" s="374">
        <f t="shared" si="82"/>
        <v>1.6206844126258513</v>
      </c>
      <c r="AS102" s="354">
        <f t="shared" si="61"/>
        <v>0.70229757519658542</v>
      </c>
      <c r="AT102" s="354">
        <f t="shared" si="83"/>
        <v>0.91838683742926597</v>
      </c>
      <c r="AU102" s="355" t="s">
        <v>396</v>
      </c>
      <c r="AV102" s="353" t="s">
        <v>404</v>
      </c>
      <c r="AW102" s="355" t="s">
        <v>405</v>
      </c>
      <c r="AX102" s="355">
        <v>117871</v>
      </c>
      <c r="AY102" s="350" t="s">
        <v>406</v>
      </c>
      <c r="AZ102" s="351">
        <v>45082</v>
      </c>
      <c r="BA102" s="351">
        <v>45082</v>
      </c>
      <c r="BB102" s="350" t="s">
        <v>407</v>
      </c>
    </row>
    <row r="103" spans="1:54" x14ac:dyDescent="0.25">
      <c r="A103" s="348" t="s">
        <v>471</v>
      </c>
      <c r="B103" s="349">
        <v>4799</v>
      </c>
      <c r="C103" s="350" t="s">
        <v>458</v>
      </c>
      <c r="D103" s="351">
        <v>45076</v>
      </c>
      <c r="E103" s="352">
        <v>3120</v>
      </c>
      <c r="F103" s="352">
        <v>1</v>
      </c>
      <c r="H103" s="350" t="s">
        <v>438</v>
      </c>
      <c r="I103" s="350" t="s">
        <v>393</v>
      </c>
      <c r="J103" s="354">
        <v>23520</v>
      </c>
      <c r="K103" s="350" t="s">
        <v>394</v>
      </c>
      <c r="L103" s="354">
        <v>0</v>
      </c>
      <c r="M103" s="354">
        <v>11.45</v>
      </c>
      <c r="N103" s="354" t="s">
        <v>395</v>
      </c>
      <c r="O103" s="354">
        <v>9.41</v>
      </c>
      <c r="P103" s="374">
        <f t="shared" si="53"/>
        <v>0.72144314399771592</v>
      </c>
      <c r="Q103" s="354">
        <f t="shared" si="54"/>
        <v>6.8043094251777139E-2</v>
      </c>
      <c r="R103" s="354">
        <f t="shared" si="62"/>
        <v>0.11470086673002416</v>
      </c>
      <c r="S103" s="354">
        <f t="shared" si="63"/>
        <v>0.10217399622379025</v>
      </c>
      <c r="T103" s="354">
        <f t="shared" si="64"/>
        <v>0.43601547847777256</v>
      </c>
      <c r="U103" s="374">
        <f t="shared" si="65"/>
        <v>2.8954643691738204</v>
      </c>
      <c r="V103" s="354">
        <f t="shared" si="55"/>
        <v>7.6645015437049005E-2</v>
      </c>
      <c r="W103" s="354">
        <f t="shared" si="66"/>
        <v>2.6145202203635387</v>
      </c>
      <c r="X103" s="354">
        <f t="shared" si="67"/>
        <v>0.20429913337323269</v>
      </c>
      <c r="Y103" s="374">
        <f t="shared" si="68"/>
        <v>0.42447064858552791</v>
      </c>
      <c r="Z103" s="354">
        <f t="shared" si="56"/>
        <v>0.21896744002709137</v>
      </c>
      <c r="AA103" s="354">
        <f t="shared" si="69"/>
        <v>0.20550320855843651</v>
      </c>
      <c r="AB103" s="374">
        <f t="shared" si="70"/>
        <v>2.3190511677749326</v>
      </c>
      <c r="AC103" s="354">
        <f t="shared" si="57"/>
        <v>0.65812951112639206</v>
      </c>
      <c r="AD103" s="354">
        <f t="shared" si="71"/>
        <v>1.4326017537290592</v>
      </c>
      <c r="AE103" s="354">
        <f t="shared" si="72"/>
        <v>0.2283199029194812</v>
      </c>
      <c r="AF103" s="374">
        <f t="shared" si="73"/>
        <v>1.8560507890153142</v>
      </c>
      <c r="AG103" s="354">
        <f t="shared" si="58"/>
        <v>0.11928226335756326</v>
      </c>
      <c r="AH103" s="354">
        <f t="shared" si="74"/>
        <v>0.6001570187630646</v>
      </c>
      <c r="AI103" s="354">
        <f t="shared" si="75"/>
        <v>0</v>
      </c>
      <c r="AJ103" s="354">
        <f t="shared" si="76"/>
        <v>1.1366115068946865</v>
      </c>
      <c r="AK103" s="374">
        <f t="shared" si="77"/>
        <v>1.2259086294678154</v>
      </c>
      <c r="AL103" s="354">
        <f t="shared" si="59"/>
        <v>0.35123095992855641</v>
      </c>
      <c r="AM103" s="354">
        <f t="shared" si="78"/>
        <v>0.82840011883118803</v>
      </c>
      <c r="AN103" s="354">
        <f t="shared" si="79"/>
        <v>4.6277550708071019E-2</v>
      </c>
      <c r="AO103" s="374">
        <f t="shared" si="80"/>
        <v>0.71083721113469756</v>
      </c>
      <c r="AP103" s="354">
        <f t="shared" si="60"/>
        <v>0.16300244936155692</v>
      </c>
      <c r="AQ103" s="354">
        <f t="shared" si="81"/>
        <v>0.54783476177314061</v>
      </c>
      <c r="AR103" s="374">
        <f t="shared" si="82"/>
        <v>1.2967740408501744</v>
      </c>
      <c r="AS103" s="354">
        <f t="shared" si="61"/>
        <v>0.5619362149546403</v>
      </c>
      <c r="AT103" s="354">
        <f t="shared" si="83"/>
        <v>0.73483782589553426</v>
      </c>
      <c r="AU103" s="355" t="s">
        <v>396</v>
      </c>
      <c r="AV103" s="353" t="s">
        <v>404</v>
      </c>
      <c r="AW103" s="355" t="s">
        <v>405</v>
      </c>
      <c r="AX103" s="355">
        <v>103321</v>
      </c>
      <c r="AY103" s="350" t="s">
        <v>406</v>
      </c>
      <c r="AZ103" s="351">
        <v>45082</v>
      </c>
      <c r="BA103" s="351">
        <v>45082</v>
      </c>
      <c r="BB103" s="350" t="s">
        <v>407</v>
      </c>
    </row>
    <row r="104" spans="1:54" x14ac:dyDescent="0.25">
      <c r="A104" s="348" t="s">
        <v>471</v>
      </c>
      <c r="B104" s="349">
        <v>4799</v>
      </c>
      <c r="C104" s="350" t="s">
        <v>458</v>
      </c>
      <c r="D104" s="351">
        <v>45076</v>
      </c>
      <c r="E104" s="352">
        <v>3120</v>
      </c>
      <c r="F104" s="352">
        <v>1</v>
      </c>
      <c r="H104" s="350" t="s">
        <v>438</v>
      </c>
      <c r="I104" s="350" t="s">
        <v>393</v>
      </c>
      <c r="J104" s="354">
        <v>23520</v>
      </c>
      <c r="K104" s="350" t="s">
        <v>394</v>
      </c>
      <c r="L104" s="354">
        <v>0</v>
      </c>
      <c r="M104" s="354">
        <v>11.45</v>
      </c>
      <c r="N104" s="354" t="s">
        <v>395</v>
      </c>
      <c r="O104" s="354">
        <v>1.76</v>
      </c>
      <c r="P104" s="374">
        <f t="shared" si="53"/>
        <v>0.72144314399771592</v>
      </c>
      <c r="Q104" s="354">
        <f t="shared" si="54"/>
        <v>6.8043094251777139E-2</v>
      </c>
      <c r="R104" s="354">
        <f t="shared" si="62"/>
        <v>0.11470086673002416</v>
      </c>
      <c r="S104" s="354">
        <f t="shared" si="63"/>
        <v>0.10217399622379025</v>
      </c>
      <c r="T104" s="354">
        <f t="shared" si="64"/>
        <v>0.43601547847777256</v>
      </c>
      <c r="U104" s="374">
        <f t="shared" si="65"/>
        <v>2.8954643691738204</v>
      </c>
      <c r="V104" s="354">
        <f t="shared" si="55"/>
        <v>7.6645015437049005E-2</v>
      </c>
      <c r="W104" s="354">
        <f t="shared" si="66"/>
        <v>2.6145202203635387</v>
      </c>
      <c r="X104" s="354">
        <f t="shared" si="67"/>
        <v>0.20429913337323269</v>
      </c>
      <c r="Y104" s="374">
        <f t="shared" si="68"/>
        <v>0.42447064858552791</v>
      </c>
      <c r="Z104" s="354">
        <f t="shared" si="56"/>
        <v>0.21896744002709137</v>
      </c>
      <c r="AA104" s="354">
        <f t="shared" si="69"/>
        <v>0.20550320855843651</v>
      </c>
      <c r="AB104" s="374">
        <f t="shared" si="70"/>
        <v>2.3190511677749326</v>
      </c>
      <c r="AC104" s="354">
        <f t="shared" si="57"/>
        <v>0.65812951112639206</v>
      </c>
      <c r="AD104" s="354">
        <f t="shared" si="71"/>
        <v>1.4326017537290592</v>
      </c>
      <c r="AE104" s="354">
        <f t="shared" si="72"/>
        <v>0.2283199029194812</v>
      </c>
      <c r="AF104" s="374">
        <f t="shared" si="73"/>
        <v>1.8560507890153142</v>
      </c>
      <c r="AG104" s="354">
        <f t="shared" si="58"/>
        <v>0.11928226335756326</v>
      </c>
      <c r="AH104" s="354">
        <f t="shared" si="74"/>
        <v>0.6001570187630646</v>
      </c>
      <c r="AI104" s="354">
        <f t="shared" si="75"/>
        <v>0</v>
      </c>
      <c r="AJ104" s="354">
        <f t="shared" si="76"/>
        <v>1.1366115068946865</v>
      </c>
      <c r="AK104" s="374">
        <f t="shared" si="77"/>
        <v>1.2259086294678154</v>
      </c>
      <c r="AL104" s="354">
        <f t="shared" si="59"/>
        <v>0.35123095992855641</v>
      </c>
      <c r="AM104" s="354">
        <f t="shared" si="78"/>
        <v>0.82840011883118803</v>
      </c>
      <c r="AN104" s="354">
        <f t="shared" si="79"/>
        <v>4.6277550708071019E-2</v>
      </c>
      <c r="AO104" s="374">
        <f t="shared" si="80"/>
        <v>0.71083721113469756</v>
      </c>
      <c r="AP104" s="354">
        <f t="shared" si="60"/>
        <v>0.16300244936155692</v>
      </c>
      <c r="AQ104" s="354">
        <f t="shared" si="81"/>
        <v>0.54783476177314061</v>
      </c>
      <c r="AR104" s="374">
        <f t="shared" si="82"/>
        <v>1.2967740408501744</v>
      </c>
      <c r="AS104" s="354">
        <f t="shared" si="61"/>
        <v>0.5619362149546403</v>
      </c>
      <c r="AT104" s="354">
        <f t="shared" si="83"/>
        <v>0.73483782589553426</v>
      </c>
      <c r="AU104" s="355" t="s">
        <v>396</v>
      </c>
      <c r="AV104" s="353" t="s">
        <v>404</v>
      </c>
      <c r="AW104" s="355" t="s">
        <v>405</v>
      </c>
      <c r="AX104" s="355">
        <v>117872</v>
      </c>
      <c r="AY104" s="350" t="s">
        <v>406</v>
      </c>
      <c r="AZ104" s="351">
        <v>45082</v>
      </c>
      <c r="BA104" s="351">
        <v>45082</v>
      </c>
      <c r="BB104" s="350" t="s">
        <v>407</v>
      </c>
    </row>
    <row r="105" spans="1:54" x14ac:dyDescent="0.25">
      <c r="A105" s="348" t="s">
        <v>471</v>
      </c>
      <c r="B105" s="349">
        <v>4799</v>
      </c>
      <c r="C105" s="350" t="s">
        <v>458</v>
      </c>
      <c r="D105" s="351">
        <v>45076</v>
      </c>
      <c r="E105" s="352">
        <v>3120</v>
      </c>
      <c r="F105" s="352">
        <v>1</v>
      </c>
      <c r="H105" s="350" t="s">
        <v>438</v>
      </c>
      <c r="I105" s="350" t="s">
        <v>393</v>
      </c>
      <c r="J105" s="354">
        <v>8820</v>
      </c>
      <c r="K105" s="350" t="s">
        <v>394</v>
      </c>
      <c r="L105" s="354">
        <v>0</v>
      </c>
      <c r="M105" s="354">
        <v>4.29</v>
      </c>
      <c r="N105" s="354" t="s">
        <v>395</v>
      </c>
      <c r="O105" s="354">
        <v>9.41</v>
      </c>
      <c r="P105" s="374">
        <f t="shared" si="53"/>
        <v>0.27030489849346739</v>
      </c>
      <c r="Q105" s="354">
        <f t="shared" si="54"/>
        <v>2.5493875488220435E-2</v>
      </c>
      <c r="R105" s="354">
        <f t="shared" si="62"/>
        <v>4.2975259237712116E-2</v>
      </c>
      <c r="S105" s="354">
        <f t="shared" si="63"/>
        <v>3.8281785484721415E-2</v>
      </c>
      <c r="T105" s="354">
        <f t="shared" si="64"/>
        <v>0.16336300459996897</v>
      </c>
      <c r="U105" s="374">
        <f t="shared" si="65"/>
        <v>1.0848508422494052</v>
      </c>
      <c r="V105" s="354">
        <f t="shared" si="55"/>
        <v>2.8716778709601768E-2</v>
      </c>
      <c r="W105" s="354">
        <f t="shared" si="66"/>
        <v>0.97958879872136084</v>
      </c>
      <c r="X105" s="354">
        <f t="shared" si="67"/>
        <v>7.6545264818442649E-2</v>
      </c>
      <c r="Y105" s="374">
        <f t="shared" si="68"/>
        <v>0.15903747444820218</v>
      </c>
      <c r="Z105" s="354">
        <f t="shared" si="56"/>
        <v>8.2041075783076164E-2</v>
      </c>
      <c r="AA105" s="354">
        <f t="shared" si="69"/>
        <v>7.6996398665126004E-2</v>
      </c>
      <c r="AB105" s="374">
        <f t="shared" si="70"/>
        <v>0.86888467334100106</v>
      </c>
      <c r="AC105" s="354">
        <f t="shared" si="57"/>
        <v>0.24658302207268318</v>
      </c>
      <c r="AD105" s="354">
        <f t="shared" si="71"/>
        <v>0.53675646493429385</v>
      </c>
      <c r="AE105" s="354">
        <f t="shared" si="72"/>
        <v>8.554518633402397E-2</v>
      </c>
      <c r="AF105" s="374">
        <f t="shared" si="73"/>
        <v>0.69541116898477717</v>
      </c>
      <c r="AG105" s="354">
        <f t="shared" si="58"/>
        <v>4.4691782515628511E-2</v>
      </c>
      <c r="AH105" s="354">
        <f t="shared" si="74"/>
        <v>0.22486232406057183</v>
      </c>
      <c r="AI105" s="354">
        <f t="shared" si="75"/>
        <v>0</v>
      </c>
      <c r="AJ105" s="354">
        <f t="shared" si="76"/>
        <v>0.4258570624085769</v>
      </c>
      <c r="AK105" s="374">
        <f t="shared" si="77"/>
        <v>0.45931423759099815</v>
      </c>
      <c r="AL105" s="354">
        <f t="shared" si="59"/>
        <v>0.13159657799943295</v>
      </c>
      <c r="AM105" s="354">
        <f t="shared" si="78"/>
        <v>0.31037873447910891</v>
      </c>
      <c r="AN105" s="354">
        <f t="shared" si="79"/>
        <v>1.7338925112456306E-2</v>
      </c>
      <c r="AO105" s="374">
        <f t="shared" si="80"/>
        <v>0.26633114722863344</v>
      </c>
      <c r="AP105" s="354">
        <f t="shared" si="60"/>
        <v>6.1072533428915221E-2</v>
      </c>
      <c r="AQ105" s="354">
        <f t="shared" si="81"/>
        <v>0.20525861379971821</v>
      </c>
      <c r="AR105" s="374">
        <f t="shared" si="82"/>
        <v>0.48586555766351519</v>
      </c>
      <c r="AS105" s="354">
        <f t="shared" si="61"/>
        <v>0.21054204036291765</v>
      </c>
      <c r="AT105" s="354">
        <f t="shared" si="83"/>
        <v>0.27532351730059756</v>
      </c>
      <c r="AU105" s="355" t="s">
        <v>396</v>
      </c>
      <c r="AV105" s="353" t="s">
        <v>404</v>
      </c>
      <c r="AW105" s="355" t="s">
        <v>405</v>
      </c>
      <c r="AX105" s="355">
        <v>103328</v>
      </c>
      <c r="AY105" s="350" t="s">
        <v>406</v>
      </c>
      <c r="AZ105" s="351">
        <v>45082</v>
      </c>
      <c r="BA105" s="351">
        <v>45082</v>
      </c>
      <c r="BB105" s="350" t="s">
        <v>407</v>
      </c>
    </row>
    <row r="106" spans="1:54" x14ac:dyDescent="0.25">
      <c r="A106" s="348" t="s">
        <v>471</v>
      </c>
      <c r="B106" s="349">
        <v>4799</v>
      </c>
      <c r="C106" s="350" t="s">
        <v>458</v>
      </c>
      <c r="D106" s="351">
        <v>45076</v>
      </c>
      <c r="E106" s="352">
        <v>3120</v>
      </c>
      <c r="F106" s="352">
        <v>1</v>
      </c>
      <c r="H106" s="350" t="s">
        <v>438</v>
      </c>
      <c r="I106" s="350" t="s">
        <v>393</v>
      </c>
      <c r="J106" s="354">
        <v>2940</v>
      </c>
      <c r="K106" s="350" t="s">
        <v>394</v>
      </c>
      <c r="L106" s="354">
        <v>0</v>
      </c>
      <c r="M106" s="354">
        <v>1.43</v>
      </c>
      <c r="N106" s="354" t="s">
        <v>395</v>
      </c>
      <c r="O106" s="354">
        <v>3.53</v>
      </c>
      <c r="P106" s="374">
        <f t="shared" si="53"/>
        <v>9.0101632831155784E-2</v>
      </c>
      <c r="Q106" s="354">
        <f t="shared" si="54"/>
        <v>8.4979584960734773E-3</v>
      </c>
      <c r="R106" s="354">
        <f t="shared" si="62"/>
        <v>1.4325086412570704E-2</v>
      </c>
      <c r="S106" s="354">
        <f t="shared" si="63"/>
        <v>1.2760595161573804E-2</v>
      </c>
      <c r="T106" s="354">
        <f t="shared" si="64"/>
        <v>5.4454334866656309E-2</v>
      </c>
      <c r="U106" s="374">
        <f t="shared" si="65"/>
        <v>0.36161694741646844</v>
      </c>
      <c r="V106" s="354">
        <f t="shared" si="55"/>
        <v>9.5722595698672572E-3</v>
      </c>
      <c r="W106" s="354">
        <f t="shared" si="66"/>
        <v>0.32652959957378697</v>
      </c>
      <c r="X106" s="354">
        <f t="shared" si="67"/>
        <v>2.5515088272814217E-2</v>
      </c>
      <c r="Y106" s="374">
        <f t="shared" si="68"/>
        <v>5.3012491482734056E-2</v>
      </c>
      <c r="Z106" s="354">
        <f t="shared" si="56"/>
        <v>2.7347025261025386E-2</v>
      </c>
      <c r="AA106" s="354">
        <f t="shared" si="69"/>
        <v>2.5665466221708667E-2</v>
      </c>
      <c r="AB106" s="374">
        <f t="shared" si="70"/>
        <v>0.28962822444700037</v>
      </c>
      <c r="AC106" s="354">
        <f t="shared" si="57"/>
        <v>8.2194340690894402E-2</v>
      </c>
      <c r="AD106" s="354">
        <f t="shared" si="71"/>
        <v>0.17891882164476464</v>
      </c>
      <c r="AE106" s="354">
        <f t="shared" si="72"/>
        <v>2.8515062111341326E-2</v>
      </c>
      <c r="AF106" s="374">
        <f t="shared" si="73"/>
        <v>0.23180372299492571</v>
      </c>
      <c r="AG106" s="354">
        <f t="shared" si="58"/>
        <v>1.4897260838542837E-2</v>
      </c>
      <c r="AH106" s="354">
        <f t="shared" si="74"/>
        <v>7.4954108020190605E-2</v>
      </c>
      <c r="AI106" s="354">
        <f t="shared" si="75"/>
        <v>0</v>
      </c>
      <c r="AJ106" s="354">
        <f t="shared" si="76"/>
        <v>0.14195235413619228</v>
      </c>
      <c r="AK106" s="374">
        <f t="shared" si="77"/>
        <v>0.15310474586366604</v>
      </c>
      <c r="AL106" s="354">
        <f t="shared" si="59"/>
        <v>4.3865525999810979E-2</v>
      </c>
      <c r="AM106" s="354">
        <f t="shared" si="78"/>
        <v>0.10345957815970297</v>
      </c>
      <c r="AN106" s="354">
        <f t="shared" si="79"/>
        <v>5.7796417041521015E-3</v>
      </c>
      <c r="AO106" s="374">
        <f t="shared" si="80"/>
        <v>8.8777049076211145E-2</v>
      </c>
      <c r="AP106" s="354">
        <f t="shared" si="60"/>
        <v>2.035751114297174E-2</v>
      </c>
      <c r="AQ106" s="354">
        <f t="shared" si="81"/>
        <v>6.8419537933239405E-2</v>
      </c>
      <c r="AR106" s="374">
        <f t="shared" si="82"/>
        <v>0.16195518588783839</v>
      </c>
      <c r="AS106" s="354">
        <f t="shared" si="61"/>
        <v>7.0180680120972547E-2</v>
      </c>
      <c r="AT106" s="354">
        <f t="shared" si="83"/>
        <v>9.1774505766865855E-2</v>
      </c>
      <c r="AU106" s="355" t="s">
        <v>396</v>
      </c>
      <c r="AV106" s="353" t="s">
        <v>404</v>
      </c>
      <c r="AW106" s="355" t="s">
        <v>405</v>
      </c>
      <c r="AX106" s="355">
        <v>117293</v>
      </c>
      <c r="AY106" s="350" t="s">
        <v>406</v>
      </c>
      <c r="AZ106" s="351">
        <v>45082</v>
      </c>
      <c r="BA106" s="351">
        <v>45082</v>
      </c>
      <c r="BB106" s="350" t="s">
        <v>407</v>
      </c>
    </row>
    <row r="107" spans="1:54" x14ac:dyDescent="0.25">
      <c r="A107" s="348" t="s">
        <v>471</v>
      </c>
      <c r="B107" s="349">
        <v>4799</v>
      </c>
      <c r="C107" s="350" t="s">
        <v>458</v>
      </c>
      <c r="D107" s="351">
        <v>45076</v>
      </c>
      <c r="E107" s="352">
        <v>3120</v>
      </c>
      <c r="F107" s="352">
        <v>1</v>
      </c>
      <c r="H107" s="350" t="s">
        <v>438</v>
      </c>
      <c r="I107" s="350" t="s">
        <v>393</v>
      </c>
      <c r="J107" s="354">
        <v>4410</v>
      </c>
      <c r="K107" s="350" t="s">
        <v>394</v>
      </c>
      <c r="L107" s="354">
        <v>0</v>
      </c>
      <c r="M107" s="354">
        <v>2.15</v>
      </c>
      <c r="N107" s="354" t="s">
        <v>395</v>
      </c>
      <c r="O107" s="354">
        <v>1.18</v>
      </c>
      <c r="P107" s="374">
        <f t="shared" si="53"/>
        <v>0.13546748992096849</v>
      </c>
      <c r="Q107" s="354">
        <f t="shared" ref="Q107" si="84">P107*$Q$2</f>
        <v>1.277665088570488E-2</v>
      </c>
      <c r="R107" s="354">
        <f t="shared" ref="R107" si="85">P107*$R$2</f>
        <v>2.1537717333585324E-2</v>
      </c>
      <c r="S107" s="354">
        <f t="shared" ref="S107" si="86">P107*$S$2</f>
        <v>1.9185510207960613E-2</v>
      </c>
      <c r="T107" s="354">
        <f t="shared" ref="T107" si="87">P107*$T$2</f>
        <v>8.1871902072245512E-2</v>
      </c>
      <c r="U107" s="374">
        <f t="shared" si="65"/>
        <v>0.54368981604573918</v>
      </c>
      <c r="V107" s="354">
        <f t="shared" si="55"/>
        <v>1.4391858793856363E-2</v>
      </c>
      <c r="W107" s="354">
        <f t="shared" si="66"/>
        <v>0.49093611124730202</v>
      </c>
      <c r="X107" s="354">
        <f t="shared" si="67"/>
        <v>3.8361846004580813E-2</v>
      </c>
      <c r="Y107" s="374">
        <f t="shared" si="68"/>
        <v>7.9704095585928822E-2</v>
      </c>
      <c r="Z107" s="354">
        <f t="shared" si="56"/>
        <v>4.1116156860982224E-2</v>
      </c>
      <c r="AA107" s="354">
        <f t="shared" si="69"/>
        <v>3.8587938724946591E-2</v>
      </c>
      <c r="AB107" s="374">
        <f t="shared" si="70"/>
        <v>0.43545502276996556</v>
      </c>
      <c r="AC107" s="354">
        <f t="shared" si="57"/>
        <v>0.1235789038359601</v>
      </c>
      <c r="AD107" s="354">
        <f t="shared" si="71"/>
        <v>0.26900382275261814</v>
      </c>
      <c r="AE107" s="354">
        <f t="shared" si="72"/>
        <v>4.2872296181387305E-2</v>
      </c>
      <c r="AF107" s="374">
        <f t="shared" si="73"/>
        <v>0.34851608702034287</v>
      </c>
      <c r="AG107" s="354">
        <f t="shared" si="58"/>
        <v>2.2397979582424545E-2</v>
      </c>
      <c r="AH107" s="354">
        <f t="shared" si="74"/>
        <v>0.11269323933105581</v>
      </c>
      <c r="AI107" s="354">
        <f t="shared" si="75"/>
        <v>0</v>
      </c>
      <c r="AJ107" s="354">
        <f t="shared" si="76"/>
        <v>0.21342486810686254</v>
      </c>
      <c r="AK107" s="374">
        <f t="shared" si="77"/>
        <v>0.23019245007474265</v>
      </c>
      <c r="AL107" s="354">
        <f t="shared" si="59"/>
        <v>6.5951664964750772E-2</v>
      </c>
      <c r="AM107" s="354">
        <f t="shared" si="78"/>
        <v>0.15555111401633662</v>
      </c>
      <c r="AN107" s="354">
        <f t="shared" si="79"/>
        <v>8.6896710936552567E-3</v>
      </c>
      <c r="AO107" s="374">
        <f t="shared" si="80"/>
        <v>0.13347598287682094</v>
      </c>
      <c r="AP107" s="354">
        <f t="shared" si="60"/>
        <v>3.0607446823349118E-2</v>
      </c>
      <c r="AQ107" s="354">
        <f t="shared" si="81"/>
        <v>0.10286853605347183</v>
      </c>
      <c r="AR107" s="374">
        <f t="shared" si="82"/>
        <v>0.24349905570549127</v>
      </c>
      <c r="AS107" s="354">
        <f t="shared" ref="AS107" si="88">AR107*$AS$2</f>
        <v>0.10551640717488879</v>
      </c>
      <c r="AT107" s="354">
        <f t="shared" ref="AT107" si="89">AR107*$AT$2</f>
        <v>0.13798264853060249</v>
      </c>
      <c r="AU107" s="355" t="s">
        <v>396</v>
      </c>
      <c r="AV107" s="353" t="s">
        <v>404</v>
      </c>
      <c r="AW107" s="355" t="s">
        <v>405</v>
      </c>
      <c r="AX107" s="355">
        <v>117427</v>
      </c>
      <c r="AY107" s="350" t="s">
        <v>406</v>
      </c>
      <c r="AZ107" s="351">
        <v>45082</v>
      </c>
      <c r="BA107" s="351">
        <v>45082</v>
      </c>
      <c r="BB107" s="350" t="s">
        <v>407</v>
      </c>
    </row>
    <row r="108" spans="1:54" x14ac:dyDescent="0.25">
      <c r="A108" s="348" t="s">
        <v>472</v>
      </c>
      <c r="B108" s="349">
        <v>4805</v>
      </c>
      <c r="C108" s="350" t="s">
        <v>458</v>
      </c>
      <c r="D108" s="351">
        <v>45057</v>
      </c>
      <c r="E108" s="352">
        <v>3420</v>
      </c>
      <c r="F108" s="352">
        <v>7</v>
      </c>
      <c r="H108" s="350" t="s">
        <v>473</v>
      </c>
      <c r="I108" s="350" t="s">
        <v>393</v>
      </c>
      <c r="J108" s="354">
        <v>35381</v>
      </c>
      <c r="K108" s="350" t="s">
        <v>394</v>
      </c>
      <c r="L108" s="354">
        <v>0</v>
      </c>
      <c r="M108" s="354">
        <v>17.22</v>
      </c>
      <c r="N108" s="354" t="s">
        <v>395</v>
      </c>
      <c r="O108" s="354">
        <v>13.75</v>
      </c>
      <c r="P108" s="374">
        <f t="shared" si="53"/>
        <v>1.0850000820646872</v>
      </c>
      <c r="Q108" s="354">
        <f t="shared" si="54"/>
        <v>0.10233205965201769</v>
      </c>
      <c r="R108" s="354">
        <f t="shared" si="62"/>
        <v>0.17250208952759968</v>
      </c>
      <c r="S108" s="354">
        <f t="shared" si="63"/>
        <v>0.15366255152608455</v>
      </c>
      <c r="T108" s="354">
        <f t="shared" si="64"/>
        <v>0.65573681566700825</v>
      </c>
      <c r="U108" s="374">
        <f t="shared" si="65"/>
        <v>4.3545761080500602</v>
      </c>
      <c r="V108" s="354">
        <f t="shared" si="55"/>
        <v>0.11526874810707283</v>
      </c>
      <c r="W108" s="354">
        <f t="shared" si="66"/>
        <v>3.932055737524903</v>
      </c>
      <c r="X108" s="354">
        <f t="shared" si="67"/>
        <v>0.30725162241808446</v>
      </c>
      <c r="Y108" s="374">
        <f t="shared" si="68"/>
        <v>0.63837419813474161</v>
      </c>
      <c r="Z108" s="354">
        <f t="shared" si="56"/>
        <v>0.32931173076563441</v>
      </c>
      <c r="AA108" s="354">
        <f t="shared" si="69"/>
        <v>0.3090624673691072</v>
      </c>
      <c r="AB108" s="374">
        <f t="shared" si="70"/>
        <v>3.4876909265575846</v>
      </c>
      <c r="AC108" s="354">
        <f t="shared" si="57"/>
        <v>0.98978080188615492</v>
      </c>
      <c r="AD108" s="354">
        <f t="shared" si="71"/>
        <v>2.1545329431628302</v>
      </c>
      <c r="AE108" s="354">
        <f t="shared" si="72"/>
        <v>0.34337718150859969</v>
      </c>
      <c r="AF108" s="374">
        <f t="shared" si="73"/>
        <v>2.7913707062745599</v>
      </c>
      <c r="AG108" s="354">
        <f t="shared" si="58"/>
        <v>0.17939218995783751</v>
      </c>
      <c r="AH108" s="354">
        <f t="shared" si="74"/>
        <v>0.90259422385152599</v>
      </c>
      <c r="AI108" s="354">
        <f t="shared" si="75"/>
        <v>0</v>
      </c>
      <c r="AJ108" s="354">
        <f t="shared" si="76"/>
        <v>1.7093842924651965</v>
      </c>
      <c r="AK108" s="374">
        <f t="shared" si="77"/>
        <v>1.8436809257149154</v>
      </c>
      <c r="AL108" s="354">
        <f t="shared" si="59"/>
        <v>0.52822682357814332</v>
      </c>
      <c r="AM108" s="354">
        <f t="shared" si="78"/>
        <v>1.2458558992378217</v>
      </c>
      <c r="AN108" s="354">
        <f t="shared" si="79"/>
        <v>6.9598202898950468E-2</v>
      </c>
      <c r="AO108" s="374">
        <f t="shared" si="80"/>
        <v>1.0690495000645845</v>
      </c>
      <c r="AP108" s="354">
        <f t="shared" si="60"/>
        <v>0.24514429502235899</v>
      </c>
      <c r="AQ108" s="354">
        <f t="shared" si="81"/>
        <v>0.82390520504222564</v>
      </c>
      <c r="AR108" s="374">
        <f t="shared" si="82"/>
        <v>1.9502575531388651</v>
      </c>
      <c r="AS108" s="354">
        <f t="shared" si="61"/>
        <v>0.84511280537283029</v>
      </c>
      <c r="AT108" s="354">
        <f t="shared" si="83"/>
        <v>1.105144747766035</v>
      </c>
      <c r="AU108" s="355" t="s">
        <v>396</v>
      </c>
      <c r="AV108" s="353" t="s">
        <v>404</v>
      </c>
      <c r="AW108" s="355" t="s">
        <v>405</v>
      </c>
      <c r="AX108" s="355">
        <v>0</v>
      </c>
      <c r="AY108" s="350" t="s">
        <v>474</v>
      </c>
      <c r="AZ108" s="351">
        <v>45079</v>
      </c>
      <c r="BA108" s="351">
        <v>45082</v>
      </c>
      <c r="BB108" s="350" t="s">
        <v>407</v>
      </c>
    </row>
    <row r="109" spans="1:54" x14ac:dyDescent="0.25">
      <c r="A109" s="348" t="s">
        <v>472</v>
      </c>
      <c r="B109" s="349">
        <v>4949</v>
      </c>
      <c r="C109" s="350" t="s">
        <v>458</v>
      </c>
      <c r="D109" s="351">
        <v>45057</v>
      </c>
      <c r="E109" s="352">
        <v>3420</v>
      </c>
      <c r="F109" s="352">
        <v>7</v>
      </c>
      <c r="H109" s="350" t="s">
        <v>475</v>
      </c>
      <c r="I109" s="350" t="s">
        <v>476</v>
      </c>
      <c r="J109" s="354">
        <v>-35381</v>
      </c>
      <c r="K109" s="350" t="s">
        <v>394</v>
      </c>
      <c r="L109" s="354">
        <v>0</v>
      </c>
      <c r="M109" s="354">
        <v>-17.22</v>
      </c>
      <c r="N109" s="354" t="s">
        <v>395</v>
      </c>
      <c r="O109" s="354">
        <v>-13.75</v>
      </c>
      <c r="P109" s="374">
        <f t="shared" si="53"/>
        <v>-1.0850000820646872</v>
      </c>
      <c r="Q109" s="354">
        <f t="shared" si="54"/>
        <v>-0.10233205965201769</v>
      </c>
      <c r="R109" s="354">
        <f t="shared" si="62"/>
        <v>-0.17250208952759968</v>
      </c>
      <c r="S109" s="354">
        <f t="shared" si="63"/>
        <v>-0.15366255152608455</v>
      </c>
      <c r="T109" s="354">
        <f t="shared" si="64"/>
        <v>-0.65573681566700825</v>
      </c>
      <c r="U109" s="374">
        <f t="shared" si="65"/>
        <v>-4.3545761080500602</v>
      </c>
      <c r="V109" s="354">
        <f t="shared" si="55"/>
        <v>-0.11526874810707283</v>
      </c>
      <c r="W109" s="354">
        <f t="shared" si="66"/>
        <v>-3.932055737524903</v>
      </c>
      <c r="X109" s="354">
        <f t="shared" si="67"/>
        <v>-0.30725162241808446</v>
      </c>
      <c r="Y109" s="374">
        <f t="shared" si="68"/>
        <v>-0.63837419813474161</v>
      </c>
      <c r="Z109" s="354">
        <f t="shared" si="56"/>
        <v>-0.32931173076563441</v>
      </c>
      <c r="AA109" s="354">
        <f t="shared" si="69"/>
        <v>-0.3090624673691072</v>
      </c>
      <c r="AB109" s="374">
        <f t="shared" si="70"/>
        <v>-3.4876909265575846</v>
      </c>
      <c r="AC109" s="354">
        <f t="shared" si="57"/>
        <v>-0.98978080188615492</v>
      </c>
      <c r="AD109" s="354">
        <f t="shared" si="71"/>
        <v>-2.1545329431628302</v>
      </c>
      <c r="AE109" s="354">
        <f t="shared" si="72"/>
        <v>-0.34337718150859969</v>
      </c>
      <c r="AF109" s="374">
        <f t="shared" si="73"/>
        <v>-2.7913707062745599</v>
      </c>
      <c r="AG109" s="354">
        <f t="shared" si="58"/>
        <v>-0.17939218995783751</v>
      </c>
      <c r="AH109" s="354">
        <f t="shared" si="74"/>
        <v>-0.90259422385152599</v>
      </c>
      <c r="AI109" s="354">
        <f t="shared" si="75"/>
        <v>0</v>
      </c>
      <c r="AJ109" s="354">
        <f t="shared" si="76"/>
        <v>-1.7093842924651965</v>
      </c>
      <c r="AK109" s="374">
        <f t="shared" si="77"/>
        <v>-1.8436809257149154</v>
      </c>
      <c r="AL109" s="354">
        <f t="shared" si="59"/>
        <v>-0.52822682357814332</v>
      </c>
      <c r="AM109" s="354">
        <f t="shared" si="78"/>
        <v>-1.2458558992378217</v>
      </c>
      <c r="AN109" s="354">
        <f t="shared" si="79"/>
        <v>-6.9598202898950468E-2</v>
      </c>
      <c r="AO109" s="374">
        <f t="shared" si="80"/>
        <v>-1.0690495000645845</v>
      </c>
      <c r="AP109" s="354">
        <f t="shared" si="60"/>
        <v>-0.24514429502235899</v>
      </c>
      <c r="AQ109" s="354">
        <f t="shared" si="81"/>
        <v>-0.82390520504222564</v>
      </c>
      <c r="AR109" s="374">
        <f t="shared" si="82"/>
        <v>-1.9502575531388651</v>
      </c>
      <c r="AS109" s="354">
        <f t="shared" si="61"/>
        <v>-0.84511280537283029</v>
      </c>
      <c r="AT109" s="354">
        <f t="shared" si="83"/>
        <v>-1.105144747766035</v>
      </c>
      <c r="AU109" s="355" t="s">
        <v>396</v>
      </c>
      <c r="AV109" s="353" t="s">
        <v>404</v>
      </c>
      <c r="AW109" s="355" t="s">
        <v>405</v>
      </c>
      <c r="AX109" s="355">
        <v>0</v>
      </c>
      <c r="AY109" s="350" t="s">
        <v>410</v>
      </c>
      <c r="AZ109" s="351">
        <v>45082</v>
      </c>
      <c r="BA109" s="351">
        <v>45082</v>
      </c>
      <c r="BB109" s="350" t="s">
        <v>407</v>
      </c>
    </row>
    <row r="110" spans="1:54" x14ac:dyDescent="0.25">
      <c r="A110" s="348" t="s">
        <v>477</v>
      </c>
      <c r="B110" s="349">
        <v>4956</v>
      </c>
      <c r="C110" s="350" t="s">
        <v>458</v>
      </c>
      <c r="D110" s="351">
        <v>45048</v>
      </c>
      <c r="E110" s="352">
        <v>3170</v>
      </c>
      <c r="F110" s="352">
        <v>1</v>
      </c>
      <c r="H110" s="350" t="s">
        <v>478</v>
      </c>
      <c r="I110" s="350" t="s">
        <v>393</v>
      </c>
      <c r="J110" s="354">
        <v>231094</v>
      </c>
      <c r="K110" s="350" t="s">
        <v>394</v>
      </c>
      <c r="L110" s="354">
        <v>0</v>
      </c>
      <c r="M110" s="354">
        <v>112.49</v>
      </c>
      <c r="N110" s="354" t="s">
        <v>395</v>
      </c>
      <c r="O110" s="354">
        <v>89.83</v>
      </c>
      <c r="P110" s="374">
        <f t="shared" si="53"/>
        <v>7.0877850889347656</v>
      </c>
      <c r="Q110" s="354">
        <f t="shared" si="54"/>
        <v>0.66848625959671715</v>
      </c>
      <c r="R110" s="354">
        <f t="shared" si="62"/>
        <v>1.1268734059790759</v>
      </c>
      <c r="S110" s="354">
        <f t="shared" si="63"/>
        <v>1.0038037410667393</v>
      </c>
      <c r="T110" s="354">
        <f t="shared" si="64"/>
        <v>4.2836140763287895</v>
      </c>
      <c r="U110" s="374">
        <f t="shared" si="65"/>
        <v>28.446356933481489</v>
      </c>
      <c r="V110" s="354">
        <f t="shared" si="55"/>
        <v>0.75299543987018713</v>
      </c>
      <c r="W110" s="354">
        <f t="shared" si="66"/>
        <v>25.686234025213491</v>
      </c>
      <c r="X110" s="354">
        <f t="shared" si="67"/>
        <v>2.0071274683978118</v>
      </c>
      <c r="Y110" s="374">
        <f t="shared" si="68"/>
        <v>4.1701924244005273</v>
      </c>
      <c r="Z110" s="354">
        <f t="shared" si="56"/>
        <v>2.1512355745543679</v>
      </c>
      <c r="AA110" s="354">
        <f t="shared" si="69"/>
        <v>2.0189568498461594</v>
      </c>
      <c r="AB110" s="374">
        <f t="shared" si="70"/>
        <v>22.783411865764382</v>
      </c>
      <c r="AC110" s="354">
        <f t="shared" si="57"/>
        <v>6.4657632058172796</v>
      </c>
      <c r="AD110" s="354">
        <f t="shared" si="71"/>
        <v>14.074530242531168</v>
      </c>
      <c r="AE110" s="354">
        <f t="shared" si="72"/>
        <v>2.2431184174159338</v>
      </c>
      <c r="AF110" s="374">
        <f t="shared" si="73"/>
        <v>18.23468587391552</v>
      </c>
      <c r="AG110" s="354">
        <f t="shared" si="58"/>
        <v>1.1718831270822962</v>
      </c>
      <c r="AH110" s="354">
        <f t="shared" si="74"/>
        <v>5.8962151127211477</v>
      </c>
      <c r="AI110" s="354">
        <f t="shared" si="75"/>
        <v>0</v>
      </c>
      <c r="AJ110" s="354">
        <f t="shared" si="76"/>
        <v>11.166587634112078</v>
      </c>
      <c r="AK110" s="374">
        <f t="shared" si="77"/>
        <v>12.043883120422233</v>
      </c>
      <c r="AL110" s="354">
        <f t="shared" si="59"/>
        <v>3.4506524613417739</v>
      </c>
      <c r="AM110" s="354">
        <f t="shared" si="78"/>
        <v>8.138578984045445</v>
      </c>
      <c r="AN110" s="354">
        <f t="shared" si="79"/>
        <v>0.45465167503501391</v>
      </c>
      <c r="AO110" s="374">
        <f t="shared" si="80"/>
        <v>6.9835875878202733</v>
      </c>
      <c r="AP110" s="354">
        <f t="shared" si="60"/>
        <v>1.6014100898411825</v>
      </c>
      <c r="AQ110" s="354">
        <f t="shared" si="81"/>
        <v>5.3821774979790913</v>
      </c>
      <c r="AR110" s="374">
        <f t="shared" si="82"/>
        <v>12.740097105260798</v>
      </c>
      <c r="AS110" s="354">
        <f t="shared" si="61"/>
        <v>5.520716578187554</v>
      </c>
      <c r="AT110" s="354">
        <f t="shared" si="83"/>
        <v>7.2193805270732447</v>
      </c>
      <c r="AU110" s="355" t="s">
        <v>396</v>
      </c>
      <c r="AV110" s="353" t="s">
        <v>404</v>
      </c>
      <c r="AW110" s="355" t="s">
        <v>405</v>
      </c>
      <c r="AX110" s="355">
        <v>0</v>
      </c>
      <c r="AY110" s="350" t="s">
        <v>410</v>
      </c>
      <c r="AZ110" s="351">
        <v>45082</v>
      </c>
      <c r="BA110" s="351">
        <v>45082</v>
      </c>
      <c r="BB110" s="350" t="s">
        <v>407</v>
      </c>
    </row>
    <row r="111" spans="1:54" x14ac:dyDescent="0.25">
      <c r="A111" s="348" t="s">
        <v>477</v>
      </c>
      <c r="B111" s="349">
        <v>4956</v>
      </c>
      <c r="C111" s="350" t="s">
        <v>458</v>
      </c>
      <c r="D111" s="351">
        <v>45048</v>
      </c>
      <c r="E111" s="352">
        <v>3170</v>
      </c>
      <c r="F111" s="352">
        <v>1</v>
      </c>
      <c r="H111" s="350" t="s">
        <v>479</v>
      </c>
      <c r="I111" s="350" t="s">
        <v>393</v>
      </c>
      <c r="J111" s="354">
        <v>410380</v>
      </c>
      <c r="K111" s="350" t="s">
        <v>394</v>
      </c>
      <c r="L111" s="354">
        <v>0</v>
      </c>
      <c r="M111" s="354">
        <v>199.76</v>
      </c>
      <c r="N111" s="354" t="s">
        <v>395</v>
      </c>
      <c r="O111" s="354">
        <v>159.52000000000001</v>
      </c>
      <c r="P111" s="374">
        <f t="shared" si="53"/>
        <v>12.586505017029147</v>
      </c>
      <c r="Q111" s="354">
        <f t="shared" si="54"/>
        <v>1.1870994329899565</v>
      </c>
      <c r="R111" s="354">
        <f t="shared" si="62"/>
        <v>2.0011043788637228</v>
      </c>
      <c r="S111" s="354">
        <f t="shared" si="63"/>
        <v>1.7825569856475405</v>
      </c>
      <c r="T111" s="354">
        <f t="shared" si="64"/>
        <v>7.6068517013729124</v>
      </c>
      <c r="U111" s="374">
        <f t="shared" si="65"/>
        <v>50.515105885254357</v>
      </c>
      <c r="V111" s="354">
        <f t="shared" si="55"/>
        <v>1.3371710291445336</v>
      </c>
      <c r="W111" s="354">
        <f t="shared" si="66"/>
        <v>45.613673294307475</v>
      </c>
      <c r="X111" s="354">
        <f t="shared" si="67"/>
        <v>3.564261561802355</v>
      </c>
      <c r="Y111" s="374">
        <f t="shared" si="68"/>
        <v>7.4054372717419268</v>
      </c>
      <c r="Z111" s="354">
        <f t="shared" si="56"/>
        <v>3.8201690672324697</v>
      </c>
      <c r="AA111" s="354">
        <f t="shared" si="69"/>
        <v>3.5852682045094566</v>
      </c>
      <c r="AB111" s="374">
        <f t="shared" si="70"/>
        <v>40.458835045827122</v>
      </c>
      <c r="AC111" s="354">
        <f t="shared" si="57"/>
        <v>11.481917130358784</v>
      </c>
      <c r="AD111" s="354">
        <f t="shared" si="71"/>
        <v>24.99358308514558</v>
      </c>
      <c r="AE111" s="354">
        <f t="shared" si="72"/>
        <v>3.9833348303227569</v>
      </c>
      <c r="AF111" s="374">
        <f t="shared" si="73"/>
        <v>32.381196996829622</v>
      </c>
      <c r="AG111" s="354">
        <f t="shared" si="58"/>
        <v>2.0810327448302917</v>
      </c>
      <c r="AH111" s="354">
        <f t="shared" si="74"/>
        <v>10.470512320358933</v>
      </c>
      <c r="AI111" s="354">
        <f t="shared" si="75"/>
        <v>0</v>
      </c>
      <c r="AJ111" s="354">
        <f t="shared" si="76"/>
        <v>19.829651931640399</v>
      </c>
      <c r="AK111" s="374">
        <f t="shared" si="77"/>
        <v>21.38755526833981</v>
      </c>
      <c r="AL111" s="354">
        <f t="shared" si="59"/>
        <v>6.1276765550505177</v>
      </c>
      <c r="AM111" s="354">
        <f t="shared" si="78"/>
        <v>14.452507226001584</v>
      </c>
      <c r="AN111" s="354">
        <f t="shared" si="79"/>
        <v>0.80737148728770891</v>
      </c>
      <c r="AO111" s="374">
        <f t="shared" si="80"/>
        <v>12.401470855569187</v>
      </c>
      <c r="AP111" s="354">
        <f t="shared" si="60"/>
        <v>2.8437877104335905</v>
      </c>
      <c r="AQ111" s="354">
        <f t="shared" si="81"/>
        <v>9.5576831451355968</v>
      </c>
      <c r="AR111" s="374">
        <f t="shared" si="82"/>
        <v>22.623893659408807</v>
      </c>
      <c r="AS111" s="354">
        <f t="shared" si="61"/>
        <v>9.8037011615143186</v>
      </c>
      <c r="AT111" s="354">
        <f t="shared" si="83"/>
        <v>12.820192497894491</v>
      </c>
      <c r="AU111" s="355" t="s">
        <v>396</v>
      </c>
      <c r="AV111" s="353" t="s">
        <v>404</v>
      </c>
      <c r="AW111" s="355" t="s">
        <v>405</v>
      </c>
      <c r="AX111" s="355">
        <v>0</v>
      </c>
      <c r="AY111" s="350" t="s">
        <v>410</v>
      </c>
      <c r="AZ111" s="351">
        <v>45082</v>
      </c>
      <c r="BA111" s="351">
        <v>45082</v>
      </c>
      <c r="BB111" s="350" t="s">
        <v>407</v>
      </c>
    </row>
    <row r="112" spans="1:54" x14ac:dyDescent="0.25">
      <c r="A112" s="348" t="s">
        <v>477</v>
      </c>
      <c r="B112" s="349">
        <v>4956</v>
      </c>
      <c r="C112" s="350" t="s">
        <v>458</v>
      </c>
      <c r="D112" s="351">
        <v>45048</v>
      </c>
      <c r="E112" s="352">
        <v>3170</v>
      </c>
      <c r="F112" s="352">
        <v>1</v>
      </c>
      <c r="H112" s="350" t="s">
        <v>480</v>
      </c>
      <c r="I112" s="350" t="s">
        <v>393</v>
      </c>
      <c r="J112" s="354">
        <v>1508810</v>
      </c>
      <c r="K112" s="350" t="s">
        <v>394</v>
      </c>
      <c r="L112" s="354">
        <v>0</v>
      </c>
      <c r="M112" s="354">
        <v>734.46</v>
      </c>
      <c r="N112" s="354" t="s">
        <v>395</v>
      </c>
      <c r="O112" s="354">
        <v>586.49</v>
      </c>
      <c r="P112" s="374">
        <f t="shared" si="53"/>
        <v>46.276954719699781</v>
      </c>
      <c r="Q112" s="354">
        <f t="shared" si="54"/>
        <v>4.3646227951231653</v>
      </c>
      <c r="R112" s="354">
        <f t="shared" si="62"/>
        <v>7.3574845920116649</v>
      </c>
      <c r="S112" s="354">
        <f t="shared" si="63"/>
        <v>6.5539487569017458</v>
      </c>
      <c r="T112" s="354">
        <f t="shared" si="64"/>
        <v>27.96820334696811</v>
      </c>
      <c r="U112" s="374">
        <f t="shared" si="65"/>
        <v>185.72949874090867</v>
      </c>
      <c r="V112" s="354">
        <f t="shared" si="55"/>
        <v>4.9163928417375562</v>
      </c>
      <c r="W112" s="354">
        <f t="shared" si="66"/>
        <v>167.70834244962487</v>
      </c>
      <c r="X112" s="354">
        <f t="shared" si="67"/>
        <v>13.104763449546244</v>
      </c>
      <c r="Y112" s="374">
        <f t="shared" si="68"/>
        <v>27.227660485600602</v>
      </c>
      <c r="Z112" s="354">
        <f t="shared" si="56"/>
        <v>14.045661659589307</v>
      </c>
      <c r="AA112" s="354">
        <f t="shared" si="69"/>
        <v>13.181998826011293</v>
      </c>
      <c r="AB112" s="374">
        <f t="shared" si="70"/>
        <v>148.7554865226181</v>
      </c>
      <c r="AC112" s="354">
        <f t="shared" si="57"/>
        <v>42.215703121562449</v>
      </c>
      <c r="AD112" s="354">
        <f t="shared" si="71"/>
        <v>91.894208213436244</v>
      </c>
      <c r="AE112" s="354">
        <f t="shared" si="72"/>
        <v>14.645575187619405</v>
      </c>
      <c r="AF112" s="374">
        <f t="shared" si="73"/>
        <v>119.05633733626095</v>
      </c>
      <c r="AG112" s="354">
        <f t="shared" si="58"/>
        <v>7.6513581786546663</v>
      </c>
      <c r="AH112" s="354">
        <f t="shared" si="74"/>
        <v>38.497058864691745</v>
      </c>
      <c r="AI112" s="354">
        <f t="shared" si="75"/>
        <v>0</v>
      </c>
      <c r="AJ112" s="354">
        <f t="shared" si="76"/>
        <v>72.907920292914554</v>
      </c>
      <c r="AK112" s="374">
        <f t="shared" si="77"/>
        <v>78.635882270649063</v>
      </c>
      <c r="AL112" s="354">
        <f t="shared" si="59"/>
        <v>22.529702255819</v>
      </c>
      <c r="AM112" s="354">
        <f t="shared" si="78"/>
        <v>53.137707535087721</v>
      </c>
      <c r="AN112" s="354">
        <f t="shared" si="79"/>
        <v>2.9684724797423443</v>
      </c>
      <c r="AO112" s="374">
        <f t="shared" si="80"/>
        <v>45.596637387772056</v>
      </c>
      <c r="AP112" s="354">
        <f t="shared" si="60"/>
        <v>10.455788555291626</v>
      </c>
      <c r="AQ112" s="354">
        <f t="shared" si="81"/>
        <v>35.14084883248043</v>
      </c>
      <c r="AR112" s="374">
        <f t="shared" si="82"/>
        <v>83.181542536490767</v>
      </c>
      <c r="AS112" s="354">
        <f t="shared" si="61"/>
        <v>36.045386238915739</v>
      </c>
      <c r="AT112" s="354">
        <f t="shared" si="83"/>
        <v>47.136156297575035</v>
      </c>
      <c r="AU112" s="355" t="s">
        <v>396</v>
      </c>
      <c r="AV112" s="353" t="s">
        <v>404</v>
      </c>
      <c r="AW112" s="355" t="s">
        <v>405</v>
      </c>
      <c r="AX112" s="355">
        <v>0</v>
      </c>
      <c r="AY112" s="350" t="s">
        <v>410</v>
      </c>
      <c r="AZ112" s="351">
        <v>45082</v>
      </c>
      <c r="BA112" s="351">
        <v>45082</v>
      </c>
      <c r="BB112" s="350" t="s">
        <v>407</v>
      </c>
    </row>
    <row r="113" spans="1:54" x14ac:dyDescent="0.25">
      <c r="A113" s="348" t="s">
        <v>477</v>
      </c>
      <c r="B113" s="349">
        <v>4956</v>
      </c>
      <c r="C113" s="350" t="s">
        <v>458</v>
      </c>
      <c r="D113" s="351">
        <v>45048</v>
      </c>
      <c r="E113" s="352">
        <v>3170</v>
      </c>
      <c r="F113" s="352">
        <v>1</v>
      </c>
      <c r="H113" s="350" t="s">
        <v>481</v>
      </c>
      <c r="I113" s="350" t="s">
        <v>393</v>
      </c>
      <c r="J113" s="354">
        <v>47280</v>
      </c>
      <c r="K113" s="350" t="s">
        <v>394</v>
      </c>
      <c r="L113" s="354">
        <v>0</v>
      </c>
      <c r="M113" s="354">
        <v>23.01</v>
      </c>
      <c r="N113" s="354" t="s">
        <v>395</v>
      </c>
      <c r="O113" s="354">
        <v>18.38</v>
      </c>
      <c r="P113" s="374">
        <f t="shared" si="53"/>
        <v>1.4498171828285977</v>
      </c>
      <c r="Q113" s="354">
        <f t="shared" si="54"/>
        <v>0.13673987761863687</v>
      </c>
      <c r="R113" s="354">
        <f t="shared" si="62"/>
        <v>0.23050366318409224</v>
      </c>
      <c r="S113" s="354">
        <f t="shared" si="63"/>
        <v>0.20532957669077848</v>
      </c>
      <c r="T113" s="354">
        <f t="shared" si="64"/>
        <v>0.87621975194528801</v>
      </c>
      <c r="U113" s="374">
        <f t="shared" si="65"/>
        <v>5.8187454266104472</v>
      </c>
      <c r="V113" s="354">
        <f t="shared" si="55"/>
        <v>0.15402635853331859</v>
      </c>
      <c r="W113" s="354">
        <f t="shared" si="66"/>
        <v>5.254158102232755</v>
      </c>
      <c r="X113" s="354">
        <f t="shared" si="67"/>
        <v>0.41056096584437424</v>
      </c>
      <c r="Y113" s="374">
        <f t="shared" si="68"/>
        <v>0.85301918113126629</v>
      </c>
      <c r="Z113" s="354">
        <f t="shared" si="56"/>
        <v>0.440038497381954</v>
      </c>
      <c r="AA113" s="354">
        <f t="shared" si="69"/>
        <v>0.41298068374931224</v>
      </c>
      <c r="AB113" s="374">
        <f t="shared" si="70"/>
        <v>4.6603814297380968</v>
      </c>
      <c r="AC113" s="354">
        <f t="shared" si="57"/>
        <v>1.3225816638443917</v>
      </c>
      <c r="AD113" s="354">
        <f t="shared" si="71"/>
        <v>2.8789664937384853</v>
      </c>
      <c r="AE113" s="354">
        <f t="shared" si="72"/>
        <v>0.45883327215521952</v>
      </c>
      <c r="AF113" s="374">
        <f t="shared" si="73"/>
        <v>3.7299326336456233</v>
      </c>
      <c r="AG113" s="354">
        <f t="shared" si="58"/>
        <v>0.23971046985655295</v>
      </c>
      <c r="AH113" s="354">
        <f t="shared" si="74"/>
        <v>1.2060797381430672</v>
      </c>
      <c r="AI113" s="354">
        <f t="shared" si="75"/>
        <v>0</v>
      </c>
      <c r="AJ113" s="354">
        <f t="shared" si="76"/>
        <v>2.2841424256460034</v>
      </c>
      <c r="AK113" s="374">
        <f t="shared" si="77"/>
        <v>2.4635945470789902</v>
      </c>
      <c r="AL113" s="354">
        <f t="shared" si="59"/>
        <v>0.70583619108786755</v>
      </c>
      <c r="AM113" s="354">
        <f t="shared" si="78"/>
        <v>1.6647586667515843</v>
      </c>
      <c r="AN113" s="354">
        <f t="shared" si="79"/>
        <v>9.2999689239538372E-2</v>
      </c>
      <c r="AO113" s="374">
        <f t="shared" si="80"/>
        <v>1.4285034260444884</v>
      </c>
      <c r="AP113" s="354">
        <f t="shared" si="60"/>
        <v>0.32757086111872707</v>
      </c>
      <c r="AQ113" s="354">
        <f t="shared" si="81"/>
        <v>1.1009325649257613</v>
      </c>
      <c r="AR113" s="374">
        <f t="shared" si="82"/>
        <v>2.6060061729224908</v>
      </c>
      <c r="AS113" s="354">
        <f t="shared" si="61"/>
        <v>1.1292709437647401</v>
      </c>
      <c r="AT113" s="354">
        <f t="shared" si="83"/>
        <v>1.4767352291577507</v>
      </c>
      <c r="AU113" s="355" t="s">
        <v>396</v>
      </c>
      <c r="AV113" s="353" t="s">
        <v>404</v>
      </c>
      <c r="AW113" s="355" t="s">
        <v>405</v>
      </c>
      <c r="AX113" s="355">
        <v>0</v>
      </c>
      <c r="AY113" s="350" t="s">
        <v>410</v>
      </c>
      <c r="AZ113" s="351">
        <v>45082</v>
      </c>
      <c r="BA113" s="351">
        <v>45082</v>
      </c>
      <c r="BB113" s="350" t="s">
        <v>407</v>
      </c>
    </row>
    <row r="114" spans="1:54" x14ac:dyDescent="0.25">
      <c r="A114" s="348" t="s">
        <v>477</v>
      </c>
      <c r="B114" s="349">
        <v>4956</v>
      </c>
      <c r="C114" s="350" t="s">
        <v>458</v>
      </c>
      <c r="D114" s="351">
        <v>45048</v>
      </c>
      <c r="E114" s="352">
        <v>3170</v>
      </c>
      <c r="F114" s="352">
        <v>1</v>
      </c>
      <c r="H114" s="350" t="s">
        <v>482</v>
      </c>
      <c r="I114" s="350" t="s">
        <v>393</v>
      </c>
      <c r="J114" s="354">
        <v>85664</v>
      </c>
      <c r="K114" s="350" t="s">
        <v>394</v>
      </c>
      <c r="L114" s="354">
        <v>0</v>
      </c>
      <c r="M114" s="354">
        <v>41.7</v>
      </c>
      <c r="N114" s="354" t="s">
        <v>395</v>
      </c>
      <c r="O114" s="354">
        <v>33.299999999999997</v>
      </c>
      <c r="P114" s="374">
        <f t="shared" si="53"/>
        <v>2.6274392231183192</v>
      </c>
      <c r="Q114" s="354">
        <f t="shared" si="54"/>
        <v>0.24780760089948534</v>
      </c>
      <c r="R114" s="354">
        <f t="shared" si="62"/>
        <v>0.41773154084209679</v>
      </c>
      <c r="S114" s="354">
        <f t="shared" si="63"/>
        <v>0.37210966310323612</v>
      </c>
      <c r="T114" s="354">
        <f t="shared" si="64"/>
        <v>1.5879341006570409</v>
      </c>
      <c r="U114" s="374">
        <f t="shared" si="65"/>
        <v>10.54505364144527</v>
      </c>
      <c r="V114" s="354">
        <f t="shared" si="55"/>
        <v>0.27913512172270255</v>
      </c>
      <c r="W114" s="354">
        <f t="shared" si="66"/>
        <v>9.5218771344244182</v>
      </c>
      <c r="X114" s="354">
        <f t="shared" si="67"/>
        <v>0.74404138529814889</v>
      </c>
      <c r="Y114" s="374">
        <f t="shared" si="68"/>
        <v>1.5458887376433639</v>
      </c>
      <c r="Z114" s="354">
        <f t="shared" si="56"/>
        <v>0.79746220516416699</v>
      </c>
      <c r="AA114" s="354">
        <f t="shared" si="69"/>
        <v>0.74842653247919688</v>
      </c>
      <c r="AB114" s="374">
        <f t="shared" si="70"/>
        <v>8.4458020695384022</v>
      </c>
      <c r="AC114" s="354">
        <f t="shared" si="57"/>
        <v>2.3968559488183891</v>
      </c>
      <c r="AD114" s="354">
        <f t="shared" si="71"/>
        <v>5.2174229808298502</v>
      </c>
      <c r="AE114" s="354">
        <f t="shared" si="72"/>
        <v>0.83152313989016313</v>
      </c>
      <c r="AF114" s="374">
        <f t="shared" si="73"/>
        <v>6.7595910831387434</v>
      </c>
      <c r="AG114" s="354">
        <f t="shared" si="58"/>
        <v>0.43441662724981561</v>
      </c>
      <c r="AH114" s="354">
        <f t="shared" si="74"/>
        <v>2.1857246884209429</v>
      </c>
      <c r="AI114" s="354">
        <f t="shared" si="75"/>
        <v>0</v>
      </c>
      <c r="AJ114" s="354">
        <f t="shared" si="76"/>
        <v>4.1394497674679851</v>
      </c>
      <c r="AK114" s="374">
        <f t="shared" si="77"/>
        <v>4.4646628688915202</v>
      </c>
      <c r="AL114" s="354">
        <f t="shared" si="59"/>
        <v>1.2791555483860964</v>
      </c>
      <c r="AM114" s="354">
        <f t="shared" si="78"/>
        <v>3.0169681183633661</v>
      </c>
      <c r="AN114" s="354">
        <f t="shared" si="79"/>
        <v>0.16853920214205778</v>
      </c>
      <c r="AO114" s="374">
        <f t="shared" si="80"/>
        <v>2.5888132492853182</v>
      </c>
      <c r="AP114" s="354">
        <f t="shared" si="60"/>
        <v>0.59364210815518992</v>
      </c>
      <c r="AQ114" s="354">
        <f t="shared" si="81"/>
        <v>1.9951711411301283</v>
      </c>
      <c r="AR114" s="374">
        <f t="shared" si="82"/>
        <v>4.722749126939064</v>
      </c>
      <c r="AS114" s="354">
        <f t="shared" si="61"/>
        <v>2.0465275252059829</v>
      </c>
      <c r="AT114" s="354">
        <f t="shared" si="83"/>
        <v>2.6762216017330815</v>
      </c>
      <c r="AU114" s="355" t="s">
        <v>396</v>
      </c>
      <c r="AV114" s="353" t="s">
        <v>404</v>
      </c>
      <c r="AW114" s="355" t="s">
        <v>405</v>
      </c>
      <c r="AX114" s="355">
        <v>0</v>
      </c>
      <c r="AY114" s="350" t="s">
        <v>410</v>
      </c>
      <c r="AZ114" s="351">
        <v>45082</v>
      </c>
      <c r="BA114" s="351">
        <v>45082</v>
      </c>
      <c r="BB114" s="350" t="s">
        <v>407</v>
      </c>
    </row>
    <row r="115" spans="1:54" x14ac:dyDescent="0.25">
      <c r="A115" s="348" t="s">
        <v>477</v>
      </c>
      <c r="B115" s="349">
        <v>4956</v>
      </c>
      <c r="C115" s="350" t="s">
        <v>458</v>
      </c>
      <c r="D115" s="351">
        <v>45048</v>
      </c>
      <c r="E115" s="352">
        <v>3170</v>
      </c>
      <c r="F115" s="352">
        <v>1</v>
      </c>
      <c r="H115" s="350" t="s">
        <v>483</v>
      </c>
      <c r="I115" s="350" t="s">
        <v>393</v>
      </c>
      <c r="J115" s="354">
        <v>2007034</v>
      </c>
      <c r="K115" s="350" t="s">
        <v>394</v>
      </c>
      <c r="L115" s="354">
        <v>0</v>
      </c>
      <c r="M115" s="354">
        <v>976.98</v>
      </c>
      <c r="N115" s="354" t="s">
        <v>395</v>
      </c>
      <c r="O115" s="354">
        <v>780.15</v>
      </c>
      <c r="P115" s="374">
        <f t="shared" si="53"/>
        <v>61.557687582785022</v>
      </c>
      <c r="Q115" s="354">
        <f t="shared" si="54"/>
        <v>5.8058290150306755</v>
      </c>
      <c r="R115" s="354">
        <f t="shared" si="62"/>
        <v>9.7869391072400891</v>
      </c>
      <c r="S115" s="354">
        <f t="shared" si="63"/>
        <v>8.7180743083597019</v>
      </c>
      <c r="T115" s="354">
        <f t="shared" si="64"/>
        <v>37.203353900717403</v>
      </c>
      <c r="U115" s="374">
        <f t="shared" si="65"/>
        <v>247.05770999086806</v>
      </c>
      <c r="V115" s="354">
        <f t="shared" si="55"/>
        <v>6.5397945136845541</v>
      </c>
      <c r="W115" s="354">
        <f t="shared" si="66"/>
        <v>223.08593579832055</v>
      </c>
      <c r="X115" s="354">
        <f t="shared" si="67"/>
        <v>17.431979678862959</v>
      </c>
      <c r="Y115" s="374">
        <f t="shared" si="68"/>
        <v>36.218282467693371</v>
      </c>
      <c r="Z115" s="354">
        <f t="shared" si="56"/>
        <v>18.683564153508101</v>
      </c>
      <c r="AA115" s="354">
        <f t="shared" si="69"/>
        <v>17.53471831418527</v>
      </c>
      <c r="AB115" s="374">
        <f t="shared" si="70"/>
        <v>197.87481309107022</v>
      </c>
      <c r="AC115" s="354">
        <f t="shared" si="57"/>
        <v>56.155403474258748</v>
      </c>
      <c r="AD115" s="354">
        <f t="shared" si="71"/>
        <v>122.23783941993157</v>
      </c>
      <c r="AE115" s="354">
        <f t="shared" si="72"/>
        <v>19.481570196879893</v>
      </c>
      <c r="AF115" s="374">
        <f t="shared" si="73"/>
        <v>158.36895195215561</v>
      </c>
      <c r="AG115" s="354">
        <f t="shared" si="58"/>
        <v>10.177850275552155</v>
      </c>
      <c r="AH115" s="354">
        <f t="shared" si="74"/>
        <v>51.208856261234835</v>
      </c>
      <c r="AI115" s="354">
        <f t="shared" si="75"/>
        <v>0</v>
      </c>
      <c r="AJ115" s="354">
        <f t="shared" si="76"/>
        <v>96.982245415368638</v>
      </c>
      <c r="AK115" s="374">
        <f t="shared" si="77"/>
        <v>104.60159063908004</v>
      </c>
      <c r="AL115" s="354">
        <f t="shared" si="59"/>
        <v>29.969050063842889</v>
      </c>
      <c r="AM115" s="354">
        <f t="shared" si="78"/>
        <v>70.683873196130506</v>
      </c>
      <c r="AN115" s="354">
        <f t="shared" si="79"/>
        <v>3.9486673791066575</v>
      </c>
      <c r="AO115" s="374">
        <f t="shared" si="80"/>
        <v>60.652728256277456</v>
      </c>
      <c r="AP115" s="354">
        <f t="shared" si="60"/>
        <v>13.908308556965405</v>
      </c>
      <c r="AQ115" s="354">
        <f t="shared" si="81"/>
        <v>46.744419699312054</v>
      </c>
      <c r="AR115" s="374">
        <f t="shared" si="82"/>
        <v>110.64823602007017</v>
      </c>
      <c r="AS115" s="354">
        <f t="shared" si="61"/>
        <v>47.947636968243188</v>
      </c>
      <c r="AT115" s="354">
        <f t="shared" si="83"/>
        <v>62.700599051826991</v>
      </c>
      <c r="AU115" s="355" t="s">
        <v>396</v>
      </c>
      <c r="AV115" s="353" t="s">
        <v>404</v>
      </c>
      <c r="AW115" s="355" t="s">
        <v>405</v>
      </c>
      <c r="AX115" s="355">
        <v>0</v>
      </c>
      <c r="AY115" s="350" t="s">
        <v>410</v>
      </c>
      <c r="AZ115" s="351">
        <v>45082</v>
      </c>
      <c r="BA115" s="351">
        <v>45082</v>
      </c>
      <c r="BB115" s="350" t="s">
        <v>407</v>
      </c>
    </row>
    <row r="116" spans="1:54" x14ac:dyDescent="0.25">
      <c r="A116" s="348" t="s">
        <v>477</v>
      </c>
      <c r="B116" s="349">
        <v>4956</v>
      </c>
      <c r="C116" s="350" t="s">
        <v>458</v>
      </c>
      <c r="D116" s="351">
        <v>45048</v>
      </c>
      <c r="E116" s="352">
        <v>3170</v>
      </c>
      <c r="F116" s="352">
        <v>1</v>
      </c>
      <c r="H116" s="350" t="s">
        <v>484</v>
      </c>
      <c r="I116" s="350" t="s">
        <v>393</v>
      </c>
      <c r="J116" s="354">
        <v>1942838</v>
      </c>
      <c r="K116" s="350" t="s">
        <v>394</v>
      </c>
      <c r="L116" s="354">
        <v>0</v>
      </c>
      <c r="M116" s="354">
        <v>945.73</v>
      </c>
      <c r="N116" s="354" t="s">
        <v>395</v>
      </c>
      <c r="O116" s="354">
        <v>755.2</v>
      </c>
      <c r="P116" s="374">
        <f t="shared" si="53"/>
        <v>59.588683368817456</v>
      </c>
      <c r="Q116" s="354">
        <f t="shared" si="54"/>
        <v>5.6201218800640351</v>
      </c>
      <c r="R116" s="354">
        <f t="shared" si="62"/>
        <v>9.4738908901821617</v>
      </c>
      <c r="S116" s="354">
        <f t="shared" si="63"/>
        <v>8.439215148360276</v>
      </c>
      <c r="T116" s="354">
        <f t="shared" si="64"/>
        <v>36.013355324085929</v>
      </c>
      <c r="U116" s="374">
        <f t="shared" si="65"/>
        <v>239.15524173438931</v>
      </c>
      <c r="V116" s="354">
        <f t="shared" si="55"/>
        <v>6.3306105195878049</v>
      </c>
      <c r="W116" s="354">
        <f t="shared" si="66"/>
        <v>215.95023650693537</v>
      </c>
      <c r="X116" s="354">
        <f t="shared" si="67"/>
        <v>16.874394707866148</v>
      </c>
      <c r="Y116" s="374">
        <f t="shared" si="68"/>
        <v>35.059792706269988</v>
      </c>
      <c r="Z116" s="354">
        <f t="shared" si="56"/>
        <v>18.085945594482197</v>
      </c>
      <c r="AA116" s="354">
        <f t="shared" si="69"/>
        <v>16.973847111787791</v>
      </c>
      <c r="AB116" s="374">
        <f t="shared" si="70"/>
        <v>191.54552496941375</v>
      </c>
      <c r="AC116" s="354">
        <f t="shared" si="57"/>
        <v>54.359198476643051</v>
      </c>
      <c r="AD116" s="354">
        <f t="shared" si="71"/>
        <v>118.32790013573654</v>
      </c>
      <c r="AE116" s="354">
        <f t="shared" si="72"/>
        <v>18.858426357034148</v>
      </c>
      <c r="AF116" s="374">
        <f t="shared" si="73"/>
        <v>153.30331115244132</v>
      </c>
      <c r="AG116" s="354">
        <f t="shared" si="58"/>
        <v>9.8522982467378437</v>
      </c>
      <c r="AH116" s="354">
        <f t="shared" si="74"/>
        <v>49.570873131422978</v>
      </c>
      <c r="AI116" s="354">
        <f t="shared" si="75"/>
        <v>0</v>
      </c>
      <c r="AJ116" s="354">
        <f t="shared" si="76"/>
        <v>93.880139774280508</v>
      </c>
      <c r="AK116" s="374">
        <f t="shared" si="77"/>
        <v>101.25577014380761</v>
      </c>
      <c r="AL116" s="354">
        <f t="shared" si="59"/>
        <v>29.010450282378486</v>
      </c>
      <c r="AM116" s="354">
        <f t="shared" si="78"/>
        <v>68.422955841241873</v>
      </c>
      <c r="AN116" s="354">
        <f t="shared" si="79"/>
        <v>3.8223640201872495</v>
      </c>
      <c r="AO116" s="374">
        <f t="shared" si="80"/>
        <v>58.712670365625989</v>
      </c>
      <c r="AP116" s="354">
        <f t="shared" si="60"/>
        <v>13.463432876393471</v>
      </c>
      <c r="AQ116" s="354">
        <f t="shared" si="81"/>
        <v>45.24923748923252</v>
      </c>
      <c r="AR116" s="374">
        <f t="shared" si="82"/>
        <v>107.10900555923455</v>
      </c>
      <c r="AS116" s="354">
        <f t="shared" si="61"/>
        <v>46.413968259305854</v>
      </c>
      <c r="AT116" s="354">
        <f t="shared" si="83"/>
        <v>60.6950372999287</v>
      </c>
      <c r="AU116" s="355" t="s">
        <v>396</v>
      </c>
      <c r="AV116" s="353" t="s">
        <v>404</v>
      </c>
      <c r="AW116" s="355" t="s">
        <v>405</v>
      </c>
      <c r="AX116" s="355">
        <v>0</v>
      </c>
      <c r="AY116" s="350" t="s">
        <v>410</v>
      </c>
      <c r="AZ116" s="351">
        <v>45082</v>
      </c>
      <c r="BA116" s="351">
        <v>45082</v>
      </c>
      <c r="BB116" s="350" t="s">
        <v>407</v>
      </c>
    </row>
    <row r="117" spans="1:54" x14ac:dyDescent="0.25">
      <c r="A117" s="348" t="s">
        <v>485</v>
      </c>
      <c r="B117" s="349">
        <v>4822</v>
      </c>
      <c r="C117" s="350" t="s">
        <v>458</v>
      </c>
      <c r="D117" s="351">
        <v>45072</v>
      </c>
      <c r="E117" s="352">
        <v>3420</v>
      </c>
      <c r="F117" s="352">
        <v>7</v>
      </c>
      <c r="H117" s="350" t="s">
        <v>486</v>
      </c>
      <c r="I117" s="350" t="s">
        <v>393</v>
      </c>
      <c r="J117" s="354">
        <v>222775</v>
      </c>
      <c r="K117" s="350" t="s">
        <v>394</v>
      </c>
      <c r="L117" s="354">
        <v>0</v>
      </c>
      <c r="M117" s="354">
        <v>108.44</v>
      </c>
      <c r="N117" s="354" t="s">
        <v>395</v>
      </c>
      <c r="O117" s="354">
        <v>86.59</v>
      </c>
      <c r="P117" s="374">
        <f t="shared" si="53"/>
        <v>6.8326021428045687</v>
      </c>
      <c r="Q117" s="354">
        <f t="shared" si="54"/>
        <v>0.64441861490504049</v>
      </c>
      <c r="R117" s="354">
        <f t="shared" si="62"/>
        <v>1.0863023570483685</v>
      </c>
      <c r="S117" s="354">
        <f t="shared" si="63"/>
        <v>0.96766359393081347</v>
      </c>
      <c r="T117" s="354">
        <f t="shared" si="64"/>
        <v>4.1293902607973498</v>
      </c>
      <c r="U117" s="374">
        <f t="shared" si="65"/>
        <v>27.422197047441841</v>
      </c>
      <c r="V117" s="354">
        <f t="shared" si="55"/>
        <v>0.72588519423524833</v>
      </c>
      <c r="W117" s="354">
        <f t="shared" si="66"/>
        <v>24.76144739704997</v>
      </c>
      <c r="X117" s="354">
        <f t="shared" si="67"/>
        <v>1.9348644561566246</v>
      </c>
      <c r="Y117" s="374">
        <f t="shared" si="68"/>
        <v>4.0200521513200567</v>
      </c>
      <c r="Z117" s="354">
        <f t="shared" si="56"/>
        <v>2.0737842093046104</v>
      </c>
      <c r="AA117" s="354">
        <f t="shared" si="69"/>
        <v>1.9462679420154461</v>
      </c>
      <c r="AB117" s="374">
        <f t="shared" si="70"/>
        <v>21.963136125197703</v>
      </c>
      <c r="AC117" s="354">
        <f t="shared" si="57"/>
        <v>6.232975038126285</v>
      </c>
      <c r="AD117" s="354">
        <f t="shared" si="71"/>
        <v>13.567802111299493</v>
      </c>
      <c r="AE117" s="354">
        <f t="shared" si="72"/>
        <v>2.1623589757719253</v>
      </c>
      <c r="AF117" s="374">
        <f t="shared" si="73"/>
        <v>17.578178826272548</v>
      </c>
      <c r="AG117" s="354">
        <f t="shared" si="58"/>
        <v>1.1296915841479616</v>
      </c>
      <c r="AH117" s="354">
        <f t="shared" si="74"/>
        <v>5.6839324990975308</v>
      </c>
      <c r="AI117" s="354">
        <f t="shared" si="75"/>
        <v>0</v>
      </c>
      <c r="AJ117" s="354">
        <f t="shared" si="76"/>
        <v>10.764554743027057</v>
      </c>
      <c r="AK117" s="374">
        <f t="shared" si="77"/>
        <v>11.610264784234927</v>
      </c>
      <c r="AL117" s="354">
        <f t="shared" si="59"/>
        <v>3.3264179296639877</v>
      </c>
      <c r="AM117" s="354">
        <f t="shared" si="78"/>
        <v>7.8455640948518806</v>
      </c>
      <c r="AN117" s="354">
        <f t="shared" si="79"/>
        <v>0.43828275971905867</v>
      </c>
      <c r="AO117" s="374">
        <f t="shared" si="80"/>
        <v>6.7321560851918436</v>
      </c>
      <c r="AP117" s="354">
        <f t="shared" si="60"/>
        <v>1.5437542016390597</v>
      </c>
      <c r="AQ117" s="354">
        <f t="shared" si="81"/>
        <v>5.1884018835527836</v>
      </c>
      <c r="AR117" s="374">
        <f t="shared" si="82"/>
        <v>12.2814128375365</v>
      </c>
      <c r="AS117" s="354">
        <f t="shared" si="61"/>
        <v>5.3219531135092746</v>
      </c>
      <c r="AT117" s="354">
        <f t="shared" si="83"/>
        <v>6.9594597240272256</v>
      </c>
      <c r="AU117" s="355" t="s">
        <v>396</v>
      </c>
      <c r="AV117" s="353" t="s">
        <v>404</v>
      </c>
      <c r="AW117" s="355" t="s">
        <v>405</v>
      </c>
      <c r="AX117" s="355">
        <v>0</v>
      </c>
      <c r="AY117" s="350" t="s">
        <v>474</v>
      </c>
      <c r="AZ117" s="351">
        <v>45080</v>
      </c>
      <c r="BA117" s="351">
        <v>45082</v>
      </c>
      <c r="BB117" s="350" t="s">
        <v>407</v>
      </c>
    </row>
    <row r="118" spans="1:54" x14ac:dyDescent="0.25">
      <c r="A118" s="348" t="s">
        <v>487</v>
      </c>
      <c r="B118" s="349">
        <v>4950</v>
      </c>
      <c r="C118" s="350" t="s">
        <v>458</v>
      </c>
      <c r="D118" s="351">
        <v>45072</v>
      </c>
      <c r="E118" s="352">
        <v>3420</v>
      </c>
      <c r="F118" s="352">
        <v>7</v>
      </c>
      <c r="H118" s="350" t="s">
        <v>488</v>
      </c>
      <c r="I118" s="350" t="s">
        <v>476</v>
      </c>
      <c r="J118" s="354">
        <v>-222775</v>
      </c>
      <c r="K118" s="350" t="s">
        <v>394</v>
      </c>
      <c r="L118" s="354">
        <v>0</v>
      </c>
      <c r="M118" s="354">
        <v>-108.44</v>
      </c>
      <c r="N118" s="354" t="s">
        <v>395</v>
      </c>
      <c r="O118" s="354">
        <v>-86.59</v>
      </c>
      <c r="P118" s="374">
        <f t="shared" si="53"/>
        <v>-6.8326021428045687</v>
      </c>
      <c r="Q118" s="354">
        <f t="shared" si="54"/>
        <v>-0.64441861490504049</v>
      </c>
      <c r="R118" s="354">
        <f t="shared" si="62"/>
        <v>-1.0863023570483685</v>
      </c>
      <c r="S118" s="354">
        <f t="shared" si="63"/>
        <v>-0.96766359393081347</v>
      </c>
      <c r="T118" s="354">
        <f t="shared" si="64"/>
        <v>-4.1293902607973498</v>
      </c>
      <c r="U118" s="374">
        <f t="shared" si="65"/>
        <v>-27.422197047441841</v>
      </c>
      <c r="V118" s="354">
        <f t="shared" si="55"/>
        <v>-0.72588519423524833</v>
      </c>
      <c r="W118" s="354">
        <f t="shared" si="66"/>
        <v>-24.76144739704997</v>
      </c>
      <c r="X118" s="354">
        <f t="shared" si="67"/>
        <v>-1.9348644561566246</v>
      </c>
      <c r="Y118" s="374">
        <f t="shared" si="68"/>
        <v>-4.0200521513200567</v>
      </c>
      <c r="Z118" s="354">
        <f t="shared" si="56"/>
        <v>-2.0737842093046104</v>
      </c>
      <c r="AA118" s="354">
        <f t="shared" si="69"/>
        <v>-1.9462679420154461</v>
      </c>
      <c r="AB118" s="374">
        <f t="shared" si="70"/>
        <v>-21.963136125197703</v>
      </c>
      <c r="AC118" s="354">
        <f t="shared" si="57"/>
        <v>-6.232975038126285</v>
      </c>
      <c r="AD118" s="354">
        <f t="shared" si="71"/>
        <v>-13.567802111299493</v>
      </c>
      <c r="AE118" s="354">
        <f t="shared" si="72"/>
        <v>-2.1623589757719253</v>
      </c>
      <c r="AF118" s="374">
        <f t="shared" si="73"/>
        <v>-17.578178826272548</v>
      </c>
      <c r="AG118" s="354">
        <f t="shared" si="58"/>
        <v>-1.1296915841479616</v>
      </c>
      <c r="AH118" s="354">
        <f t="shared" si="74"/>
        <v>-5.6839324990975308</v>
      </c>
      <c r="AI118" s="354">
        <f t="shared" si="75"/>
        <v>0</v>
      </c>
      <c r="AJ118" s="354">
        <f t="shared" si="76"/>
        <v>-10.764554743027057</v>
      </c>
      <c r="AK118" s="374">
        <f t="shared" si="77"/>
        <v>-11.610264784234927</v>
      </c>
      <c r="AL118" s="354">
        <f t="shared" si="59"/>
        <v>-3.3264179296639877</v>
      </c>
      <c r="AM118" s="354">
        <f t="shared" si="78"/>
        <v>-7.8455640948518806</v>
      </c>
      <c r="AN118" s="354">
        <f t="shared" si="79"/>
        <v>-0.43828275971905867</v>
      </c>
      <c r="AO118" s="374">
        <f t="shared" si="80"/>
        <v>-6.7321560851918436</v>
      </c>
      <c r="AP118" s="354">
        <f t="shared" si="60"/>
        <v>-1.5437542016390597</v>
      </c>
      <c r="AQ118" s="354">
        <f t="shared" si="81"/>
        <v>-5.1884018835527836</v>
      </c>
      <c r="AR118" s="374">
        <f t="shared" si="82"/>
        <v>-12.2814128375365</v>
      </c>
      <c r="AS118" s="354">
        <f t="shared" si="61"/>
        <v>-5.3219531135092746</v>
      </c>
      <c r="AT118" s="354">
        <f t="shared" si="83"/>
        <v>-6.9594597240272256</v>
      </c>
      <c r="AU118" s="355" t="s">
        <v>396</v>
      </c>
      <c r="AV118" s="353" t="s">
        <v>404</v>
      </c>
      <c r="AW118" s="355" t="s">
        <v>405</v>
      </c>
      <c r="AX118" s="355">
        <v>0</v>
      </c>
      <c r="AY118" s="350" t="s">
        <v>410</v>
      </c>
      <c r="AZ118" s="351">
        <v>45082</v>
      </c>
      <c r="BA118" s="351">
        <v>45082</v>
      </c>
      <c r="BB118" s="350" t="s">
        <v>407</v>
      </c>
    </row>
    <row r="119" spans="1:54" x14ac:dyDescent="0.25">
      <c r="A119" s="348" t="s">
        <v>489</v>
      </c>
      <c r="B119" s="349">
        <v>4912</v>
      </c>
      <c r="C119" s="350" t="s">
        <v>458</v>
      </c>
      <c r="D119" s="351">
        <v>45048</v>
      </c>
      <c r="E119" s="352">
        <v>3440</v>
      </c>
      <c r="F119" s="352">
        <v>7</v>
      </c>
      <c r="H119" s="350" t="s">
        <v>490</v>
      </c>
      <c r="I119" s="350" t="s">
        <v>393</v>
      </c>
      <c r="J119" s="354">
        <v>610000</v>
      </c>
      <c r="K119" s="350" t="s">
        <v>394</v>
      </c>
      <c r="L119" s="354">
        <v>0</v>
      </c>
      <c r="M119" s="354">
        <v>296.94</v>
      </c>
      <c r="N119" s="354" t="s">
        <v>395</v>
      </c>
      <c r="O119" s="354">
        <v>237.11</v>
      </c>
      <c r="P119" s="374">
        <f t="shared" si="53"/>
        <v>18.709635561456924</v>
      </c>
      <c r="Q119" s="354">
        <f t="shared" si="54"/>
        <v>1.7646040530238172</v>
      </c>
      <c r="R119" s="354">
        <f t="shared" si="62"/>
        <v>2.9746092023417798</v>
      </c>
      <c r="S119" s="354">
        <f t="shared" si="63"/>
        <v>2.6497420470473605</v>
      </c>
      <c r="T119" s="354">
        <f t="shared" si="64"/>
        <v>11.307461675038411</v>
      </c>
      <c r="U119" s="374">
        <f t="shared" si="65"/>
        <v>75.089885570521773</v>
      </c>
      <c r="V119" s="354">
        <f t="shared" si="55"/>
        <v>1.9876830466268414</v>
      </c>
      <c r="W119" s="354">
        <f t="shared" si="66"/>
        <v>67.803985522685522</v>
      </c>
      <c r="X119" s="354">
        <f t="shared" si="67"/>
        <v>5.2982170012094079</v>
      </c>
      <c r="Y119" s="374">
        <f t="shared" si="68"/>
        <v>11.008062392225909</v>
      </c>
      <c r="Z119" s="354">
        <f t="shared" si="56"/>
        <v>5.6786193573488664</v>
      </c>
      <c r="AA119" s="354">
        <f t="shared" si="69"/>
        <v>5.329443034877043</v>
      </c>
      <c r="AB119" s="374">
        <f t="shared" si="70"/>
        <v>60.141402075029568</v>
      </c>
      <c r="AC119" s="354">
        <f t="shared" si="57"/>
        <v>17.067683583744181</v>
      </c>
      <c r="AD119" s="354">
        <f t="shared" si="71"/>
        <v>37.152555873563919</v>
      </c>
      <c r="AE119" s="354">
        <f t="shared" si="72"/>
        <v>5.9211626177214631</v>
      </c>
      <c r="AF119" s="374">
        <f t="shared" si="73"/>
        <v>48.134124130149118</v>
      </c>
      <c r="AG119" s="354">
        <f t="shared" si="58"/>
        <v>3.0934214219558807</v>
      </c>
      <c r="AH119" s="354">
        <f t="shared" si="74"/>
        <v>15.564246738122655</v>
      </c>
      <c r="AI119" s="354">
        <f t="shared" si="75"/>
        <v>0</v>
      </c>
      <c r="AJ119" s="354">
        <f t="shared" si="76"/>
        <v>29.476455970070585</v>
      </c>
      <c r="AK119" s="374">
        <f t="shared" si="77"/>
        <v>31.792254011718178</v>
      </c>
      <c r="AL119" s="354">
        <f t="shared" si="59"/>
        <v>9.1086918114572519</v>
      </c>
      <c r="AM119" s="354">
        <f t="shared" si="78"/>
        <v>21.483417579539999</v>
      </c>
      <c r="AN119" s="354">
        <f t="shared" si="79"/>
        <v>1.2001446207209265</v>
      </c>
      <c r="AO119" s="374">
        <f t="shared" si="80"/>
        <v>18.434585281601496</v>
      </c>
      <c r="AP119" s="354">
        <f t="shared" si="60"/>
        <v>4.2272443068489709</v>
      </c>
      <c r="AQ119" s="354">
        <f t="shared" si="81"/>
        <v>14.207340974752526</v>
      </c>
      <c r="AR119" s="374">
        <f t="shared" si="82"/>
        <v>33.630050977297017</v>
      </c>
      <c r="AS119" s="354">
        <f t="shared" si="61"/>
        <v>14.573042765819293</v>
      </c>
      <c r="AT119" s="354">
        <f t="shared" si="83"/>
        <v>19.057008211477726</v>
      </c>
      <c r="AU119" s="355" t="s">
        <v>396</v>
      </c>
      <c r="AV119" s="353" t="s">
        <v>404</v>
      </c>
      <c r="AW119" s="355" t="s">
        <v>405</v>
      </c>
      <c r="AX119" s="355">
        <v>0</v>
      </c>
      <c r="AY119" s="350" t="s">
        <v>474</v>
      </c>
      <c r="AZ119" s="351">
        <v>45082</v>
      </c>
      <c r="BA119" s="351">
        <v>45082</v>
      </c>
      <c r="BB119" s="350" t="s">
        <v>407</v>
      </c>
    </row>
    <row r="120" spans="1:54" x14ac:dyDescent="0.25">
      <c r="A120" s="348" t="s">
        <v>491</v>
      </c>
      <c r="B120" s="349">
        <v>4955</v>
      </c>
      <c r="C120" s="350" t="s">
        <v>458</v>
      </c>
      <c r="D120" s="351">
        <v>45048</v>
      </c>
      <c r="E120" s="352">
        <v>3170</v>
      </c>
      <c r="F120" s="352">
        <v>1</v>
      </c>
      <c r="H120" s="350" t="s">
        <v>492</v>
      </c>
      <c r="I120" s="350" t="s">
        <v>393</v>
      </c>
      <c r="J120" s="354">
        <v>149131</v>
      </c>
      <c r="K120" s="350" t="s">
        <v>394</v>
      </c>
      <c r="L120" s="354">
        <v>0</v>
      </c>
      <c r="M120" s="354">
        <v>72.59</v>
      </c>
      <c r="N120" s="354" t="s">
        <v>395</v>
      </c>
      <c r="O120" s="354">
        <v>57.97</v>
      </c>
      <c r="P120" s="374">
        <f t="shared" si="53"/>
        <v>4.5737605085409783</v>
      </c>
      <c r="Q120" s="354">
        <f t="shared" si="54"/>
        <v>0.43137538967131034</v>
      </c>
      <c r="R120" s="354">
        <f t="shared" si="62"/>
        <v>0.72717344243951576</v>
      </c>
      <c r="S120" s="354">
        <f t="shared" si="63"/>
        <v>0.64775636557947025</v>
      </c>
      <c r="T120" s="354">
        <f t="shared" si="64"/>
        <v>2.7642238936857217</v>
      </c>
      <c r="U120" s="374">
        <f t="shared" si="65"/>
        <v>18.356485463609403</v>
      </c>
      <c r="V120" s="354">
        <f t="shared" si="55"/>
        <v>0.48590931620745748</v>
      </c>
      <c r="W120" s="354">
        <f t="shared" si="66"/>
        <v>16.575373169972867</v>
      </c>
      <c r="X120" s="354">
        <f t="shared" si="67"/>
        <v>1.2952029774290799</v>
      </c>
      <c r="Y120" s="374">
        <f t="shared" si="68"/>
        <v>2.6910326970151508</v>
      </c>
      <c r="Z120" s="354">
        <f t="shared" si="56"/>
        <v>1.388196198390093</v>
      </c>
      <c r="AA120" s="354">
        <f t="shared" si="69"/>
        <v>1.3028364986250576</v>
      </c>
      <c r="AB120" s="374">
        <f t="shared" si="70"/>
        <v>14.702176792033397</v>
      </c>
      <c r="AC120" s="354">
        <f t="shared" si="57"/>
        <v>4.1723686648615557</v>
      </c>
      <c r="AD120" s="354">
        <f t="shared" si="71"/>
        <v>9.0823197644709541</v>
      </c>
      <c r="AE120" s="354">
        <f t="shared" si="72"/>
        <v>1.4474883627008859</v>
      </c>
      <c r="AF120" s="374">
        <f t="shared" si="73"/>
        <v>11.766875700840322</v>
      </c>
      <c r="AG120" s="354">
        <f t="shared" si="58"/>
        <v>0.7562182966921851</v>
      </c>
      <c r="AH120" s="354">
        <f t="shared" si="74"/>
        <v>3.8048382525773681</v>
      </c>
      <c r="AI120" s="354">
        <f t="shared" si="75"/>
        <v>0</v>
      </c>
      <c r="AJ120" s="354">
        <f t="shared" si="76"/>
        <v>7.2058191515707692</v>
      </c>
      <c r="AK120" s="374">
        <f t="shared" si="77"/>
        <v>7.7719395120584043</v>
      </c>
      <c r="AL120" s="354">
        <f t="shared" si="59"/>
        <v>2.2267122603680272</v>
      </c>
      <c r="AM120" s="354">
        <f t="shared" si="78"/>
        <v>5.251839705323663</v>
      </c>
      <c r="AN120" s="354">
        <f t="shared" si="79"/>
        <v>0.29338754636671405</v>
      </c>
      <c r="AO120" s="374">
        <f t="shared" si="80"/>
        <v>4.506521673036481</v>
      </c>
      <c r="AP120" s="354">
        <f t="shared" si="60"/>
        <v>1.0333928208869363</v>
      </c>
      <c r="AQ120" s="354">
        <f t="shared" si="81"/>
        <v>3.4731288521495447</v>
      </c>
      <c r="AR120" s="374">
        <f t="shared" si="82"/>
        <v>8.221207652865866</v>
      </c>
      <c r="AS120" s="354">
        <f t="shared" si="61"/>
        <v>3.5625283706163615</v>
      </c>
      <c r="AT120" s="354">
        <f t="shared" si="83"/>
        <v>4.6586792822495049</v>
      </c>
      <c r="AU120" s="355" t="s">
        <v>396</v>
      </c>
      <c r="AV120" s="353" t="s">
        <v>404</v>
      </c>
      <c r="AW120" s="355" t="s">
        <v>405</v>
      </c>
      <c r="AX120" s="355">
        <v>0</v>
      </c>
      <c r="AY120" s="350" t="s">
        <v>406</v>
      </c>
      <c r="AZ120" s="351">
        <v>45084</v>
      </c>
      <c r="BA120" s="351">
        <v>45082</v>
      </c>
      <c r="BB120" s="350" t="s">
        <v>407</v>
      </c>
    </row>
    <row r="121" spans="1:54" x14ac:dyDescent="0.25">
      <c r="A121" s="348" t="s">
        <v>491</v>
      </c>
      <c r="B121" s="349">
        <v>4955</v>
      </c>
      <c r="C121" s="350" t="s">
        <v>458</v>
      </c>
      <c r="D121" s="351">
        <v>45048</v>
      </c>
      <c r="E121" s="352">
        <v>3170</v>
      </c>
      <c r="F121" s="352">
        <v>1</v>
      </c>
      <c r="H121" s="350" t="s">
        <v>493</v>
      </c>
      <c r="I121" s="350" t="s">
        <v>393</v>
      </c>
      <c r="J121" s="354">
        <v>29364</v>
      </c>
      <c r="K121" s="350" t="s">
        <v>394</v>
      </c>
      <c r="L121" s="354">
        <v>0</v>
      </c>
      <c r="M121" s="354">
        <v>14.29</v>
      </c>
      <c r="N121" s="354" t="s">
        <v>395</v>
      </c>
      <c r="O121" s="354">
        <v>11.41</v>
      </c>
      <c r="P121" s="374">
        <f t="shared" si="53"/>
        <v>0.90038624696308822</v>
      </c>
      <c r="Q121" s="354">
        <f t="shared" si="54"/>
        <v>8.4920158677545446E-2</v>
      </c>
      <c r="R121" s="354">
        <f t="shared" si="62"/>
        <v>0.1431506886962485</v>
      </c>
      <c r="S121" s="354">
        <f t="shared" si="63"/>
        <v>0.12751671668453821</v>
      </c>
      <c r="T121" s="354">
        <f t="shared" si="64"/>
        <v>0.54416254912204098</v>
      </c>
      <c r="U121" s="374">
        <f t="shared" si="65"/>
        <v>3.6136406843226108</v>
      </c>
      <c r="V121" s="354">
        <f t="shared" si="55"/>
        <v>9.5655656820561596E-2</v>
      </c>
      <c r="W121" s="354">
        <f t="shared" si="66"/>
        <v>3.2630125719646261</v>
      </c>
      <c r="X121" s="354">
        <f t="shared" si="67"/>
        <v>0.25497245553742315</v>
      </c>
      <c r="Y121" s="374">
        <f t="shared" si="68"/>
        <v>0.52975419810368507</v>
      </c>
      <c r="Z121" s="354">
        <f t="shared" si="56"/>
        <v>0.27327901467136556</v>
      </c>
      <c r="AA121" s="354">
        <f t="shared" si="69"/>
        <v>0.25647518343231945</v>
      </c>
      <c r="AB121" s="374">
        <f t="shared" si="70"/>
        <v>2.8942568722710735</v>
      </c>
      <c r="AC121" s="354">
        <f t="shared" si="57"/>
        <v>0.82136862130970689</v>
      </c>
      <c r="AD121" s="354">
        <f t="shared" si="71"/>
        <v>1.7879370358767039</v>
      </c>
      <c r="AE121" s="354">
        <f t="shared" si="72"/>
        <v>0.28495121508466259</v>
      </c>
      <c r="AF121" s="374">
        <f t="shared" si="73"/>
        <v>2.3164162248933486</v>
      </c>
      <c r="AG121" s="354">
        <f t="shared" si="58"/>
        <v>0.14886843173620778</v>
      </c>
      <c r="AH121" s="354">
        <f t="shared" si="74"/>
        <v>0.74901692560036626</v>
      </c>
      <c r="AI121" s="354">
        <f t="shared" si="75"/>
        <v>0</v>
      </c>
      <c r="AJ121" s="354">
        <f t="shared" si="76"/>
        <v>1.4185308675567747</v>
      </c>
      <c r="AK121" s="374">
        <f t="shared" si="77"/>
        <v>1.5299767960781732</v>
      </c>
      <c r="AL121" s="354">
        <f t="shared" si="59"/>
        <v>0.43834850806804115</v>
      </c>
      <c r="AM121" s="354">
        <f t="shared" si="78"/>
        <v>1.0338722880434652</v>
      </c>
      <c r="AN121" s="354">
        <f t="shared" si="79"/>
        <v>5.7755999966666798E-2</v>
      </c>
      <c r="AO121" s="374">
        <f t="shared" si="80"/>
        <v>0.88714967223710295</v>
      </c>
      <c r="AP121" s="354">
        <f t="shared" si="60"/>
        <v>0.20343275121193438</v>
      </c>
      <c r="AQ121" s="354">
        <f t="shared" si="81"/>
        <v>0.68371692102516857</v>
      </c>
      <c r="AR121" s="374">
        <f t="shared" si="82"/>
        <v>1.6184193051309164</v>
      </c>
      <c r="AS121" s="354">
        <f t="shared" si="61"/>
        <v>0.70131602722286546</v>
      </c>
      <c r="AT121" s="354">
        <f t="shared" si="83"/>
        <v>0.91710327790805102</v>
      </c>
      <c r="AU121" s="355" t="s">
        <v>396</v>
      </c>
      <c r="AV121" s="353" t="s">
        <v>404</v>
      </c>
      <c r="AW121" s="355" t="s">
        <v>405</v>
      </c>
      <c r="AX121" s="355">
        <v>0</v>
      </c>
      <c r="AY121" s="350" t="s">
        <v>406</v>
      </c>
      <c r="AZ121" s="351">
        <v>45084</v>
      </c>
      <c r="BA121" s="351">
        <v>45082</v>
      </c>
      <c r="BB121" s="350" t="s">
        <v>407</v>
      </c>
    </row>
    <row r="122" spans="1:54" x14ac:dyDescent="0.25">
      <c r="A122" s="348" t="s">
        <v>491</v>
      </c>
      <c r="B122" s="349">
        <v>4955</v>
      </c>
      <c r="C122" s="350" t="s">
        <v>458</v>
      </c>
      <c r="D122" s="351">
        <v>45048</v>
      </c>
      <c r="E122" s="352">
        <v>3170</v>
      </c>
      <c r="F122" s="352">
        <v>1</v>
      </c>
      <c r="H122" s="350" t="s">
        <v>494</v>
      </c>
      <c r="I122" s="350" t="s">
        <v>393</v>
      </c>
      <c r="J122" s="354">
        <v>62043</v>
      </c>
      <c r="K122" s="350" t="s">
        <v>394</v>
      </c>
      <c r="L122" s="354">
        <v>0</v>
      </c>
      <c r="M122" s="354">
        <v>30.2</v>
      </c>
      <c r="N122" s="354" t="s">
        <v>395</v>
      </c>
      <c r="O122" s="354">
        <v>24.12</v>
      </c>
      <c r="P122" s="374">
        <f t="shared" si="53"/>
        <v>1.9028456723782552</v>
      </c>
      <c r="Q122" s="354">
        <f t="shared" si="54"/>
        <v>0.17946737523176157</v>
      </c>
      <c r="R122" s="354">
        <f t="shared" si="62"/>
        <v>0.30252979696477994</v>
      </c>
      <c r="S122" s="354">
        <f t="shared" si="63"/>
        <v>0.26948949222344676</v>
      </c>
      <c r="T122" s="354">
        <f t="shared" si="64"/>
        <v>1.1500146244566578</v>
      </c>
      <c r="U122" s="374">
        <f t="shared" si="65"/>
        <v>7.6369453230610809</v>
      </c>
      <c r="V122" s="354">
        <f t="shared" si="55"/>
        <v>0.2021554118950987</v>
      </c>
      <c r="W122" s="354">
        <f t="shared" si="66"/>
        <v>6.8959397951946615</v>
      </c>
      <c r="X122" s="354">
        <f t="shared" si="67"/>
        <v>0.53885011597132115</v>
      </c>
      <c r="Y122" s="374">
        <f t="shared" si="68"/>
        <v>1.1195645054395584</v>
      </c>
      <c r="Z122" s="354">
        <f t="shared" si="56"/>
        <v>0.57753857544263409</v>
      </c>
      <c r="AA122" s="354">
        <f t="shared" si="69"/>
        <v>0.54202592999692434</v>
      </c>
      <c r="AB122" s="374">
        <f t="shared" si="70"/>
        <v>6.1166240407688184</v>
      </c>
      <c r="AC122" s="354">
        <f t="shared" si="57"/>
        <v>1.7358525096958117</v>
      </c>
      <c r="AD122" s="354">
        <f t="shared" si="71"/>
        <v>3.7785653242460779</v>
      </c>
      <c r="AE122" s="354">
        <f t="shared" si="72"/>
        <v>0.6022062068269286</v>
      </c>
      <c r="AF122" s="374">
        <f t="shared" si="73"/>
        <v>4.8954352688438858</v>
      </c>
      <c r="AG122" s="354">
        <f t="shared" si="58"/>
        <v>0.31461348064614941</v>
      </c>
      <c r="AH122" s="354">
        <f t="shared" si="74"/>
        <v>1.5829468966501792</v>
      </c>
      <c r="AI122" s="354">
        <f t="shared" si="75"/>
        <v>0</v>
      </c>
      <c r="AJ122" s="354">
        <f t="shared" si="76"/>
        <v>2.9978748915475575</v>
      </c>
      <c r="AK122" s="374">
        <f t="shared" si="77"/>
        <v>3.2334009266312687</v>
      </c>
      <c r="AL122" s="354">
        <f t="shared" si="59"/>
        <v>0.92639082880719681</v>
      </c>
      <c r="AM122" s="354">
        <f t="shared" si="78"/>
        <v>2.1849505317643563</v>
      </c>
      <c r="AN122" s="354">
        <f t="shared" si="79"/>
        <v>0.1220595660597157</v>
      </c>
      <c r="AO122" s="374">
        <f t="shared" si="80"/>
        <v>1.874871945525578</v>
      </c>
      <c r="AP122" s="354">
        <f t="shared" si="60"/>
        <v>0.42992785770471786</v>
      </c>
      <c r="AQ122" s="354">
        <f t="shared" si="81"/>
        <v>1.4449440878208601</v>
      </c>
      <c r="AR122" s="374">
        <f t="shared" si="82"/>
        <v>3.4203123173515522</v>
      </c>
      <c r="AS122" s="354">
        <f t="shared" si="61"/>
        <v>1.4821374403170426</v>
      </c>
      <c r="AT122" s="354">
        <f t="shared" si="83"/>
        <v>1.9381748770345097</v>
      </c>
      <c r="AU122" s="355" t="s">
        <v>396</v>
      </c>
      <c r="AV122" s="353" t="s">
        <v>404</v>
      </c>
      <c r="AW122" s="355" t="s">
        <v>405</v>
      </c>
      <c r="AX122" s="355">
        <v>0</v>
      </c>
      <c r="AY122" s="350" t="s">
        <v>406</v>
      </c>
      <c r="AZ122" s="351">
        <v>45084</v>
      </c>
      <c r="BA122" s="351">
        <v>45082</v>
      </c>
      <c r="BB122" s="350" t="s">
        <v>407</v>
      </c>
    </row>
    <row r="123" spans="1:54" x14ac:dyDescent="0.25">
      <c r="A123" s="348" t="s">
        <v>491</v>
      </c>
      <c r="B123" s="349">
        <v>4955</v>
      </c>
      <c r="C123" s="350" t="s">
        <v>458</v>
      </c>
      <c r="D123" s="351">
        <v>45048</v>
      </c>
      <c r="E123" s="352">
        <v>3170</v>
      </c>
      <c r="F123" s="352">
        <v>1</v>
      </c>
      <c r="H123" s="350" t="s">
        <v>495</v>
      </c>
      <c r="I123" s="350" t="s">
        <v>393</v>
      </c>
      <c r="J123" s="354">
        <v>10251</v>
      </c>
      <c r="K123" s="350" t="s">
        <v>394</v>
      </c>
      <c r="L123" s="354">
        <v>0</v>
      </c>
      <c r="M123" s="354">
        <v>4.99</v>
      </c>
      <c r="N123" s="354" t="s">
        <v>395</v>
      </c>
      <c r="O123" s="354">
        <v>3.98</v>
      </c>
      <c r="P123" s="374">
        <f t="shared" si="53"/>
        <v>0.31441059288634082</v>
      </c>
      <c r="Q123" s="354">
        <f t="shared" si="54"/>
        <v>2.9653715311473185E-2</v>
      </c>
      <c r="R123" s="354">
        <f t="shared" si="62"/>
        <v>4.9987539299809661E-2</v>
      </c>
      <c r="S123" s="354">
        <f t="shared" si="63"/>
        <v>4.452823066870859E-2</v>
      </c>
      <c r="T123" s="354">
        <f t="shared" si="64"/>
        <v>0.190018972716514</v>
      </c>
      <c r="U123" s="374">
        <f t="shared" si="65"/>
        <v>1.2618661311945298</v>
      </c>
      <c r="V123" s="354">
        <f t="shared" si="55"/>
        <v>3.3402500177368961E-2</v>
      </c>
      <c r="W123" s="354">
        <f t="shared" si="66"/>
        <v>1.1394284628483897</v>
      </c>
      <c r="X123" s="354">
        <f t="shared" si="67"/>
        <v>8.90351681687713E-2</v>
      </c>
      <c r="Y123" s="374">
        <f t="shared" si="68"/>
        <v>0.184987645104086</v>
      </c>
      <c r="Z123" s="354">
        <f t="shared" si="56"/>
        <v>9.5427731505256436E-2</v>
      </c>
      <c r="AA123" s="354">
        <f t="shared" si="69"/>
        <v>8.9559913598829546E-2</v>
      </c>
      <c r="AB123" s="374">
        <f t="shared" si="70"/>
        <v>1.0106607272661061</v>
      </c>
      <c r="AC123" s="354">
        <f t="shared" si="57"/>
        <v>0.28681801401927487</v>
      </c>
      <c r="AD123" s="354">
        <f t="shared" si="71"/>
        <v>0.62433910490026256</v>
      </c>
      <c r="AE123" s="354">
        <f t="shared" si="72"/>
        <v>9.950360834656867E-2</v>
      </c>
      <c r="AF123" s="374">
        <f t="shared" si="73"/>
        <v>0.80888152289837723</v>
      </c>
      <c r="AG123" s="354">
        <f t="shared" si="58"/>
        <v>5.1984147961069066E-2</v>
      </c>
      <c r="AH123" s="354">
        <f t="shared" si="74"/>
        <v>0.26155314616835745</v>
      </c>
      <c r="AI123" s="354">
        <f t="shared" si="75"/>
        <v>0</v>
      </c>
      <c r="AJ123" s="354">
        <f t="shared" si="76"/>
        <v>0.49534422876895079</v>
      </c>
      <c r="AK123" s="374">
        <f t="shared" si="77"/>
        <v>0.53426061668510039</v>
      </c>
      <c r="AL123" s="354">
        <f t="shared" si="59"/>
        <v>0.15306921310423552</v>
      </c>
      <c r="AM123" s="354">
        <f t="shared" si="78"/>
        <v>0.36102328322861388</v>
      </c>
      <c r="AN123" s="354">
        <f t="shared" si="79"/>
        <v>2.0168120352251039E-2</v>
      </c>
      <c r="AO123" s="374">
        <f t="shared" si="80"/>
        <v>0.30978844397922634</v>
      </c>
      <c r="AP123" s="354">
        <f t="shared" si="60"/>
        <v>7.1037748673726572E-2</v>
      </c>
      <c r="AQ123" s="354">
        <f t="shared" si="81"/>
        <v>0.23875069530549978</v>
      </c>
      <c r="AR123" s="374">
        <f t="shared" si="82"/>
        <v>0.56514431998623327</v>
      </c>
      <c r="AS123" s="354">
        <f t="shared" si="61"/>
        <v>0.24489621944311399</v>
      </c>
      <c r="AT123" s="354">
        <f t="shared" si="83"/>
        <v>0.32024810054311931</v>
      </c>
      <c r="AU123" s="355" t="s">
        <v>396</v>
      </c>
      <c r="AV123" s="353" t="s">
        <v>404</v>
      </c>
      <c r="AW123" s="355" t="s">
        <v>405</v>
      </c>
      <c r="AX123" s="355">
        <v>0</v>
      </c>
      <c r="AY123" s="350" t="s">
        <v>406</v>
      </c>
      <c r="AZ123" s="351">
        <v>45084</v>
      </c>
      <c r="BA123" s="351">
        <v>45082</v>
      </c>
      <c r="BB123" s="350" t="s">
        <v>407</v>
      </c>
    </row>
    <row r="124" spans="1:54" x14ac:dyDescent="0.25">
      <c r="A124" s="348" t="s">
        <v>491</v>
      </c>
      <c r="B124" s="349">
        <v>4955</v>
      </c>
      <c r="C124" s="350" t="s">
        <v>458</v>
      </c>
      <c r="D124" s="351">
        <v>45048</v>
      </c>
      <c r="E124" s="352">
        <v>3170</v>
      </c>
      <c r="F124" s="352">
        <v>1</v>
      </c>
      <c r="H124" s="350" t="s">
        <v>496</v>
      </c>
      <c r="I124" s="350" t="s">
        <v>393</v>
      </c>
      <c r="J124" s="354">
        <v>508317</v>
      </c>
      <c r="K124" s="350" t="s">
        <v>394</v>
      </c>
      <c r="L124" s="354">
        <v>0</v>
      </c>
      <c r="M124" s="354">
        <v>247.44</v>
      </c>
      <c r="N124" s="354" t="s">
        <v>395</v>
      </c>
      <c r="O124" s="354">
        <v>197.59</v>
      </c>
      <c r="P124" s="374">
        <f t="shared" si="53"/>
        <v>15.590732886532299</v>
      </c>
      <c r="Q124" s="354">
        <f t="shared" si="54"/>
        <v>1.4704439512366583</v>
      </c>
      <c r="R124" s="354">
        <f t="shared" si="62"/>
        <v>2.4787408265220243</v>
      </c>
      <c r="S124" s="354">
        <f t="shared" si="63"/>
        <v>2.2080291376082672</v>
      </c>
      <c r="T124" s="354">
        <f t="shared" si="64"/>
        <v>9.4225039296541517</v>
      </c>
      <c r="U124" s="374">
        <f t="shared" si="65"/>
        <v>62.572375852259405</v>
      </c>
      <c r="V124" s="354">
        <f t="shared" si="55"/>
        <v>1.6563355999775902</v>
      </c>
      <c r="W124" s="354">
        <f t="shared" si="66"/>
        <v>56.501037845131364</v>
      </c>
      <c r="X124" s="354">
        <f t="shared" si="67"/>
        <v>4.4150024071504541</v>
      </c>
      <c r="Y124" s="374">
        <f t="shared" si="68"/>
        <v>9.1730146101312702</v>
      </c>
      <c r="Z124" s="354">
        <f t="shared" si="56"/>
        <v>4.7319915598518341</v>
      </c>
      <c r="AA124" s="354">
        <f t="shared" si="69"/>
        <v>4.4410230502794361</v>
      </c>
      <c r="AB124" s="374">
        <f t="shared" si="70"/>
        <v>50.115809690325712</v>
      </c>
      <c r="AC124" s="354">
        <f t="shared" si="57"/>
        <v>14.222494867520915</v>
      </c>
      <c r="AD124" s="354">
        <f t="shared" si="71"/>
        <v>30.959212047398992</v>
      </c>
      <c r="AE124" s="354">
        <f t="shared" si="72"/>
        <v>4.934102775405802</v>
      </c>
      <c r="AF124" s="374">
        <f t="shared" si="73"/>
        <v>40.110149103401689</v>
      </c>
      <c r="AG124" s="354">
        <f t="shared" si="58"/>
        <v>2.5777470083140135</v>
      </c>
      <c r="AH124" s="354">
        <f t="shared" si="74"/>
        <v>12.969681460500672</v>
      </c>
      <c r="AI124" s="354">
        <f t="shared" si="75"/>
        <v>0</v>
      </c>
      <c r="AJ124" s="354">
        <f t="shared" si="76"/>
        <v>24.562720634587006</v>
      </c>
      <c r="AK124" s="374">
        <f t="shared" si="77"/>
        <v>26.49247434720666</v>
      </c>
      <c r="AL124" s="354">
        <f t="shared" si="59"/>
        <v>7.5902697576176417</v>
      </c>
      <c r="AM124" s="354">
        <f t="shared" si="78"/>
        <v>17.902124489396435</v>
      </c>
      <c r="AN124" s="354">
        <f t="shared" si="79"/>
        <v>1.0000801001925845</v>
      </c>
      <c r="AO124" s="374">
        <f t="shared" si="80"/>
        <v>15.361533582809571</v>
      </c>
      <c r="AP124" s="354">
        <f t="shared" si="60"/>
        <v>3.5225612288230264</v>
      </c>
      <c r="AQ124" s="354">
        <f t="shared" si="81"/>
        <v>11.838972353986545</v>
      </c>
      <c r="AR124" s="374">
        <f t="shared" si="82"/>
        <v>28.023909927333378</v>
      </c>
      <c r="AS124" s="354">
        <f t="shared" si="61"/>
        <v>12.14371153086255</v>
      </c>
      <c r="AT124" s="354">
        <f t="shared" si="83"/>
        <v>15.88019839647083</v>
      </c>
      <c r="AU124" s="355" t="s">
        <v>396</v>
      </c>
      <c r="AV124" s="353" t="s">
        <v>404</v>
      </c>
      <c r="AW124" s="355" t="s">
        <v>405</v>
      </c>
      <c r="AX124" s="355">
        <v>0</v>
      </c>
      <c r="AY124" s="350" t="s">
        <v>406</v>
      </c>
      <c r="AZ124" s="351">
        <v>45084</v>
      </c>
      <c r="BA124" s="351">
        <v>45082</v>
      </c>
      <c r="BB124" s="350" t="s">
        <v>407</v>
      </c>
    </row>
    <row r="125" spans="1:54" x14ac:dyDescent="0.25">
      <c r="A125" s="348" t="s">
        <v>491</v>
      </c>
      <c r="B125" s="349">
        <v>4955</v>
      </c>
      <c r="C125" s="350" t="s">
        <v>458</v>
      </c>
      <c r="D125" s="351">
        <v>45048</v>
      </c>
      <c r="E125" s="352">
        <v>3170</v>
      </c>
      <c r="F125" s="352">
        <v>1</v>
      </c>
      <c r="H125" s="350" t="s">
        <v>497</v>
      </c>
      <c r="I125" s="350" t="s">
        <v>393</v>
      </c>
      <c r="J125" s="354">
        <v>306966</v>
      </c>
      <c r="K125" s="350" t="s">
        <v>394</v>
      </c>
      <c r="L125" s="354">
        <v>0</v>
      </c>
      <c r="M125" s="354">
        <v>149.41999999999999</v>
      </c>
      <c r="N125" s="354" t="s">
        <v>395</v>
      </c>
      <c r="O125" s="354">
        <v>119.32</v>
      </c>
      <c r="P125" s="374">
        <f t="shared" si="53"/>
        <v>9.4146755088330742</v>
      </c>
      <c r="Q125" s="354">
        <f t="shared" si="54"/>
        <v>0.88794752341489436</v>
      </c>
      <c r="R125" s="354">
        <f t="shared" si="62"/>
        <v>1.4968212669694505</v>
      </c>
      <c r="S125" s="354">
        <f t="shared" si="63"/>
        <v>1.3333483419876626</v>
      </c>
      <c r="T125" s="354">
        <f t="shared" si="64"/>
        <v>5.6899067942488006</v>
      </c>
      <c r="U125" s="374">
        <f t="shared" si="65"/>
        <v>37.785177820257836</v>
      </c>
      <c r="V125" s="354">
        <f t="shared" si="55"/>
        <v>1.0002007167339617</v>
      </c>
      <c r="W125" s="354">
        <f t="shared" si="66"/>
        <v>34.118918019800873</v>
      </c>
      <c r="X125" s="354">
        <f t="shared" si="67"/>
        <v>2.6660590837230069</v>
      </c>
      <c r="Y125" s="374">
        <f t="shared" si="68"/>
        <v>5.5392492848602251</v>
      </c>
      <c r="Z125" s="354">
        <f t="shared" si="56"/>
        <v>2.8574772828688202</v>
      </c>
      <c r="AA125" s="354">
        <f t="shared" si="69"/>
        <v>2.6817720019914044</v>
      </c>
      <c r="AB125" s="374">
        <f t="shared" si="70"/>
        <v>30.263111396413141</v>
      </c>
      <c r="AC125" s="354">
        <f t="shared" si="57"/>
        <v>8.5884464237996081</v>
      </c>
      <c r="AD125" s="354">
        <f t="shared" si="71"/>
        <v>18.695140091021489</v>
      </c>
      <c r="AE125" s="354">
        <f t="shared" si="72"/>
        <v>2.9795248815920425</v>
      </c>
      <c r="AF125" s="374">
        <f t="shared" si="73"/>
        <v>24.221057545385872</v>
      </c>
      <c r="AG125" s="354">
        <f t="shared" si="58"/>
        <v>1.5566074926538953</v>
      </c>
      <c r="AH125" s="354">
        <f t="shared" si="74"/>
        <v>7.8319180562076074</v>
      </c>
      <c r="AI125" s="354">
        <f t="shared" si="75"/>
        <v>0</v>
      </c>
      <c r="AJ125" s="354">
        <f t="shared" si="76"/>
        <v>14.83253199652437</v>
      </c>
      <c r="AK125" s="374">
        <f t="shared" si="77"/>
        <v>15.997839948915368</v>
      </c>
      <c r="AL125" s="354">
        <f t="shared" si="59"/>
        <v>4.5834873390851438</v>
      </c>
      <c r="AM125" s="354">
        <f t="shared" si="78"/>
        <v>10.810440677358612</v>
      </c>
      <c r="AN125" s="354">
        <f t="shared" si="79"/>
        <v>0.60391193247161323</v>
      </c>
      <c r="AO125" s="374">
        <f t="shared" si="80"/>
        <v>9.2762704006765517</v>
      </c>
      <c r="AP125" s="354">
        <f t="shared" si="60"/>
        <v>2.1271463741138721</v>
      </c>
      <c r="AQ125" s="354">
        <f t="shared" si="81"/>
        <v>7.1491240265626796</v>
      </c>
      <c r="AR125" s="374">
        <f t="shared" si="82"/>
        <v>16.92261809465791</v>
      </c>
      <c r="AS125" s="354">
        <f t="shared" si="61"/>
        <v>7.333144911661341</v>
      </c>
      <c r="AT125" s="354">
        <f t="shared" si="83"/>
        <v>9.5894731829965707</v>
      </c>
      <c r="AU125" s="355" t="s">
        <v>396</v>
      </c>
      <c r="AV125" s="353" t="s">
        <v>404</v>
      </c>
      <c r="AW125" s="355" t="s">
        <v>405</v>
      </c>
      <c r="AX125" s="355">
        <v>0</v>
      </c>
      <c r="AY125" s="350" t="s">
        <v>406</v>
      </c>
      <c r="AZ125" s="351">
        <v>45084</v>
      </c>
      <c r="BA125" s="351">
        <v>45082</v>
      </c>
      <c r="BB125" s="350" t="s">
        <v>407</v>
      </c>
    </row>
    <row r="126" spans="1:54" x14ac:dyDescent="0.25">
      <c r="A126" s="348" t="s">
        <v>491</v>
      </c>
      <c r="B126" s="349">
        <v>4955</v>
      </c>
      <c r="C126" s="350" t="s">
        <v>458</v>
      </c>
      <c r="D126" s="351">
        <v>45048</v>
      </c>
      <c r="E126" s="352">
        <v>3170</v>
      </c>
      <c r="F126" s="352">
        <v>1</v>
      </c>
      <c r="H126" s="350" t="s">
        <v>498</v>
      </c>
      <c r="I126" s="350" t="s">
        <v>393</v>
      </c>
      <c r="J126" s="354">
        <v>286157</v>
      </c>
      <c r="K126" s="350" t="s">
        <v>394</v>
      </c>
      <c r="L126" s="354">
        <v>0</v>
      </c>
      <c r="M126" s="354">
        <v>139.30000000000001</v>
      </c>
      <c r="N126" s="354" t="s">
        <v>395</v>
      </c>
      <c r="O126" s="354">
        <v>111.23</v>
      </c>
      <c r="P126" s="374">
        <f t="shared" si="53"/>
        <v>8.7770331841818194</v>
      </c>
      <c r="Q126" s="354">
        <f t="shared" si="54"/>
        <v>0.82780812482729749</v>
      </c>
      <c r="R126" s="354">
        <f t="shared" si="62"/>
        <v>1.395443732357412</v>
      </c>
      <c r="S126" s="354">
        <f t="shared" si="63"/>
        <v>1.2430425916134482</v>
      </c>
      <c r="T126" s="354">
        <f t="shared" si="64"/>
        <v>5.3045376551924646</v>
      </c>
      <c r="U126" s="374">
        <f t="shared" si="65"/>
        <v>35.226042500079757</v>
      </c>
      <c r="V126" s="354">
        <f t="shared" si="55"/>
        <v>0.93245857208567051</v>
      </c>
      <c r="W126" s="354">
        <f t="shared" si="66"/>
        <v>31.808093161278688</v>
      </c>
      <c r="X126" s="354">
        <f t="shared" si="67"/>
        <v>2.4854907667153987</v>
      </c>
      <c r="Y126" s="374">
        <f t="shared" si="68"/>
        <v>5.1640839605208777</v>
      </c>
      <c r="Z126" s="354">
        <f t="shared" si="56"/>
        <v>2.6639444887138719</v>
      </c>
      <c r="AA126" s="354">
        <f t="shared" si="69"/>
        <v>2.5001394718070054</v>
      </c>
      <c r="AB126" s="374">
        <f t="shared" si="70"/>
        <v>28.213434731095912</v>
      </c>
      <c r="AC126" s="354">
        <f t="shared" si="57"/>
        <v>8.006763397371742</v>
      </c>
      <c r="AD126" s="354">
        <f t="shared" si="71"/>
        <v>17.428945353227775</v>
      </c>
      <c r="AE126" s="354">
        <f t="shared" si="72"/>
        <v>2.7777259804963963</v>
      </c>
      <c r="AF126" s="374">
        <f t="shared" si="73"/>
        <v>22.580600428806402</v>
      </c>
      <c r="AG126" s="354">
        <f t="shared" si="58"/>
        <v>1.4511807236426695</v>
      </c>
      <c r="AH126" s="354">
        <f t="shared" si="74"/>
        <v>7.3014735994493369</v>
      </c>
      <c r="AI126" s="354">
        <f t="shared" si="75"/>
        <v>0</v>
      </c>
      <c r="AJ126" s="354">
        <f t="shared" si="76"/>
        <v>13.827946105714398</v>
      </c>
      <c r="AK126" s="374">
        <f t="shared" si="77"/>
        <v>14.91432943972635</v>
      </c>
      <c r="AL126" s="354">
        <f t="shared" si="59"/>
        <v>4.2730543858557128</v>
      </c>
      <c r="AM126" s="354">
        <f t="shared" si="78"/>
        <v>10.078265201151485</v>
      </c>
      <c r="AN126" s="354">
        <f t="shared" si="79"/>
        <v>0.56300985271915227</v>
      </c>
      <c r="AO126" s="374">
        <f t="shared" si="80"/>
        <v>8.648002053367982</v>
      </c>
      <c r="AP126" s="354">
        <f t="shared" si="60"/>
        <v>1.9830778337174573</v>
      </c>
      <c r="AQ126" s="354">
        <f t="shared" si="81"/>
        <v>6.6649242196505254</v>
      </c>
      <c r="AR126" s="374">
        <f t="shared" si="82"/>
        <v>15.776473702220901</v>
      </c>
      <c r="AS126" s="354">
        <f t="shared" si="61"/>
        <v>6.836481636959074</v>
      </c>
      <c r="AT126" s="354">
        <f t="shared" si="83"/>
        <v>8.9399920652618281</v>
      </c>
      <c r="AU126" s="355" t="s">
        <v>396</v>
      </c>
      <c r="AV126" s="353" t="s">
        <v>404</v>
      </c>
      <c r="AW126" s="355" t="s">
        <v>405</v>
      </c>
      <c r="AX126" s="355">
        <v>0</v>
      </c>
      <c r="AY126" s="350" t="s">
        <v>406</v>
      </c>
      <c r="AZ126" s="351">
        <v>45084</v>
      </c>
      <c r="BA126" s="351">
        <v>45082</v>
      </c>
      <c r="BB126" s="350" t="s">
        <v>407</v>
      </c>
    </row>
    <row r="127" spans="1:54" ht="28.5" customHeight="1" x14ac:dyDescent="0.25">
      <c r="A127" s="422" t="s">
        <v>528</v>
      </c>
      <c r="B127" s="349">
        <v>1</v>
      </c>
      <c r="C127" s="423">
        <v>44927</v>
      </c>
      <c r="D127" s="351">
        <v>44958</v>
      </c>
      <c r="E127" s="352"/>
      <c r="F127" s="352">
        <v>6</v>
      </c>
      <c r="G127" s="352" t="s">
        <v>312</v>
      </c>
      <c r="H127" s="424" t="s">
        <v>530</v>
      </c>
      <c r="I127" s="350" t="s">
        <v>393</v>
      </c>
      <c r="J127" s="375">
        <f>3827662*10%</f>
        <v>382766.2</v>
      </c>
      <c r="K127" s="350" t="s">
        <v>394</v>
      </c>
      <c r="L127" s="425">
        <v>2043.09</v>
      </c>
      <c r="M127" s="375">
        <f>J127/L127</f>
        <v>187.34671502479088</v>
      </c>
      <c r="N127" s="354" t="s">
        <v>395</v>
      </c>
      <c r="O127" s="354">
        <v>0</v>
      </c>
      <c r="P127" s="374">
        <f t="shared" si="53"/>
        <v>11.804367083417402</v>
      </c>
      <c r="Q127" s="354">
        <f t="shared" si="54"/>
        <v>1.1133318941652994</v>
      </c>
      <c r="R127" s="354">
        <f t="shared" si="62"/>
        <v>1.8767537635254459</v>
      </c>
      <c r="S127" s="354">
        <f t="shared" si="63"/>
        <v>1.6717871225748899</v>
      </c>
      <c r="T127" s="354">
        <f t="shared" si="64"/>
        <v>7.1341543749146812</v>
      </c>
      <c r="U127" s="374">
        <f t="shared" si="65"/>
        <v>47.376046990047485</v>
      </c>
      <c r="V127" s="354">
        <f t="shared" si="55"/>
        <v>1.2540778921533204</v>
      </c>
      <c r="W127" s="354">
        <f t="shared" si="66"/>
        <v>42.779194292663881</v>
      </c>
      <c r="X127" s="354">
        <f t="shared" si="67"/>
        <v>3.3427748052302859</v>
      </c>
      <c r="Y127" s="374">
        <f t="shared" si="68"/>
        <v>6.9452560381607915</v>
      </c>
      <c r="Z127" s="354">
        <f t="shared" si="56"/>
        <v>3.5827799638832736</v>
      </c>
      <c r="AA127" s="354">
        <f t="shared" si="69"/>
        <v>3.3624760742775175</v>
      </c>
      <c r="AB127" s="374">
        <f t="shared" si="70"/>
        <v>37.944682817208637</v>
      </c>
      <c r="AC127" s="354">
        <f t="shared" si="57"/>
        <v>10.768419386061236</v>
      </c>
      <c r="AD127" s="354">
        <f t="shared" si="71"/>
        <v>23.440456986890286</v>
      </c>
      <c r="AE127" s="354">
        <f t="shared" si="72"/>
        <v>3.7358064442571157</v>
      </c>
      <c r="AF127" s="374">
        <f t="shared" si="73"/>
        <v>30.368997226304835</v>
      </c>
      <c r="AG127" s="354">
        <f t="shared" si="58"/>
        <v>1.9517153013765469</v>
      </c>
      <c r="AH127" s="354">
        <f t="shared" si="74"/>
        <v>9.8198642763608692</v>
      </c>
      <c r="AI127" s="354">
        <f t="shared" si="75"/>
        <v>0</v>
      </c>
      <c r="AJ127" s="354">
        <f t="shared" si="76"/>
        <v>18.597417648567422</v>
      </c>
      <c r="AK127" s="374">
        <f t="shared" si="77"/>
        <v>20.05851132326103</v>
      </c>
      <c r="AL127" s="354">
        <f t="shared" si="59"/>
        <v>5.7468966425868127</v>
      </c>
      <c r="AM127" s="354">
        <f t="shared" si="78"/>
        <v>13.554414060189476</v>
      </c>
      <c r="AN127" s="354">
        <f t="shared" si="79"/>
        <v>0.75720062048474157</v>
      </c>
      <c r="AO127" s="374">
        <f t="shared" si="80"/>
        <v>11.630831128687275</v>
      </c>
      <c r="AP127" s="354">
        <f t="shared" si="60"/>
        <v>2.6670719151862454</v>
      </c>
      <c r="AQ127" s="354">
        <f t="shared" si="81"/>
        <v>8.9637592135010298</v>
      </c>
      <c r="AR127" s="374">
        <f t="shared" si="82"/>
        <v>21.218022417703423</v>
      </c>
      <c r="AS127" s="354">
        <f t="shared" si="61"/>
        <v>9.1944894257831127</v>
      </c>
      <c r="AT127" s="354">
        <f t="shared" si="83"/>
        <v>12.023532991920312</v>
      </c>
      <c r="AU127" s="355" t="s">
        <v>396</v>
      </c>
      <c r="AV127" s="354" t="s">
        <v>397</v>
      </c>
      <c r="AW127" s="378">
        <v>0</v>
      </c>
      <c r="AX127" s="378">
        <v>0</v>
      </c>
      <c r="AY127" s="373">
        <v>0</v>
      </c>
      <c r="AZ127" s="373">
        <v>0</v>
      </c>
      <c r="BA127" s="373">
        <v>0</v>
      </c>
      <c r="BB127" s="373">
        <v>0</v>
      </c>
    </row>
    <row r="128" spans="1:54" ht="28.15" customHeight="1" x14ac:dyDescent="0.25">
      <c r="A128" s="422" t="s">
        <v>528</v>
      </c>
      <c r="B128" s="349">
        <v>1</v>
      </c>
      <c r="C128" s="423">
        <v>44927</v>
      </c>
      <c r="D128" s="351">
        <v>44958</v>
      </c>
      <c r="E128" s="352"/>
      <c r="F128" s="352">
        <v>6</v>
      </c>
      <c r="G128" s="352" t="s">
        <v>313</v>
      </c>
      <c r="H128" s="424" t="s">
        <v>531</v>
      </c>
      <c r="I128" s="350" t="s">
        <v>393</v>
      </c>
      <c r="J128" s="375">
        <f>2279846*5%</f>
        <v>113992.3</v>
      </c>
      <c r="K128" s="350" t="s">
        <v>394</v>
      </c>
      <c r="L128" s="425">
        <v>2043.09</v>
      </c>
      <c r="M128" s="375">
        <f t="shared" ref="M128:M154" si="90">J128/L128</f>
        <v>55.794066830144537</v>
      </c>
      <c r="N128" s="354" t="s">
        <v>395</v>
      </c>
      <c r="O128" s="354">
        <v>0</v>
      </c>
      <c r="P128" s="374">
        <f t="shared" si="53"/>
        <v>3.5154800864941618</v>
      </c>
      <c r="Q128" s="354">
        <f t="shared" si="54"/>
        <v>0.3315634015732295</v>
      </c>
      <c r="R128" s="354">
        <f t="shared" si="62"/>
        <v>0.55891946059480091</v>
      </c>
      <c r="S128" s="354">
        <f t="shared" si="63"/>
        <v>0.4978779714945929</v>
      </c>
      <c r="T128" s="354">
        <f t="shared" si="64"/>
        <v>2.1246355235953094</v>
      </c>
      <c r="U128" s="374">
        <f t="shared" si="65"/>
        <v>14.10914694480231</v>
      </c>
      <c r="V128" s="354">
        <f t="shared" si="55"/>
        <v>0.37347922388577925</v>
      </c>
      <c r="W128" s="354">
        <f t="shared" si="66"/>
        <v>12.740149860587557</v>
      </c>
      <c r="X128" s="354">
        <f t="shared" si="67"/>
        <v>0.99551786032897449</v>
      </c>
      <c r="Y128" s="374">
        <f t="shared" si="68"/>
        <v>2.068379365468624</v>
      </c>
      <c r="Z128" s="354">
        <f t="shared" si="56"/>
        <v>1.0669942342792318</v>
      </c>
      <c r="AA128" s="354">
        <f t="shared" si="69"/>
        <v>1.001385131189392</v>
      </c>
      <c r="AB128" s="374">
        <f t="shared" si="70"/>
        <v>11.300375182302126</v>
      </c>
      <c r="AC128" s="354">
        <f t="shared" si="57"/>
        <v>3.2069626136835181</v>
      </c>
      <c r="AD128" s="354">
        <f t="shared" si="71"/>
        <v>6.9808452391739229</v>
      </c>
      <c r="AE128" s="354">
        <f t="shared" si="72"/>
        <v>1.1125673294446856</v>
      </c>
      <c r="AF128" s="374">
        <f t="shared" si="73"/>
        <v>9.044246442136501</v>
      </c>
      <c r="AG128" s="354">
        <f t="shared" si="58"/>
        <v>0.5812438928753525</v>
      </c>
      <c r="AH128" s="354">
        <f t="shared" si="74"/>
        <v>2.9244716867639071</v>
      </c>
      <c r="AI128" s="354">
        <f t="shared" si="75"/>
        <v>0</v>
      </c>
      <c r="AJ128" s="354">
        <f t="shared" si="76"/>
        <v>5.5385308624972422</v>
      </c>
      <c r="AK128" s="374">
        <f t="shared" si="77"/>
        <v>5.9736618340766983</v>
      </c>
      <c r="AL128" s="354">
        <f t="shared" si="59"/>
        <v>1.711493768652375</v>
      </c>
      <c r="AM128" s="354">
        <f t="shared" si="78"/>
        <v>4.0366647678748455</v>
      </c>
      <c r="AN128" s="354">
        <f t="shared" si="79"/>
        <v>0.22550329754947748</v>
      </c>
      <c r="AO128" s="374">
        <f t="shared" si="80"/>
        <v>3.4637990273714307</v>
      </c>
      <c r="AP128" s="354">
        <f t="shared" si="60"/>
        <v>0.7942855504939702</v>
      </c>
      <c r="AQ128" s="354">
        <f t="shared" si="81"/>
        <v>2.6695134768774609</v>
      </c>
      <c r="AR128" s="374">
        <f t="shared" si="82"/>
        <v>6.3189779474926828</v>
      </c>
      <c r="AS128" s="354">
        <f t="shared" si="61"/>
        <v>2.7382276621360409</v>
      </c>
      <c r="AT128" s="354">
        <f t="shared" si="83"/>
        <v>3.5807502853566424</v>
      </c>
      <c r="AU128" s="355" t="s">
        <v>396</v>
      </c>
      <c r="AV128" s="354" t="s">
        <v>397</v>
      </c>
      <c r="AW128" s="378">
        <v>0</v>
      </c>
      <c r="AX128" s="378">
        <v>0</v>
      </c>
      <c r="AY128" s="373">
        <v>0</v>
      </c>
      <c r="AZ128" s="373">
        <v>0</v>
      </c>
      <c r="BA128" s="373">
        <v>0</v>
      </c>
      <c r="BB128" s="373">
        <v>0</v>
      </c>
    </row>
    <row r="129" spans="1:54" ht="41.65" customHeight="1" x14ac:dyDescent="0.25">
      <c r="A129" s="422" t="s">
        <v>528</v>
      </c>
      <c r="B129" s="349">
        <v>1</v>
      </c>
      <c r="C129" s="423">
        <v>44927</v>
      </c>
      <c r="D129" s="351">
        <v>44958</v>
      </c>
      <c r="E129" s="352"/>
      <c r="F129" s="352">
        <v>6</v>
      </c>
      <c r="G129" s="352" t="s">
        <v>314</v>
      </c>
      <c r="H129" s="424" t="s">
        <v>532</v>
      </c>
      <c r="I129" s="350" t="s">
        <v>393</v>
      </c>
      <c r="J129" s="375">
        <f>1831466*10%</f>
        <v>183146.6</v>
      </c>
      <c r="K129" s="350" t="s">
        <v>394</v>
      </c>
      <c r="L129" s="425">
        <v>2043.09</v>
      </c>
      <c r="M129" s="375">
        <f t="shared" si="90"/>
        <v>89.64196388803235</v>
      </c>
      <c r="N129" s="354" t="s">
        <v>395</v>
      </c>
      <c r="O129" s="354">
        <v>0</v>
      </c>
      <c r="P129" s="374">
        <f t="shared" si="53"/>
        <v>5.6481729486036487</v>
      </c>
      <c r="Q129" s="354">
        <f t="shared" si="54"/>
        <v>0.53270887316574578</v>
      </c>
      <c r="R129" s="354">
        <f t="shared" si="62"/>
        <v>0.89799222299902515</v>
      </c>
      <c r="S129" s="354">
        <f t="shared" si="63"/>
        <v>0.79991944801650305</v>
      </c>
      <c r="T129" s="354">
        <f t="shared" si="64"/>
        <v>3.4135619018626757</v>
      </c>
      <c r="U129" s="374">
        <f t="shared" si="65"/>
        <v>22.668568770354934</v>
      </c>
      <c r="V129" s="354">
        <f t="shared" si="55"/>
        <v>0.60005324943280602</v>
      </c>
      <c r="W129" s="354">
        <f t="shared" si="66"/>
        <v>20.469059142214739</v>
      </c>
      <c r="X129" s="354">
        <f t="shared" si="67"/>
        <v>1.5994563787073914</v>
      </c>
      <c r="Y129" s="374">
        <f t="shared" si="68"/>
        <v>3.3231775154614467</v>
      </c>
      <c r="Z129" s="354">
        <f t="shared" si="56"/>
        <v>1.7142944411845777</v>
      </c>
      <c r="AA129" s="354">
        <f t="shared" si="69"/>
        <v>1.6088830742768687</v>
      </c>
      <c r="AB129" s="374">
        <f t="shared" si="70"/>
        <v>18.155834151631424</v>
      </c>
      <c r="AC129" s="354">
        <f t="shared" si="57"/>
        <v>5.1524909930166318</v>
      </c>
      <c r="AD129" s="354">
        <f t="shared" si="71"/>
        <v>11.215828355782723</v>
      </c>
      <c r="AE129" s="354">
        <f t="shared" si="72"/>
        <v>1.7875148028320691</v>
      </c>
      <c r="AF129" s="374">
        <f t="shared" si="73"/>
        <v>14.531007668407403</v>
      </c>
      <c r="AG129" s="354">
        <f t="shared" si="58"/>
        <v>0.93385994274073814</v>
      </c>
      <c r="AH129" s="354">
        <f t="shared" si="74"/>
        <v>4.698624786297624</v>
      </c>
      <c r="AI129" s="354">
        <f t="shared" si="75"/>
        <v>0</v>
      </c>
      <c r="AJ129" s="354">
        <f t="shared" si="76"/>
        <v>8.898522939369041</v>
      </c>
      <c r="AK129" s="374">
        <f t="shared" si="77"/>
        <v>9.5976294404175668</v>
      </c>
      <c r="AL129" s="354">
        <f t="shared" si="59"/>
        <v>2.7497845437794401</v>
      </c>
      <c r="AM129" s="354">
        <f t="shared" si="78"/>
        <v>6.4855383001840234</v>
      </c>
      <c r="AN129" s="354">
        <f t="shared" si="79"/>
        <v>0.36230659645410379</v>
      </c>
      <c r="AO129" s="374">
        <f t="shared" si="80"/>
        <v>5.5651391799830732</v>
      </c>
      <c r="AP129" s="354">
        <f t="shared" si="60"/>
        <v>1.2761449501597824</v>
      </c>
      <c r="AQ129" s="354">
        <f t="shared" si="81"/>
        <v>4.2889942298232908</v>
      </c>
      <c r="AR129" s="374">
        <f t="shared" si="82"/>
        <v>10.15243421317285</v>
      </c>
      <c r="AS129" s="354">
        <f t="shared" si="61"/>
        <v>4.3993944007285108</v>
      </c>
      <c r="AT129" s="354">
        <f t="shared" si="83"/>
        <v>5.7530398124443396</v>
      </c>
      <c r="AU129" s="355" t="s">
        <v>396</v>
      </c>
      <c r="AV129" s="354" t="s">
        <v>397</v>
      </c>
      <c r="AW129" s="378">
        <v>0</v>
      </c>
      <c r="AX129" s="378">
        <v>0</v>
      </c>
      <c r="AY129" s="373">
        <v>0</v>
      </c>
      <c r="AZ129" s="373">
        <v>0</v>
      </c>
      <c r="BA129" s="373">
        <v>0</v>
      </c>
      <c r="BB129" s="373">
        <v>0</v>
      </c>
    </row>
    <row r="130" spans="1:54" ht="38.65" customHeight="1" x14ac:dyDescent="0.25">
      <c r="A130" s="422" t="s">
        <v>528</v>
      </c>
      <c r="B130" s="349">
        <v>1</v>
      </c>
      <c r="C130" s="423">
        <v>44927</v>
      </c>
      <c r="D130" s="351">
        <v>44958</v>
      </c>
      <c r="E130" s="352"/>
      <c r="F130" s="352">
        <v>6</v>
      </c>
      <c r="G130" s="352" t="s">
        <v>315</v>
      </c>
      <c r="H130" s="424" t="s">
        <v>533</v>
      </c>
      <c r="I130" s="350" t="s">
        <v>393</v>
      </c>
      <c r="J130" s="375">
        <f>1334036*10%</f>
        <v>133403.6</v>
      </c>
      <c r="K130" s="350" t="s">
        <v>394</v>
      </c>
      <c r="L130" s="425">
        <v>2043.09</v>
      </c>
      <c r="M130" s="375">
        <f t="shared" si="90"/>
        <v>65.295018819533169</v>
      </c>
      <c r="N130" s="354" t="s">
        <v>395</v>
      </c>
      <c r="O130" s="354">
        <v>0</v>
      </c>
      <c r="P130" s="374">
        <f t="shared" si="53"/>
        <v>4.1141173506160733</v>
      </c>
      <c r="Q130" s="354">
        <f t="shared" si="54"/>
        <v>0.38802402792218849</v>
      </c>
      <c r="R130" s="354">
        <f t="shared" si="62"/>
        <v>0.65409565517499513</v>
      </c>
      <c r="S130" s="354">
        <f t="shared" si="63"/>
        <v>0.5826596512051786</v>
      </c>
      <c r="T130" s="354">
        <f t="shared" si="64"/>
        <v>2.4864313426038356</v>
      </c>
      <c r="U130" s="374">
        <f t="shared" si="65"/>
        <v>16.511738032881428</v>
      </c>
      <c r="V130" s="354">
        <f t="shared" si="55"/>
        <v>0.43707753060135596</v>
      </c>
      <c r="W130" s="354">
        <f t="shared" si="66"/>
        <v>14.909619824688846</v>
      </c>
      <c r="X130" s="354">
        <f t="shared" si="67"/>
        <v>1.1650406775912268</v>
      </c>
      <c r="Y130" s="374">
        <f t="shared" si="68"/>
        <v>2.4205955447800434</v>
      </c>
      <c r="Z130" s="354">
        <f t="shared" si="56"/>
        <v>1.2486884818719592</v>
      </c>
      <c r="AA130" s="354">
        <f t="shared" si="69"/>
        <v>1.1719070629080841</v>
      </c>
      <c r="AB130" s="374">
        <f t="shared" si="70"/>
        <v>13.224671584569835</v>
      </c>
      <c r="AC130" s="354">
        <f t="shared" si="57"/>
        <v>3.7530636519378113</v>
      </c>
      <c r="AD130" s="354">
        <f t="shared" si="71"/>
        <v>8.1695858926318916</v>
      </c>
      <c r="AE130" s="354">
        <f t="shared" si="72"/>
        <v>1.3020220400001321</v>
      </c>
      <c r="AF130" s="374">
        <f t="shared" si="73"/>
        <v>10.58435556321086</v>
      </c>
      <c r="AG130" s="354">
        <f t="shared" si="58"/>
        <v>0.68022162714136303</v>
      </c>
      <c r="AH130" s="354">
        <f t="shared" si="74"/>
        <v>3.4224684571885788</v>
      </c>
      <c r="AI130" s="354">
        <f t="shared" si="75"/>
        <v>0</v>
      </c>
      <c r="AJ130" s="354">
        <f t="shared" si="76"/>
        <v>6.4816654788809185</v>
      </c>
      <c r="AK130" s="374">
        <f t="shared" si="77"/>
        <v>6.9908931905789631</v>
      </c>
      <c r="AL130" s="354">
        <f t="shared" si="59"/>
        <v>2.0029373046757897</v>
      </c>
      <c r="AM130" s="354">
        <f t="shared" si="78"/>
        <v>4.7240525195795584</v>
      </c>
      <c r="AN130" s="354">
        <f t="shared" si="79"/>
        <v>0.26390336632361555</v>
      </c>
      <c r="AO130" s="374">
        <f t="shared" si="80"/>
        <v>4.0536357273942842</v>
      </c>
      <c r="AP130" s="354">
        <f t="shared" si="60"/>
        <v>0.92954130992950768</v>
      </c>
      <c r="AQ130" s="354">
        <f t="shared" si="81"/>
        <v>3.1240944174647769</v>
      </c>
      <c r="AR130" s="374">
        <f t="shared" si="82"/>
        <v>7.3950118255016788</v>
      </c>
      <c r="AS130" s="354">
        <f t="shared" si="61"/>
        <v>3.2045096708157623</v>
      </c>
      <c r="AT130" s="354">
        <f t="shared" si="83"/>
        <v>4.1905021546859169</v>
      </c>
      <c r="AU130" s="355" t="s">
        <v>396</v>
      </c>
      <c r="AV130" s="354" t="s">
        <v>397</v>
      </c>
      <c r="AW130" s="378">
        <v>0</v>
      </c>
      <c r="AX130" s="378">
        <v>0</v>
      </c>
      <c r="AY130" s="373">
        <v>0</v>
      </c>
      <c r="AZ130" s="373">
        <v>0</v>
      </c>
      <c r="BA130" s="373">
        <v>0</v>
      </c>
      <c r="BB130" s="373">
        <v>0</v>
      </c>
    </row>
    <row r="131" spans="1:54" ht="17.649999999999999" customHeight="1" x14ac:dyDescent="0.25">
      <c r="A131" s="422" t="s">
        <v>528</v>
      </c>
      <c r="B131" s="349">
        <v>1</v>
      </c>
      <c r="C131" s="423">
        <v>44927</v>
      </c>
      <c r="D131" s="351">
        <v>44958</v>
      </c>
      <c r="E131" s="352"/>
      <c r="F131" s="352">
        <v>6</v>
      </c>
      <c r="G131" s="352" t="s">
        <v>316</v>
      </c>
      <c r="H131" s="424" t="s">
        <v>534</v>
      </c>
      <c r="I131" s="350" t="s">
        <v>393</v>
      </c>
      <c r="J131" s="375">
        <f>690937*50%</f>
        <v>345468.5</v>
      </c>
      <c r="K131" s="350" t="s">
        <v>394</v>
      </c>
      <c r="L131" s="425">
        <v>2043.09</v>
      </c>
      <c r="M131" s="375">
        <f t="shared" si="90"/>
        <v>169.09118051578736</v>
      </c>
      <c r="N131" s="354" t="s">
        <v>395</v>
      </c>
      <c r="O131" s="354">
        <v>0</v>
      </c>
      <c r="P131" s="374">
        <f t="shared" si="53"/>
        <v>10.654119903370738</v>
      </c>
      <c r="Q131" s="354">
        <f t="shared" si="54"/>
        <v>1.0048460378148456</v>
      </c>
      <c r="R131" s="354">
        <f t="shared" si="62"/>
        <v>1.6938781625819899</v>
      </c>
      <c r="S131" s="354">
        <f t="shared" si="63"/>
        <v>1.508883985982209</v>
      </c>
      <c r="T131" s="354">
        <f t="shared" si="64"/>
        <v>6.4389844523111295</v>
      </c>
      <c r="U131" s="374">
        <f t="shared" si="65"/>
        <v>42.759605967248987</v>
      </c>
      <c r="V131" s="354">
        <f t="shared" si="55"/>
        <v>1.1318773922184597</v>
      </c>
      <c r="W131" s="354">
        <f t="shared" si="66"/>
        <v>38.610682143551735</v>
      </c>
      <c r="X131" s="354">
        <f t="shared" si="67"/>
        <v>3.0170464314787959</v>
      </c>
      <c r="Y131" s="374">
        <f t="shared" si="68"/>
        <v>6.2684928439850518</v>
      </c>
      <c r="Z131" s="354">
        <f t="shared" si="56"/>
        <v>3.2336648846026859</v>
      </c>
      <c r="AA131" s="354">
        <f t="shared" si="69"/>
        <v>3.0348279593823655</v>
      </c>
      <c r="AB131" s="374">
        <f t="shared" si="70"/>
        <v>34.247257610094209</v>
      </c>
      <c r="AC131" s="354">
        <f t="shared" si="57"/>
        <v>9.71911755184626</v>
      </c>
      <c r="AD131" s="354">
        <f t="shared" si="71"/>
        <v>21.156359977906895</v>
      </c>
      <c r="AE131" s="354">
        <f t="shared" si="72"/>
        <v>3.3717800803410523</v>
      </c>
      <c r="AF131" s="374">
        <f t="shared" si="73"/>
        <v>27.409765852564025</v>
      </c>
      <c r="AG131" s="354">
        <f t="shared" si="58"/>
        <v>1.7615352598886829</v>
      </c>
      <c r="AH131" s="354">
        <f t="shared" si="74"/>
        <v>8.8629920347145976</v>
      </c>
      <c r="AI131" s="354">
        <f t="shared" si="75"/>
        <v>0</v>
      </c>
      <c r="AJ131" s="354">
        <f t="shared" si="76"/>
        <v>16.785238557960746</v>
      </c>
      <c r="AK131" s="374">
        <f t="shared" si="77"/>
        <v>18.103959594864968</v>
      </c>
      <c r="AL131" s="354">
        <f t="shared" si="59"/>
        <v>5.1869045980797219</v>
      </c>
      <c r="AM131" s="354">
        <f t="shared" si="78"/>
        <v>12.233637906775908</v>
      </c>
      <c r="AN131" s="354">
        <f t="shared" si="79"/>
        <v>0.68341709000933981</v>
      </c>
      <c r="AO131" s="374">
        <f t="shared" si="80"/>
        <v>10.497493727975197</v>
      </c>
      <c r="AP131" s="354">
        <f t="shared" si="60"/>
        <v>2.4071857283415294</v>
      </c>
      <c r="AQ131" s="354">
        <f t="shared" si="81"/>
        <v>8.0903079996336675</v>
      </c>
      <c r="AR131" s="374">
        <f t="shared" si="82"/>
        <v>19.150485015684183</v>
      </c>
      <c r="AS131" s="354">
        <f t="shared" si="61"/>
        <v>8.2985552804588103</v>
      </c>
      <c r="AT131" s="354">
        <f t="shared" si="83"/>
        <v>10.851929735225372</v>
      </c>
      <c r="AU131" s="355" t="s">
        <v>396</v>
      </c>
      <c r="AV131" s="354" t="s">
        <v>397</v>
      </c>
      <c r="AW131" s="378">
        <v>0</v>
      </c>
      <c r="AX131" s="378">
        <v>0</v>
      </c>
      <c r="AY131" s="373">
        <v>0</v>
      </c>
      <c r="AZ131" s="373">
        <v>0</v>
      </c>
      <c r="BA131" s="373">
        <v>0</v>
      </c>
      <c r="BB131" s="373">
        <v>0</v>
      </c>
    </row>
    <row r="132" spans="1:54" ht="22.5" customHeight="1" x14ac:dyDescent="0.25">
      <c r="A132" s="422" t="s">
        <v>535</v>
      </c>
      <c r="B132" s="349">
        <v>2</v>
      </c>
      <c r="C132" s="423">
        <v>44958</v>
      </c>
      <c r="D132" s="351">
        <v>44985</v>
      </c>
      <c r="E132" s="352"/>
      <c r="F132" s="352">
        <v>6</v>
      </c>
      <c r="G132" s="352" t="s">
        <v>312</v>
      </c>
      <c r="H132" s="424" t="s">
        <v>537</v>
      </c>
      <c r="I132" s="350" t="s">
        <v>393</v>
      </c>
      <c r="J132" s="375">
        <f>3827662*10%</f>
        <v>382766.2</v>
      </c>
      <c r="K132" s="350" t="s">
        <v>394</v>
      </c>
      <c r="L132" s="354">
        <v>2047.28</v>
      </c>
      <c r="M132" s="375">
        <f t="shared" si="90"/>
        <v>186.96328787464344</v>
      </c>
      <c r="N132" s="354" t="s">
        <v>395</v>
      </c>
      <c r="O132" s="354">
        <v>0</v>
      </c>
      <c r="P132" s="374">
        <f t="shared" ref="P132:P195" si="91">M132*$P$2</f>
        <v>11.780208053836926</v>
      </c>
      <c r="Q132" s="354">
        <f t="shared" si="54"/>
        <v>1.1110533291245857</v>
      </c>
      <c r="R132" s="354">
        <f t="shared" si="62"/>
        <v>1.8729127655822377</v>
      </c>
      <c r="S132" s="354">
        <f t="shared" si="63"/>
        <v>1.6683656130385351</v>
      </c>
      <c r="T132" s="354">
        <f t="shared" si="64"/>
        <v>7.119553486501327</v>
      </c>
      <c r="U132" s="374">
        <f t="shared" si="65"/>
        <v>47.27908632180069</v>
      </c>
      <c r="V132" s="354">
        <f t="shared" si="55"/>
        <v>1.2515112738265053</v>
      </c>
      <c r="W132" s="354">
        <f t="shared" si="66"/>
        <v>42.691641625668524</v>
      </c>
      <c r="X132" s="354">
        <f t="shared" si="67"/>
        <v>3.3359334223056667</v>
      </c>
      <c r="Y132" s="374">
        <f t="shared" si="68"/>
        <v>6.9310417524744699</v>
      </c>
      <c r="Z132" s="354">
        <f t="shared" si="56"/>
        <v>3.5754473820924728</v>
      </c>
      <c r="AA132" s="354">
        <f t="shared" si="69"/>
        <v>3.3555943703819966</v>
      </c>
      <c r="AB132" s="374">
        <f t="shared" si="70"/>
        <v>37.867024548186272</v>
      </c>
      <c r="AC132" s="354">
        <f t="shared" si="57"/>
        <v>10.746380545635111</v>
      </c>
      <c r="AD132" s="354">
        <f t="shared" si="71"/>
        <v>23.392483326826653</v>
      </c>
      <c r="AE132" s="354">
        <f t="shared" si="72"/>
        <v>3.7281606757245078</v>
      </c>
      <c r="AF132" s="374">
        <f t="shared" si="73"/>
        <v>30.306843491408674</v>
      </c>
      <c r="AG132" s="354">
        <f t="shared" si="58"/>
        <v>1.9477208858042914</v>
      </c>
      <c r="AH132" s="354">
        <f t="shared" si="74"/>
        <v>9.7997667658503627</v>
      </c>
      <c r="AI132" s="354">
        <f t="shared" si="75"/>
        <v>0</v>
      </c>
      <c r="AJ132" s="354">
        <f t="shared" si="76"/>
        <v>18.559355839754023</v>
      </c>
      <c r="AK132" s="374">
        <f t="shared" si="77"/>
        <v>20.017459213904001</v>
      </c>
      <c r="AL132" s="354">
        <f t="shared" si="59"/>
        <v>5.7351349407519701</v>
      </c>
      <c r="AM132" s="354">
        <f t="shared" si="78"/>
        <v>13.526673353050155</v>
      </c>
      <c r="AN132" s="354">
        <f t="shared" si="79"/>
        <v>0.75565092010187707</v>
      </c>
      <c r="AO132" s="374">
        <f t="shared" si="80"/>
        <v>11.607027260907001</v>
      </c>
      <c r="AP132" s="354">
        <f t="shared" si="60"/>
        <v>2.6616134379263543</v>
      </c>
      <c r="AQ132" s="354">
        <f t="shared" si="81"/>
        <v>8.9454138229806475</v>
      </c>
      <c r="AR132" s="374">
        <f t="shared" si="82"/>
        <v>21.1745972321254</v>
      </c>
      <c r="AS132" s="354">
        <f t="shared" si="61"/>
        <v>9.1756718186682917</v>
      </c>
      <c r="AT132" s="354">
        <f t="shared" si="83"/>
        <v>11.998925413457108</v>
      </c>
      <c r="AU132" s="355" t="s">
        <v>396</v>
      </c>
      <c r="AV132" s="354" t="s">
        <v>397</v>
      </c>
      <c r="AW132" s="378">
        <v>0</v>
      </c>
      <c r="AX132" s="378">
        <v>0</v>
      </c>
      <c r="AY132" s="373">
        <v>0</v>
      </c>
      <c r="AZ132" s="373">
        <v>0</v>
      </c>
      <c r="BA132" s="373">
        <v>0</v>
      </c>
      <c r="BB132" s="373">
        <v>0</v>
      </c>
    </row>
    <row r="133" spans="1:54" ht="45" customHeight="1" x14ac:dyDescent="0.25">
      <c r="A133" s="422" t="s">
        <v>535</v>
      </c>
      <c r="B133" s="349">
        <v>2</v>
      </c>
      <c r="C133" s="423">
        <v>44958</v>
      </c>
      <c r="D133" s="351">
        <v>44985</v>
      </c>
      <c r="E133" s="352"/>
      <c r="F133" s="352">
        <v>6</v>
      </c>
      <c r="G133" s="352" t="s">
        <v>313</v>
      </c>
      <c r="H133" s="424" t="s">
        <v>538</v>
      </c>
      <c r="I133" s="350" t="s">
        <v>393</v>
      </c>
      <c r="J133" s="375">
        <f>2279846*5%</f>
        <v>113992.3</v>
      </c>
      <c r="K133" s="350" t="s">
        <v>394</v>
      </c>
      <c r="L133" s="354">
        <v>2047.28</v>
      </c>
      <c r="M133" s="375">
        <f t="shared" si="90"/>
        <v>55.679877691375879</v>
      </c>
      <c r="N133" s="354" t="s">
        <v>395</v>
      </c>
      <c r="O133" s="354">
        <v>0</v>
      </c>
      <c r="P133" s="374">
        <f t="shared" si="91"/>
        <v>3.5082852418405674</v>
      </c>
      <c r="Q133" s="354">
        <f t="shared" ref="Q133:Q195" si="92">P133*$Q$2</f>
        <v>0.33088481796346836</v>
      </c>
      <c r="R133" s="354">
        <f t="shared" si="62"/>
        <v>0.55777556599323586</v>
      </c>
      <c r="S133" s="354">
        <f t="shared" si="63"/>
        <v>0.49685900550041412</v>
      </c>
      <c r="T133" s="354">
        <f t="shared" si="64"/>
        <v>2.1202872063920619</v>
      </c>
      <c r="U133" s="374">
        <f t="shared" si="65"/>
        <v>14.080270911382982</v>
      </c>
      <c r="V133" s="354">
        <f t="shared" ref="V133:V176" si="93">U133*$V$2</f>
        <v>0.37271485460161613</v>
      </c>
      <c r="W133" s="354">
        <f t="shared" si="66"/>
        <v>12.714075641176503</v>
      </c>
      <c r="X133" s="354">
        <f t="shared" si="67"/>
        <v>0.99348041560486333</v>
      </c>
      <c r="Y133" s="374">
        <f t="shared" si="68"/>
        <v>2.064146183128488</v>
      </c>
      <c r="Z133" s="354">
        <f t="shared" ref="Z133:Z176" si="94">Y133*$Z$2</f>
        <v>1.0648105047250771</v>
      </c>
      <c r="AA133" s="354">
        <f t="shared" si="69"/>
        <v>0.99933567840341087</v>
      </c>
      <c r="AB133" s="374">
        <f t="shared" si="70"/>
        <v>11.277247631593944</v>
      </c>
      <c r="AC133" s="354">
        <f t="shared" ref="AC133:AC176" si="95">AB133*$AC$2</f>
        <v>3.2003991864281671</v>
      </c>
      <c r="AD133" s="354">
        <f t="shared" si="71"/>
        <v>6.9665581159899226</v>
      </c>
      <c r="AE133" s="354">
        <f t="shared" si="72"/>
        <v>1.1102903291758541</v>
      </c>
      <c r="AF133" s="374">
        <f t="shared" si="73"/>
        <v>9.0257363250091185</v>
      </c>
      <c r="AG133" s="354">
        <f t="shared" ref="AG133:AG176" si="96">AF133*$AG$2</f>
        <v>0.58005430868992225</v>
      </c>
      <c r="AH133" s="354">
        <f t="shared" si="74"/>
        <v>2.9184864105107615</v>
      </c>
      <c r="AI133" s="354">
        <f t="shared" si="75"/>
        <v>0</v>
      </c>
      <c r="AJ133" s="354">
        <f t="shared" si="76"/>
        <v>5.5271956058084353</v>
      </c>
      <c r="AK133" s="374">
        <f t="shared" si="77"/>
        <v>5.9614360305301481</v>
      </c>
      <c r="AL133" s="354">
        <f t="shared" ref="AL133:AL176" si="97">AK133*$AL$2</f>
        <v>1.7079909947813592</v>
      </c>
      <c r="AM133" s="354">
        <f t="shared" si="78"/>
        <v>4.0284032572962269</v>
      </c>
      <c r="AN133" s="354">
        <f t="shared" si="79"/>
        <v>0.2250417784525624</v>
      </c>
      <c r="AO133" s="374">
        <f t="shared" si="80"/>
        <v>3.4567099541011963</v>
      </c>
      <c r="AP133" s="354">
        <f t="shared" ref="AP133:AP176" si="98">AO133*$AP$2</f>
        <v>0.79265995142761403</v>
      </c>
      <c r="AQ133" s="354">
        <f t="shared" si="81"/>
        <v>2.6640500026735823</v>
      </c>
      <c r="AR133" s="374">
        <f t="shared" si="82"/>
        <v>6.3060454137894313</v>
      </c>
      <c r="AS133" s="354">
        <f t="shared" ref="AS133:AS176" si="99">AR133*$AS$2</f>
        <v>2.7326235562470811</v>
      </c>
      <c r="AT133" s="354">
        <f t="shared" si="83"/>
        <v>3.5734218575423506</v>
      </c>
      <c r="AU133" s="355" t="s">
        <v>396</v>
      </c>
      <c r="AV133" s="354" t="s">
        <v>397</v>
      </c>
      <c r="AW133" s="378">
        <v>0</v>
      </c>
      <c r="AX133" s="378">
        <v>0</v>
      </c>
      <c r="AY133" s="373">
        <v>0</v>
      </c>
      <c r="AZ133" s="373">
        <v>0</v>
      </c>
      <c r="BA133" s="373">
        <v>0</v>
      </c>
      <c r="BB133" s="373">
        <v>0</v>
      </c>
    </row>
    <row r="134" spans="1:54" ht="31.15" customHeight="1" x14ac:dyDescent="0.25">
      <c r="A134" s="422" t="s">
        <v>535</v>
      </c>
      <c r="B134" s="349">
        <v>2</v>
      </c>
      <c r="C134" s="423">
        <v>44958</v>
      </c>
      <c r="D134" s="351">
        <v>44985</v>
      </c>
      <c r="E134" s="352"/>
      <c r="F134" s="352">
        <v>6</v>
      </c>
      <c r="G134" s="352" t="s">
        <v>314</v>
      </c>
      <c r="H134" s="424" t="s">
        <v>539</v>
      </c>
      <c r="I134" s="350" t="s">
        <v>393</v>
      </c>
      <c r="J134" s="375">
        <f>1831466*10%</f>
        <v>183146.6</v>
      </c>
      <c r="K134" s="350" t="s">
        <v>394</v>
      </c>
      <c r="L134" s="354">
        <v>2047.28</v>
      </c>
      <c r="M134" s="375">
        <f t="shared" si="90"/>
        <v>89.4585010355203</v>
      </c>
      <c r="N134" s="354" t="s">
        <v>395</v>
      </c>
      <c r="O134" s="354">
        <v>0</v>
      </c>
      <c r="P134" s="374">
        <f t="shared" si="91"/>
        <v>5.6366132964531612</v>
      </c>
      <c r="Q134" s="354">
        <f t="shared" si="92"/>
        <v>0.53161862162293549</v>
      </c>
      <c r="R134" s="354">
        <f t="shared" si="62"/>
        <v>0.89615437599501691</v>
      </c>
      <c r="S134" s="354">
        <f t="shared" si="63"/>
        <v>0.79828231851433951</v>
      </c>
      <c r="T134" s="354">
        <f t="shared" si="64"/>
        <v>3.4065756447953448</v>
      </c>
      <c r="U134" s="374">
        <f t="shared" si="65"/>
        <v>22.622174870571911</v>
      </c>
      <c r="V134" s="354">
        <f t="shared" si="93"/>
        <v>0.59882516968058674</v>
      </c>
      <c r="W134" s="354">
        <f t="shared" si="66"/>
        <v>20.427166798321437</v>
      </c>
      <c r="X134" s="354">
        <f t="shared" si="67"/>
        <v>1.5961829025698899</v>
      </c>
      <c r="Y134" s="374">
        <f t="shared" si="68"/>
        <v>3.3163762407018713</v>
      </c>
      <c r="Z134" s="354">
        <f t="shared" si="94"/>
        <v>1.7107859354068808</v>
      </c>
      <c r="AA134" s="354">
        <f t="shared" si="69"/>
        <v>1.6055903052949902</v>
      </c>
      <c r="AB134" s="374">
        <f t="shared" si="70"/>
        <v>18.118676095529992</v>
      </c>
      <c r="AC134" s="354">
        <f t="shared" si="95"/>
        <v>5.141945812454745</v>
      </c>
      <c r="AD134" s="354">
        <f t="shared" si="71"/>
        <v>11.192873840127447</v>
      </c>
      <c r="AE134" s="354">
        <f t="shared" si="72"/>
        <v>1.7838564429477997</v>
      </c>
      <c r="AF134" s="374">
        <f t="shared" si="73"/>
        <v>14.501268247258059</v>
      </c>
      <c r="AG134" s="354">
        <f t="shared" si="96"/>
        <v>0.93194868821762267</v>
      </c>
      <c r="AH134" s="354">
        <f t="shared" si="74"/>
        <v>4.6890084964620433</v>
      </c>
      <c r="AI134" s="354">
        <f t="shared" si="75"/>
        <v>0</v>
      </c>
      <c r="AJ134" s="354">
        <f t="shared" si="76"/>
        <v>8.8803110625783948</v>
      </c>
      <c r="AK134" s="374">
        <f t="shared" si="77"/>
        <v>9.5779867597117772</v>
      </c>
      <c r="AL134" s="354">
        <f t="shared" si="97"/>
        <v>2.7441567853690438</v>
      </c>
      <c r="AM134" s="354">
        <f t="shared" si="78"/>
        <v>6.472264881072924</v>
      </c>
      <c r="AN134" s="354">
        <f t="shared" si="79"/>
        <v>0.36156509326980918</v>
      </c>
      <c r="AO134" s="374">
        <f t="shared" si="80"/>
        <v>5.5537494662340361</v>
      </c>
      <c r="AP134" s="354">
        <f t="shared" si="98"/>
        <v>1.2735331689959115</v>
      </c>
      <c r="AQ134" s="354">
        <f t="shared" si="81"/>
        <v>4.280216297238125</v>
      </c>
      <c r="AR134" s="374">
        <f t="shared" si="82"/>
        <v>10.131656059059491</v>
      </c>
      <c r="AS134" s="354">
        <f t="shared" si="99"/>
        <v>4.3903905211717067</v>
      </c>
      <c r="AT134" s="354">
        <f t="shared" si="83"/>
        <v>5.7412655378877844</v>
      </c>
      <c r="AU134" s="355" t="s">
        <v>396</v>
      </c>
      <c r="AV134" s="354" t="s">
        <v>397</v>
      </c>
      <c r="AW134" s="378">
        <v>0</v>
      </c>
      <c r="AX134" s="378">
        <v>0</v>
      </c>
      <c r="AY134" s="373">
        <v>0</v>
      </c>
      <c r="AZ134" s="373">
        <v>0</v>
      </c>
      <c r="BA134" s="373">
        <v>0</v>
      </c>
      <c r="BB134" s="373">
        <v>0</v>
      </c>
    </row>
    <row r="135" spans="1:54" ht="36" customHeight="1" x14ac:dyDescent="0.25">
      <c r="A135" s="422" t="s">
        <v>535</v>
      </c>
      <c r="B135" s="349">
        <v>2</v>
      </c>
      <c r="C135" s="423">
        <v>44958</v>
      </c>
      <c r="D135" s="351">
        <v>44985</v>
      </c>
      <c r="E135" s="352"/>
      <c r="F135" s="352">
        <v>6</v>
      </c>
      <c r="G135" s="352" t="s">
        <v>315</v>
      </c>
      <c r="H135" s="424" t="s">
        <v>540</v>
      </c>
      <c r="I135" s="350" t="s">
        <v>393</v>
      </c>
      <c r="J135" s="375">
        <f>1334036*10%</f>
        <v>133403.6</v>
      </c>
      <c r="K135" s="350" t="s">
        <v>394</v>
      </c>
      <c r="L135" s="354">
        <v>2047.28</v>
      </c>
      <c r="M135" s="375">
        <f t="shared" si="90"/>
        <v>65.1613848618655</v>
      </c>
      <c r="N135" s="354" t="s">
        <v>395</v>
      </c>
      <c r="O135" s="354">
        <v>0</v>
      </c>
      <c r="P135" s="374">
        <f t="shared" si="91"/>
        <v>4.1056973241912154</v>
      </c>
      <c r="Q135" s="354">
        <f t="shared" si="92"/>
        <v>0.38722989098098154</v>
      </c>
      <c r="R135" s="354">
        <f t="shared" si="62"/>
        <v>0.65275697126503485</v>
      </c>
      <c r="S135" s="354">
        <f t="shared" si="63"/>
        <v>0.58146716950333521</v>
      </c>
      <c r="T135" s="354">
        <f t="shared" si="64"/>
        <v>2.4813425675825824</v>
      </c>
      <c r="U135" s="374">
        <f t="shared" si="65"/>
        <v>16.477944813410822</v>
      </c>
      <c r="V135" s="354">
        <f t="shared" si="93"/>
        <v>0.43618299988097575</v>
      </c>
      <c r="W135" s="354">
        <f t="shared" si="66"/>
        <v>14.87910552910375</v>
      </c>
      <c r="X135" s="354">
        <f t="shared" si="67"/>
        <v>1.1626562844260966</v>
      </c>
      <c r="Y135" s="374">
        <f t="shared" si="68"/>
        <v>2.415641510484476</v>
      </c>
      <c r="Z135" s="354">
        <f t="shared" si="94"/>
        <v>1.2461328936089742</v>
      </c>
      <c r="AA135" s="354">
        <f t="shared" si="69"/>
        <v>1.1695086168755016</v>
      </c>
      <c r="AB135" s="374">
        <f t="shared" si="70"/>
        <v>13.197605734300526</v>
      </c>
      <c r="AC135" s="354">
        <f t="shared" si="95"/>
        <v>3.745382564494169</v>
      </c>
      <c r="AD135" s="354">
        <f t="shared" si="71"/>
        <v>8.1528658714866982</v>
      </c>
      <c r="AE135" s="354">
        <f t="shared" si="72"/>
        <v>1.299357298319658</v>
      </c>
      <c r="AF135" s="374">
        <f t="shared" si="73"/>
        <v>10.562693431108823</v>
      </c>
      <c r="AG135" s="354">
        <f t="shared" si="96"/>
        <v>0.67882947334817267</v>
      </c>
      <c r="AH135" s="354">
        <f t="shared" si="74"/>
        <v>3.4154639718052304</v>
      </c>
      <c r="AI135" s="354">
        <f t="shared" si="75"/>
        <v>0</v>
      </c>
      <c r="AJ135" s="354">
        <f t="shared" si="76"/>
        <v>6.4683999859554202</v>
      </c>
      <c r="AK135" s="374">
        <f t="shared" si="77"/>
        <v>6.9765855030772395</v>
      </c>
      <c r="AL135" s="354">
        <f t="shared" si="97"/>
        <v>1.9988380572320632</v>
      </c>
      <c r="AM135" s="354">
        <f t="shared" si="78"/>
        <v>4.7143841888885731</v>
      </c>
      <c r="AN135" s="354">
        <f t="shared" si="79"/>
        <v>0.26336325695660368</v>
      </c>
      <c r="AO135" s="374">
        <f t="shared" si="80"/>
        <v>4.0453394837452556</v>
      </c>
      <c r="AP135" s="354">
        <f t="shared" si="98"/>
        <v>0.92763889399783006</v>
      </c>
      <c r="AQ135" s="354">
        <f t="shared" si="81"/>
        <v>3.1177005897474257</v>
      </c>
      <c r="AR135" s="374">
        <f t="shared" si="82"/>
        <v>7.3798770615471367</v>
      </c>
      <c r="AS135" s="354">
        <f t="shared" si="99"/>
        <v>3.1979512637973184</v>
      </c>
      <c r="AT135" s="354">
        <f t="shared" si="83"/>
        <v>4.1819257977498188</v>
      </c>
      <c r="AU135" s="355" t="s">
        <v>396</v>
      </c>
      <c r="AV135" s="354" t="s">
        <v>397</v>
      </c>
      <c r="AW135" s="378">
        <v>0</v>
      </c>
      <c r="AX135" s="378">
        <v>0</v>
      </c>
      <c r="AY135" s="373">
        <v>0</v>
      </c>
      <c r="AZ135" s="373">
        <v>0</v>
      </c>
      <c r="BA135" s="373">
        <v>0</v>
      </c>
      <c r="BB135" s="373">
        <v>0</v>
      </c>
    </row>
    <row r="136" spans="1:54" ht="25.5" customHeight="1" x14ac:dyDescent="0.25">
      <c r="A136" s="422" t="s">
        <v>535</v>
      </c>
      <c r="B136" s="349">
        <v>2</v>
      </c>
      <c r="C136" s="423">
        <v>44958</v>
      </c>
      <c r="D136" s="351">
        <v>44985</v>
      </c>
      <c r="E136" s="352"/>
      <c r="F136" s="352">
        <v>6</v>
      </c>
      <c r="G136" s="352" t="s">
        <v>316</v>
      </c>
      <c r="H136" s="424" t="s">
        <v>541</v>
      </c>
      <c r="I136" s="350" t="s">
        <v>393</v>
      </c>
      <c r="J136" s="375">
        <f>690937*50%</f>
        <v>345468.5</v>
      </c>
      <c r="K136" s="350" t="s">
        <v>394</v>
      </c>
      <c r="L136" s="354">
        <v>2047.28</v>
      </c>
      <c r="M136" s="375">
        <f t="shared" si="90"/>
        <v>168.74511547028251</v>
      </c>
      <c r="N136" s="354" t="s">
        <v>395</v>
      </c>
      <c r="O136" s="354">
        <v>0</v>
      </c>
      <c r="P136" s="374">
        <f t="shared" si="91"/>
        <v>10.632314990317749</v>
      </c>
      <c r="Q136" s="354">
        <f t="shared" si="92"/>
        <v>1.0027895018752357</v>
      </c>
      <c r="R136" s="354">
        <f t="shared" si="62"/>
        <v>1.6904114411265863</v>
      </c>
      <c r="S136" s="354">
        <f t="shared" si="63"/>
        <v>1.5057958769295803</v>
      </c>
      <c r="T136" s="354">
        <f t="shared" si="64"/>
        <v>6.4258063111408044</v>
      </c>
      <c r="U136" s="374">
        <f t="shared" si="65"/>
        <v>42.672093390072057</v>
      </c>
      <c r="V136" s="354">
        <f t="shared" si="93"/>
        <v>1.1295608716285084</v>
      </c>
      <c r="W136" s="354">
        <f t="shared" si="66"/>
        <v>38.531660828352301</v>
      </c>
      <c r="X136" s="354">
        <f t="shared" si="67"/>
        <v>3.0108716900912489</v>
      </c>
      <c r="Y136" s="374">
        <f t="shared" si="68"/>
        <v>6.2556636340009284</v>
      </c>
      <c r="Z136" s="354">
        <f t="shared" si="94"/>
        <v>3.2270468080003232</v>
      </c>
      <c r="AA136" s="354">
        <f t="shared" si="69"/>
        <v>3.0286168260006048</v>
      </c>
      <c r="AB136" s="374">
        <f t="shared" si="70"/>
        <v>34.177166557875509</v>
      </c>
      <c r="AC136" s="354">
        <f t="shared" si="95"/>
        <v>9.6992262313907105</v>
      </c>
      <c r="AD136" s="354">
        <f t="shared" si="71"/>
        <v>21.113060991785098</v>
      </c>
      <c r="AE136" s="354">
        <f t="shared" si="72"/>
        <v>3.3648793346996992</v>
      </c>
      <c r="AF136" s="374">
        <f t="shared" si="73"/>
        <v>27.353668533720366</v>
      </c>
      <c r="AG136" s="354">
        <f t="shared" si="96"/>
        <v>1.7579300702033767</v>
      </c>
      <c r="AH136" s="354">
        <f t="shared" si="74"/>
        <v>8.8448528761112541</v>
      </c>
      <c r="AI136" s="354">
        <f t="shared" si="75"/>
        <v>0</v>
      </c>
      <c r="AJ136" s="354">
        <f t="shared" si="76"/>
        <v>16.750885587405737</v>
      </c>
      <c r="AK136" s="374">
        <f t="shared" si="77"/>
        <v>18.066907706162649</v>
      </c>
      <c r="AL136" s="354">
        <f t="shared" si="97"/>
        <v>5.1762889860159325</v>
      </c>
      <c r="AM136" s="354">
        <f t="shared" si="78"/>
        <v>12.208600323822237</v>
      </c>
      <c r="AN136" s="354">
        <f t="shared" si="79"/>
        <v>0.68201839632448036</v>
      </c>
      <c r="AO136" s="374">
        <f t="shared" si="80"/>
        <v>10.476009368864467</v>
      </c>
      <c r="AP136" s="354">
        <f t="shared" si="98"/>
        <v>2.4022591388170134</v>
      </c>
      <c r="AQ136" s="354">
        <f t="shared" si="81"/>
        <v>8.0737502300474535</v>
      </c>
      <c r="AR136" s="374">
        <f t="shared" si="82"/>
        <v>19.111291289268781</v>
      </c>
      <c r="AS136" s="354">
        <f t="shared" si="99"/>
        <v>8.2815713082492817</v>
      </c>
      <c r="AT136" s="354">
        <f t="shared" si="83"/>
        <v>10.829719981019501</v>
      </c>
      <c r="AU136" s="355" t="s">
        <v>396</v>
      </c>
      <c r="AV136" s="354" t="s">
        <v>397</v>
      </c>
      <c r="AW136" s="378">
        <v>0</v>
      </c>
      <c r="AX136" s="378">
        <v>0</v>
      </c>
      <c r="AY136" s="373">
        <v>0</v>
      </c>
      <c r="AZ136" s="373">
        <v>0</v>
      </c>
      <c r="BA136" s="373">
        <v>0</v>
      </c>
      <c r="BB136" s="373">
        <v>0</v>
      </c>
    </row>
    <row r="137" spans="1:54" ht="31.5" customHeight="1" x14ac:dyDescent="0.25">
      <c r="A137" s="422" t="s">
        <v>542</v>
      </c>
      <c r="B137" s="349">
        <v>3</v>
      </c>
      <c r="C137" s="423">
        <v>44986</v>
      </c>
      <c r="D137" s="351">
        <v>45013</v>
      </c>
      <c r="E137" s="352"/>
      <c r="F137" s="352">
        <v>6</v>
      </c>
      <c r="G137" s="352" t="s">
        <v>312</v>
      </c>
      <c r="H137" s="424" t="s">
        <v>544</v>
      </c>
      <c r="I137" s="350" t="s">
        <v>393</v>
      </c>
      <c r="J137" s="375">
        <f>3827662*10%</f>
        <v>382766.2</v>
      </c>
      <c r="K137" s="350" t="s">
        <v>394</v>
      </c>
      <c r="L137" s="354">
        <v>2049.2399999999998</v>
      </c>
      <c r="M137" s="375">
        <f t="shared" si="90"/>
        <v>186.7844664363374</v>
      </c>
      <c r="N137" s="354" t="s">
        <v>395</v>
      </c>
      <c r="O137" s="354">
        <v>0</v>
      </c>
      <c r="P137" s="374">
        <f t="shared" si="91"/>
        <v>11.768940848538611</v>
      </c>
      <c r="Q137" s="354">
        <f t="shared" si="92"/>
        <v>1.1099906597812759</v>
      </c>
      <c r="R137" s="354">
        <f t="shared" ref="R137:R176" si="100">P137*$R$2</f>
        <v>1.8711214141443675</v>
      </c>
      <c r="S137" s="354">
        <f t="shared" ref="S137:S176" si="101">P137*$S$2</f>
        <v>1.6667699011641059</v>
      </c>
      <c r="T137" s="354">
        <f t="shared" ref="T137:T176" si="102">P137*$T$2</f>
        <v>7.1127439742755545</v>
      </c>
      <c r="U137" s="374">
        <f t="shared" ref="U137:U199" si="103">M137*$U$2</f>
        <v>47.233866138127368</v>
      </c>
      <c r="V137" s="354">
        <f t="shared" si="93"/>
        <v>1.2503142631802657</v>
      </c>
      <c r="W137" s="354">
        <f t="shared" ref="W137:W176" si="104">U137*$W$2</f>
        <v>42.650809113329167</v>
      </c>
      <c r="X137" s="354">
        <f t="shared" ref="X137:X176" si="105">U137*$X$2</f>
        <v>3.332742761617939</v>
      </c>
      <c r="Y137" s="374">
        <f t="shared" ref="Y137:Y199" si="106">M137*$Y$2</f>
        <v>6.9244125427016519</v>
      </c>
      <c r="Z137" s="354">
        <f t="shared" si="94"/>
        <v>3.5720276377634042</v>
      </c>
      <c r="AA137" s="354">
        <f t="shared" ref="AA137:AA176" si="107">Y137*$AA$2</f>
        <v>3.3523849049382473</v>
      </c>
      <c r="AB137" s="374">
        <f t="shared" ref="AB137:AB199" si="108">M137*$AB$2</f>
        <v>37.830806551214501</v>
      </c>
      <c r="AC137" s="354">
        <f t="shared" si="95"/>
        <v>10.736102146877794</v>
      </c>
      <c r="AD137" s="354">
        <f t="shared" ref="AD137:AD176" si="109">AB137*$AD$2</f>
        <v>23.370109535899005</v>
      </c>
      <c r="AE137" s="354">
        <f t="shared" ref="AE137:AE176" si="110">AB137*$AE$2</f>
        <v>3.7245948684376993</v>
      </c>
      <c r="AF137" s="374">
        <f t="shared" ref="AF137:AF199" si="111">M137*$AF$2</f>
        <v>30.27785644584878</v>
      </c>
      <c r="AG137" s="354">
        <f t="shared" si="96"/>
        <v>1.9458579839791386</v>
      </c>
      <c r="AH137" s="354">
        <f t="shared" ref="AH137:AH176" si="112">AF137*$AH$2</f>
        <v>9.7903937578761546</v>
      </c>
      <c r="AI137" s="354">
        <f t="shared" ref="AI137:AI176" si="113">AF137*$AI$2</f>
        <v>0</v>
      </c>
      <c r="AJ137" s="354">
        <f t="shared" ref="AJ137:AJ176" si="114">AF137*$AJ$2</f>
        <v>18.541604703993489</v>
      </c>
      <c r="AK137" s="374">
        <f t="shared" ref="AK137:AK199" si="115">M137*$AK$2</f>
        <v>19.99831347203909</v>
      </c>
      <c r="AL137" s="354">
        <f t="shared" si="97"/>
        <v>5.729649558618167</v>
      </c>
      <c r="AM137" s="354">
        <f t="shared" ref="AM137:AM176" si="116">AK137*$AM$2</f>
        <v>13.513735737264801</v>
      </c>
      <c r="AN137" s="354">
        <f t="shared" ref="AN137:AN176" si="117">AK137*$AN$2</f>
        <v>0.75492817615612173</v>
      </c>
      <c r="AO137" s="374">
        <f t="shared" ref="AO137:AO199" si="118">M137*$AO$2</f>
        <v>11.595925694750097</v>
      </c>
      <c r="AP137" s="354">
        <f t="shared" si="98"/>
        <v>2.6590677320362026</v>
      </c>
      <c r="AQ137" s="354">
        <f t="shared" ref="AQ137:AQ176" si="119">AO137*$AQ$2</f>
        <v>8.9368579627138942</v>
      </c>
      <c r="AR137" s="374">
        <f t="shared" ref="AR137:AR199" si="120">M137*$AR$2</f>
        <v>21.154344743117296</v>
      </c>
      <c r="AS137" s="354">
        <f t="shared" si="99"/>
        <v>9.166895727646942</v>
      </c>
      <c r="AT137" s="354">
        <f t="shared" ref="AT137:AT176" si="121">AR137*$AT$2</f>
        <v>11.987449015470355</v>
      </c>
      <c r="AU137" s="355" t="s">
        <v>396</v>
      </c>
      <c r="AV137" s="354" t="s">
        <v>397</v>
      </c>
      <c r="AW137" s="378">
        <v>0</v>
      </c>
      <c r="AX137" s="378">
        <v>0</v>
      </c>
      <c r="AY137" s="373">
        <v>0</v>
      </c>
      <c r="AZ137" s="373">
        <v>0</v>
      </c>
      <c r="BA137" s="373">
        <v>0</v>
      </c>
      <c r="BB137" s="373">
        <v>0</v>
      </c>
    </row>
    <row r="138" spans="1:54" ht="32.1" customHeight="1" x14ac:dyDescent="0.25">
      <c r="A138" s="422" t="s">
        <v>542</v>
      </c>
      <c r="B138" s="349">
        <v>3</v>
      </c>
      <c r="C138" s="423">
        <v>44986</v>
      </c>
      <c r="D138" s="351">
        <v>45013</v>
      </c>
      <c r="E138" s="352"/>
      <c r="F138" s="352">
        <v>6</v>
      </c>
      <c r="G138" s="352" t="s">
        <v>313</v>
      </c>
      <c r="H138" s="424" t="s">
        <v>545</v>
      </c>
      <c r="I138" s="350" t="s">
        <v>393</v>
      </c>
      <c r="J138" s="375">
        <f>2279846*5%</f>
        <v>113992.3</v>
      </c>
      <c r="K138" s="350" t="s">
        <v>394</v>
      </c>
      <c r="L138" s="354">
        <v>2049.2399999999998</v>
      </c>
      <c r="M138" s="375">
        <f t="shared" si="90"/>
        <v>55.626622552751272</v>
      </c>
      <c r="N138" s="354" t="s">
        <v>395</v>
      </c>
      <c r="O138" s="354">
        <v>0</v>
      </c>
      <c r="P138" s="374">
        <f t="shared" si="91"/>
        <v>3.504929734884815</v>
      </c>
      <c r="Q138" s="354">
        <f t="shared" si="92"/>
        <v>0.3305683424685491</v>
      </c>
      <c r="R138" s="354">
        <f t="shared" si="100"/>
        <v>0.55724208035497647</v>
      </c>
      <c r="S138" s="354">
        <f t="shared" si="101"/>
        <v>0.49638378363729385</v>
      </c>
      <c r="T138" s="354">
        <f t="shared" si="102"/>
        <v>2.1182592531388913</v>
      </c>
      <c r="U138" s="374">
        <f t="shared" si="103"/>
        <v>14.066803806023772</v>
      </c>
      <c r="V138" s="354">
        <f t="shared" si="93"/>
        <v>0.37235837067829869</v>
      </c>
      <c r="W138" s="354">
        <f t="shared" si="104"/>
        <v>12.701915236218225</v>
      </c>
      <c r="X138" s="354">
        <f t="shared" si="105"/>
        <v>0.99253019912724949</v>
      </c>
      <c r="Y138" s="374">
        <f t="shared" si="106"/>
        <v>2.0621719260776148</v>
      </c>
      <c r="Z138" s="354">
        <f t="shared" si="94"/>
        <v>1.063792064430499</v>
      </c>
      <c r="AA138" s="354">
        <f t="shared" si="107"/>
        <v>0.99837986164711567</v>
      </c>
      <c r="AB138" s="374">
        <f t="shared" si="108"/>
        <v>11.2664614838719</v>
      </c>
      <c r="AC138" s="354">
        <f t="shared" si="95"/>
        <v>3.1973381577514881</v>
      </c>
      <c r="AD138" s="354">
        <f t="shared" si="109"/>
        <v>6.9598949365149281</v>
      </c>
      <c r="AE138" s="354">
        <f t="shared" si="110"/>
        <v>1.1092283896054844</v>
      </c>
      <c r="AF138" s="374">
        <f t="shared" si="111"/>
        <v>9.017103640112758</v>
      </c>
      <c r="AG138" s="354">
        <f t="shared" si="96"/>
        <v>0.57949951450035331</v>
      </c>
      <c r="AH138" s="354">
        <f t="shared" si="112"/>
        <v>2.9156950179141887</v>
      </c>
      <c r="AI138" s="354">
        <f t="shared" si="113"/>
        <v>0</v>
      </c>
      <c r="AJ138" s="354">
        <f t="shared" si="114"/>
        <v>5.5219091076982165</v>
      </c>
      <c r="AK138" s="374">
        <f t="shared" si="115"/>
        <v>5.9557342022329074</v>
      </c>
      <c r="AL138" s="354">
        <f t="shared" si="97"/>
        <v>1.7063573831254424</v>
      </c>
      <c r="AM138" s="354">
        <f t="shared" si="116"/>
        <v>4.0245502823473194</v>
      </c>
      <c r="AN138" s="354">
        <f t="shared" si="117"/>
        <v>0.22482653676014622</v>
      </c>
      <c r="AO138" s="374">
        <f t="shared" si="118"/>
        <v>3.453403776440191</v>
      </c>
      <c r="AP138" s="354">
        <f t="shared" si="98"/>
        <v>0.79190181011434757</v>
      </c>
      <c r="AQ138" s="354">
        <f t="shared" si="119"/>
        <v>2.6615019663258437</v>
      </c>
      <c r="AR138" s="374">
        <f t="shared" si="120"/>
        <v>6.3000139831073119</v>
      </c>
      <c r="AS138" s="354">
        <f t="shared" si="99"/>
        <v>2.7300099325767233</v>
      </c>
      <c r="AT138" s="354">
        <f t="shared" si="121"/>
        <v>3.5700040505305886</v>
      </c>
      <c r="AU138" s="355" t="s">
        <v>396</v>
      </c>
      <c r="AV138" s="354" t="s">
        <v>397</v>
      </c>
      <c r="AW138" s="378">
        <v>0</v>
      </c>
      <c r="AX138" s="378">
        <v>0</v>
      </c>
      <c r="AY138" s="373">
        <v>0</v>
      </c>
      <c r="AZ138" s="373">
        <v>0</v>
      </c>
      <c r="BA138" s="373">
        <v>0</v>
      </c>
      <c r="BB138" s="373">
        <v>0</v>
      </c>
    </row>
    <row r="139" spans="1:54" ht="28.5" customHeight="1" x14ac:dyDescent="0.25">
      <c r="A139" s="422" t="s">
        <v>542</v>
      </c>
      <c r="B139" s="349">
        <v>3</v>
      </c>
      <c r="C139" s="423">
        <v>44986</v>
      </c>
      <c r="D139" s="351">
        <v>45013</v>
      </c>
      <c r="E139" s="352"/>
      <c r="F139" s="352">
        <v>6</v>
      </c>
      <c r="G139" s="352" t="s">
        <v>314</v>
      </c>
      <c r="H139" s="424" t="s">
        <v>546</v>
      </c>
      <c r="I139" s="350" t="s">
        <v>393</v>
      </c>
      <c r="J139" s="375">
        <f>1831466*10%</f>
        <v>183146.6</v>
      </c>
      <c r="K139" s="350" t="s">
        <v>394</v>
      </c>
      <c r="L139" s="354">
        <v>2049.2399999999998</v>
      </c>
      <c r="M139" s="375">
        <f t="shared" si="90"/>
        <v>89.372938260037884</v>
      </c>
      <c r="N139" s="354" t="s">
        <v>395</v>
      </c>
      <c r="O139" s="354">
        <v>0</v>
      </c>
      <c r="P139" s="374">
        <f t="shared" si="91"/>
        <v>5.6312221455576843</v>
      </c>
      <c r="Q139" s="354">
        <f t="shared" si="92"/>
        <v>0.53111015385030724</v>
      </c>
      <c r="R139" s="354">
        <f t="shared" si="100"/>
        <v>0.89529724721705528</v>
      </c>
      <c r="S139" s="354">
        <f t="shared" si="101"/>
        <v>0.79751879967599559</v>
      </c>
      <c r="T139" s="354">
        <f t="shared" si="102"/>
        <v>3.4033174182021697</v>
      </c>
      <c r="U139" s="374">
        <f t="shared" si="103"/>
        <v>22.600537842821957</v>
      </c>
      <c r="V139" s="354">
        <f t="shared" si="93"/>
        <v>0.59825242206070151</v>
      </c>
      <c r="W139" s="354">
        <f t="shared" si="104"/>
        <v>20.407629190757312</v>
      </c>
      <c r="X139" s="354">
        <f t="shared" si="105"/>
        <v>1.5946562300039451</v>
      </c>
      <c r="Y139" s="374">
        <f t="shared" si="106"/>
        <v>3.3132042855225001</v>
      </c>
      <c r="Z139" s="354">
        <f t="shared" si="94"/>
        <v>1.7091496505239989</v>
      </c>
      <c r="AA139" s="354">
        <f t="shared" si="107"/>
        <v>1.604054634998501</v>
      </c>
      <c r="AB139" s="374">
        <f t="shared" si="108"/>
        <v>18.101346448857452</v>
      </c>
      <c r="AC139" s="354">
        <f t="shared" si="95"/>
        <v>5.1370277873369403</v>
      </c>
      <c r="AD139" s="354">
        <f t="shared" si="109"/>
        <v>11.182168391899495</v>
      </c>
      <c r="AE139" s="354">
        <f t="shared" si="110"/>
        <v>1.7821502696210165</v>
      </c>
      <c r="AF139" s="374">
        <f t="shared" si="111"/>
        <v>14.487398478092601</v>
      </c>
      <c r="AG139" s="354">
        <f t="shared" si="96"/>
        <v>0.93105732389284546</v>
      </c>
      <c r="AH139" s="354">
        <f t="shared" si="112"/>
        <v>4.6845236842130804</v>
      </c>
      <c r="AI139" s="354">
        <f t="shared" si="113"/>
        <v>0</v>
      </c>
      <c r="AJ139" s="354">
        <f t="shared" si="114"/>
        <v>8.8718174699866754</v>
      </c>
      <c r="AK139" s="374">
        <f t="shared" si="115"/>
        <v>9.5688258737008507</v>
      </c>
      <c r="AL139" s="354">
        <f t="shared" si="97"/>
        <v>2.7415321307169185</v>
      </c>
      <c r="AM139" s="354">
        <f t="shared" si="116"/>
        <v>6.4660744694242638</v>
      </c>
      <c r="AN139" s="354">
        <f t="shared" si="117"/>
        <v>0.36121927355966849</v>
      </c>
      <c r="AO139" s="374">
        <f t="shared" si="118"/>
        <v>5.5484375706269731</v>
      </c>
      <c r="AP139" s="354">
        <f t="shared" si="98"/>
        <v>1.2723150954607318</v>
      </c>
      <c r="AQ139" s="354">
        <f t="shared" si="119"/>
        <v>4.2761224751662414</v>
      </c>
      <c r="AR139" s="374">
        <f t="shared" si="120"/>
        <v>10.12196561485786</v>
      </c>
      <c r="AS139" s="354">
        <f t="shared" si="99"/>
        <v>4.3861913227266767</v>
      </c>
      <c r="AT139" s="354">
        <f t="shared" si="121"/>
        <v>5.7357742921311843</v>
      </c>
      <c r="AU139" s="355" t="s">
        <v>396</v>
      </c>
      <c r="AV139" s="354" t="s">
        <v>397</v>
      </c>
      <c r="AW139" s="378">
        <v>0</v>
      </c>
      <c r="AX139" s="378">
        <v>0</v>
      </c>
      <c r="AY139" s="373">
        <v>0</v>
      </c>
      <c r="AZ139" s="373">
        <v>0</v>
      </c>
      <c r="BA139" s="373">
        <v>0</v>
      </c>
      <c r="BB139" s="373">
        <v>0</v>
      </c>
    </row>
    <row r="140" spans="1:54" ht="30" customHeight="1" x14ac:dyDescent="0.25">
      <c r="A140" s="422" t="s">
        <v>542</v>
      </c>
      <c r="B140" s="349">
        <v>3</v>
      </c>
      <c r="C140" s="423">
        <v>44986</v>
      </c>
      <c r="D140" s="351">
        <v>45013</v>
      </c>
      <c r="E140" s="352"/>
      <c r="F140" s="352">
        <v>6</v>
      </c>
      <c r="G140" s="352" t="s">
        <v>315</v>
      </c>
      <c r="H140" s="424" t="s">
        <v>547</v>
      </c>
      <c r="I140" s="350" t="s">
        <v>393</v>
      </c>
      <c r="J140" s="375">
        <f>1334036*10%</f>
        <v>133403.6</v>
      </c>
      <c r="K140" s="350" t="s">
        <v>394</v>
      </c>
      <c r="L140" s="354">
        <v>2049.2399999999998</v>
      </c>
      <c r="M140" s="375">
        <f t="shared" si="90"/>
        <v>65.099061115340334</v>
      </c>
      <c r="N140" s="354" t="s">
        <v>395</v>
      </c>
      <c r="O140" s="354">
        <v>0</v>
      </c>
      <c r="P140" s="374">
        <f t="shared" si="91"/>
        <v>4.1017704211659902</v>
      </c>
      <c r="Q140" s="354">
        <f t="shared" si="92"/>
        <v>0.38685952411993912</v>
      </c>
      <c r="R140" s="354">
        <f t="shared" si="100"/>
        <v>0.6521326404576725</v>
      </c>
      <c r="S140" s="354">
        <f t="shared" si="101"/>
        <v>0.58091102398000649</v>
      </c>
      <c r="T140" s="354">
        <f t="shared" si="102"/>
        <v>2.4789692821536136</v>
      </c>
      <c r="U140" s="374">
        <f t="shared" si="103"/>
        <v>16.462184447697545</v>
      </c>
      <c r="V140" s="354">
        <f t="shared" si="93"/>
        <v>0.43576581171376916</v>
      </c>
      <c r="W140" s="354">
        <f t="shared" si="104"/>
        <v>14.864874376658438</v>
      </c>
      <c r="X140" s="354">
        <f t="shared" si="105"/>
        <v>1.16154425932534</v>
      </c>
      <c r="Y140" s="374">
        <f t="shared" si="106"/>
        <v>2.4133310649727018</v>
      </c>
      <c r="Z140" s="354">
        <f t="shared" si="94"/>
        <v>1.2449410271260475</v>
      </c>
      <c r="AA140" s="354">
        <f t="shared" si="107"/>
        <v>1.1683900378466543</v>
      </c>
      <c r="AB140" s="374">
        <f t="shared" si="108"/>
        <v>13.184982855946002</v>
      </c>
      <c r="AC140" s="354">
        <f t="shared" si="95"/>
        <v>3.7418002852948522</v>
      </c>
      <c r="AD140" s="354">
        <f t="shared" si="109"/>
        <v>8.1450680454106354</v>
      </c>
      <c r="AE140" s="354">
        <f t="shared" si="110"/>
        <v>1.2981145252405135</v>
      </c>
      <c r="AF140" s="374">
        <f t="shared" si="111"/>
        <v>10.552590720286776</v>
      </c>
      <c r="AG140" s="354">
        <f t="shared" si="96"/>
        <v>0.6781802054401862</v>
      </c>
      <c r="AH140" s="354">
        <f t="shared" si="112"/>
        <v>3.4121972439525936</v>
      </c>
      <c r="AI140" s="354">
        <f t="shared" si="113"/>
        <v>0</v>
      </c>
      <c r="AJ140" s="354">
        <f t="shared" si="114"/>
        <v>6.4622132708939972</v>
      </c>
      <c r="AK140" s="374">
        <f t="shared" si="115"/>
        <v>6.9699127328863257</v>
      </c>
      <c r="AL140" s="354">
        <f t="shared" si="97"/>
        <v>1.9969262642784931</v>
      </c>
      <c r="AM140" s="354">
        <f t="shared" si="116"/>
        <v>4.7098751060040795</v>
      </c>
      <c r="AN140" s="354">
        <f t="shared" si="117"/>
        <v>0.26311136260375345</v>
      </c>
      <c r="AO140" s="374">
        <f t="shared" si="118"/>
        <v>4.0414703101061802</v>
      </c>
      <c r="AP140" s="354">
        <f t="shared" si="98"/>
        <v>0.92675165178499241</v>
      </c>
      <c r="AQ140" s="354">
        <f t="shared" si="119"/>
        <v>3.1147186583211877</v>
      </c>
      <c r="AR140" s="374">
        <f t="shared" si="120"/>
        <v>7.3728185622788081</v>
      </c>
      <c r="AS140" s="354">
        <f t="shared" si="99"/>
        <v>3.1948925764414979</v>
      </c>
      <c r="AT140" s="354">
        <f t="shared" si="121"/>
        <v>4.1779259858373106</v>
      </c>
      <c r="AU140" s="355" t="s">
        <v>396</v>
      </c>
      <c r="AV140" s="354" t="s">
        <v>397</v>
      </c>
      <c r="AW140" s="378">
        <v>0</v>
      </c>
      <c r="AX140" s="378">
        <v>0</v>
      </c>
      <c r="AY140" s="373">
        <v>0</v>
      </c>
      <c r="AZ140" s="373">
        <v>0</v>
      </c>
      <c r="BA140" s="373">
        <v>0</v>
      </c>
      <c r="BB140" s="373">
        <v>0</v>
      </c>
    </row>
    <row r="141" spans="1:54" ht="31.5" customHeight="1" x14ac:dyDescent="0.25">
      <c r="A141" s="422" t="s">
        <v>542</v>
      </c>
      <c r="B141" s="349">
        <v>3</v>
      </c>
      <c r="C141" s="423">
        <v>44986</v>
      </c>
      <c r="D141" s="351">
        <v>45013</v>
      </c>
      <c r="E141" s="352"/>
      <c r="F141" s="352">
        <v>6</v>
      </c>
      <c r="G141" s="352" t="s">
        <v>316</v>
      </c>
      <c r="H141" s="424" t="s">
        <v>548</v>
      </c>
      <c r="I141" s="350" t="s">
        <v>393</v>
      </c>
      <c r="J141" s="375">
        <f>690937*50%</f>
        <v>345468.5</v>
      </c>
      <c r="K141" s="350" t="s">
        <v>394</v>
      </c>
      <c r="L141" s="354">
        <v>2049.2399999999998</v>
      </c>
      <c r="M141" s="375">
        <f t="shared" si="90"/>
        <v>168.58371884210734</v>
      </c>
      <c r="N141" s="354" t="s">
        <v>395</v>
      </c>
      <c r="O141" s="354">
        <v>0</v>
      </c>
      <c r="P141" s="374">
        <f t="shared" si="91"/>
        <v>10.622145689805844</v>
      </c>
      <c r="Q141" s="354">
        <f t="shared" si="92"/>
        <v>1.001830381702062</v>
      </c>
      <c r="R141" s="354">
        <f t="shared" si="100"/>
        <v>1.6887946434725258</v>
      </c>
      <c r="S141" s="354">
        <f t="shared" si="101"/>
        <v>1.5043556552284711</v>
      </c>
      <c r="T141" s="354">
        <f t="shared" si="102"/>
        <v>6.4196603348911552</v>
      </c>
      <c r="U141" s="374">
        <f t="shared" si="103"/>
        <v>42.631279574684633</v>
      </c>
      <c r="V141" s="354">
        <f t="shared" si="93"/>
        <v>1.1284805007064145</v>
      </c>
      <c r="W141" s="354">
        <f t="shared" si="104"/>
        <v>38.494807138582651</v>
      </c>
      <c r="X141" s="354">
        <f t="shared" si="105"/>
        <v>3.0079919353955678</v>
      </c>
      <c r="Y141" s="374">
        <f t="shared" si="106"/>
        <v>6.2496803910803136</v>
      </c>
      <c r="Z141" s="354">
        <f t="shared" si="94"/>
        <v>3.2239602921487491</v>
      </c>
      <c r="AA141" s="354">
        <f t="shared" si="107"/>
        <v>3.025720098931564</v>
      </c>
      <c r="AB141" s="374">
        <f t="shared" si="108"/>
        <v>34.1444777335048</v>
      </c>
      <c r="AC141" s="354">
        <f t="shared" si="95"/>
        <v>9.6899493856266599</v>
      </c>
      <c r="AD141" s="354">
        <f t="shared" si="109"/>
        <v>21.092867359246256</v>
      </c>
      <c r="AE141" s="354">
        <f t="shared" si="110"/>
        <v>3.3616609886318836</v>
      </c>
      <c r="AF141" s="374">
        <f t="shared" si="111"/>
        <v>27.32750605869251</v>
      </c>
      <c r="AG141" s="354">
        <f t="shared" si="96"/>
        <v>1.7562486942114977</v>
      </c>
      <c r="AH141" s="354">
        <f t="shared" si="112"/>
        <v>8.8363931975781504</v>
      </c>
      <c r="AI141" s="354">
        <f t="shared" si="113"/>
        <v>0</v>
      </c>
      <c r="AJ141" s="354">
        <f t="shared" si="114"/>
        <v>16.734864166902863</v>
      </c>
      <c r="AK141" s="374">
        <f t="shared" si="115"/>
        <v>18.049627573477323</v>
      </c>
      <c r="AL141" s="354">
        <f t="shared" si="97"/>
        <v>5.1713381132960023</v>
      </c>
      <c r="AM141" s="354">
        <f t="shared" si="116"/>
        <v>12.19692338181706</v>
      </c>
      <c r="AN141" s="354">
        <f t="shared" si="117"/>
        <v>0.68136607836426288</v>
      </c>
      <c r="AO141" s="374">
        <f t="shared" si="118"/>
        <v>10.465989567199962</v>
      </c>
      <c r="AP141" s="354">
        <f t="shared" si="98"/>
        <v>2.3999614929033672</v>
      </c>
      <c r="AQ141" s="354">
        <f t="shared" si="119"/>
        <v>8.0660280742965949</v>
      </c>
      <c r="AR141" s="374">
        <f t="shared" si="120"/>
        <v>19.093012253661943</v>
      </c>
      <c r="AS141" s="354">
        <f t="shared" si="99"/>
        <v>8.2736503815817546</v>
      </c>
      <c r="AT141" s="354">
        <f t="shared" si="121"/>
        <v>10.81936187208019</v>
      </c>
      <c r="AU141" s="355" t="s">
        <v>396</v>
      </c>
      <c r="AV141" s="354" t="s">
        <v>397</v>
      </c>
      <c r="AW141" s="378">
        <v>0</v>
      </c>
      <c r="AX141" s="378">
        <v>0</v>
      </c>
      <c r="AY141" s="373">
        <v>0</v>
      </c>
      <c r="AZ141" s="373">
        <v>0</v>
      </c>
      <c r="BA141" s="373">
        <v>0</v>
      </c>
      <c r="BB141" s="373">
        <v>0</v>
      </c>
    </row>
    <row r="142" spans="1:54" ht="21" customHeight="1" x14ac:dyDescent="0.25">
      <c r="A142" s="422" t="s">
        <v>549</v>
      </c>
      <c r="B142" s="349">
        <v>3</v>
      </c>
      <c r="C142" s="423">
        <v>44986</v>
      </c>
      <c r="D142" s="351">
        <v>45013</v>
      </c>
      <c r="E142" s="352"/>
      <c r="F142" s="352">
        <v>6</v>
      </c>
      <c r="G142" s="352" t="s">
        <v>317</v>
      </c>
      <c r="H142" s="424" t="s">
        <v>550</v>
      </c>
      <c r="I142" s="350" t="s">
        <v>393</v>
      </c>
      <c r="J142" s="375">
        <f>647896+59306+29400+18000</f>
        <v>754602</v>
      </c>
      <c r="K142" s="350" t="s">
        <v>394</v>
      </c>
      <c r="L142" s="354">
        <v>2049.2399999999998</v>
      </c>
      <c r="M142" s="375">
        <f t="shared" si="90"/>
        <v>368.23505299525681</v>
      </c>
      <c r="N142" s="354" t="s">
        <v>395</v>
      </c>
      <c r="O142" s="354">
        <v>0</v>
      </c>
      <c r="P142" s="374">
        <f t="shared" si="91"/>
        <v>23.201803874503373</v>
      </c>
      <c r="Q142" s="354">
        <f t="shared" si="92"/>
        <v>2.1882840539532236</v>
      </c>
      <c r="R142" s="354">
        <f t="shared" si="100"/>
        <v>3.688810457548676</v>
      </c>
      <c r="S142" s="354">
        <f t="shared" si="101"/>
        <v>3.2859429619392637</v>
      </c>
      <c r="T142" s="354">
        <f t="shared" si="102"/>
        <v>14.022374045765488</v>
      </c>
      <c r="U142" s="374">
        <f t="shared" si="103"/>
        <v>93.118906150969408</v>
      </c>
      <c r="V142" s="354">
        <f t="shared" si="93"/>
        <v>2.4649241328632332</v>
      </c>
      <c r="W142" s="354">
        <f t="shared" si="104"/>
        <v>84.083667415086325</v>
      </c>
      <c r="X142" s="354">
        <f t="shared" si="105"/>
        <v>6.5703146030198596</v>
      </c>
      <c r="Y142" s="374">
        <f t="shared" si="106"/>
        <v>13.651089238150472</v>
      </c>
      <c r="Z142" s="354">
        <f t="shared" si="94"/>
        <v>7.042051256123294</v>
      </c>
      <c r="AA142" s="354">
        <f t="shared" si="107"/>
        <v>6.6090379820271776</v>
      </c>
      <c r="AB142" s="374">
        <f t="shared" si="108"/>
        <v>74.581303900813509</v>
      </c>
      <c r="AC142" s="354">
        <f t="shared" si="95"/>
        <v>21.165620559595588</v>
      </c>
      <c r="AD142" s="354">
        <f t="shared" si="109"/>
        <v>46.072854384761406</v>
      </c>
      <c r="AE142" s="354">
        <f t="shared" si="110"/>
        <v>7.3428289564565121</v>
      </c>
      <c r="AF142" s="374">
        <f t="shared" si="111"/>
        <v>59.691088266807206</v>
      </c>
      <c r="AG142" s="354">
        <f t="shared" si="96"/>
        <v>3.8361493946608292</v>
      </c>
      <c r="AH142" s="354">
        <f t="shared" si="112"/>
        <v>19.301209747571392</v>
      </c>
      <c r="AI142" s="354">
        <f t="shared" si="113"/>
        <v>0</v>
      </c>
      <c r="AJ142" s="354">
        <f t="shared" si="114"/>
        <v>36.553729124574986</v>
      </c>
      <c r="AK142" s="374">
        <f t="shared" si="115"/>
        <v>39.425548396456215</v>
      </c>
      <c r="AL142" s="354">
        <f t="shared" si="97"/>
        <v>11.295681322521125</v>
      </c>
      <c r="AM142" s="354">
        <f t="shared" si="116"/>
        <v>26.641568703849742</v>
      </c>
      <c r="AN142" s="354">
        <f t="shared" si="117"/>
        <v>1.4882983700853463</v>
      </c>
      <c r="AO142" s="374">
        <f t="shared" si="118"/>
        <v>22.860714245693096</v>
      </c>
      <c r="AP142" s="354">
        <f t="shared" si="98"/>
        <v>5.2422022339746359</v>
      </c>
      <c r="AQ142" s="354">
        <f t="shared" si="119"/>
        <v>17.618512011718462</v>
      </c>
      <c r="AR142" s="374">
        <f t="shared" si="120"/>
        <v>41.704598921863521</v>
      </c>
      <c r="AS142" s="354">
        <f t="shared" si="99"/>
        <v>18.072018506006636</v>
      </c>
      <c r="AT142" s="354">
        <f t="shared" si="121"/>
        <v>23.632580415856886</v>
      </c>
      <c r="AU142" s="355" t="s">
        <v>396</v>
      </c>
      <c r="AV142" s="354" t="s">
        <v>397</v>
      </c>
      <c r="AW142" s="378">
        <v>0</v>
      </c>
      <c r="AX142" s="378">
        <v>0</v>
      </c>
      <c r="AY142" s="373">
        <v>0</v>
      </c>
      <c r="AZ142" s="373">
        <v>0</v>
      </c>
      <c r="BA142" s="373">
        <v>0</v>
      </c>
      <c r="BB142" s="373">
        <v>0</v>
      </c>
    </row>
    <row r="143" spans="1:54" ht="36" customHeight="1" x14ac:dyDescent="0.25">
      <c r="A143" s="422" t="s">
        <v>551</v>
      </c>
      <c r="B143" s="349">
        <v>4</v>
      </c>
      <c r="C143" s="423">
        <v>45017</v>
      </c>
      <c r="D143" s="351">
        <v>45044</v>
      </c>
      <c r="E143" s="352"/>
      <c r="F143" s="352">
        <v>6</v>
      </c>
      <c r="G143" s="352" t="s">
        <v>312</v>
      </c>
      <c r="H143" s="424" t="s">
        <v>553</v>
      </c>
      <c r="I143" s="350" t="s">
        <v>393</v>
      </c>
      <c r="J143" s="375">
        <f>3827662*10%</f>
        <v>382766.2</v>
      </c>
      <c r="K143" s="350" t="s">
        <v>394</v>
      </c>
      <c r="L143" s="354">
        <v>20050.46</v>
      </c>
      <c r="M143" s="375">
        <f t="shared" si="90"/>
        <v>19.090145562745196</v>
      </c>
      <c r="N143" s="354" t="s">
        <v>395</v>
      </c>
      <c r="O143" s="354">
        <v>0</v>
      </c>
      <c r="P143" s="374">
        <f t="shared" si="91"/>
        <v>1.2028344658655843</v>
      </c>
      <c r="Q143" s="354">
        <f t="shared" si="92"/>
        <v>0.11344563963371325</v>
      </c>
      <c r="R143" s="354">
        <f t="shared" si="100"/>
        <v>0.1912363530173973</v>
      </c>
      <c r="S143" s="354">
        <f t="shared" si="101"/>
        <v>0.17035078258860559</v>
      </c>
      <c r="T143" s="354">
        <f t="shared" si="102"/>
        <v>0.72695187351534263</v>
      </c>
      <c r="U143" s="374">
        <f t="shared" si="103"/>
        <v>4.8274966182768937</v>
      </c>
      <c r="V143" s="354">
        <f t="shared" si="93"/>
        <v>0.12778729269450814</v>
      </c>
      <c r="W143" s="354">
        <f t="shared" si="104"/>
        <v>4.3590892212646821</v>
      </c>
      <c r="X143" s="354">
        <f t="shared" si="105"/>
        <v>0.34062010431770373</v>
      </c>
      <c r="Y143" s="374">
        <f t="shared" si="106"/>
        <v>0.70770362171271539</v>
      </c>
      <c r="Z143" s="354">
        <f t="shared" si="94"/>
        <v>0.36507600904968152</v>
      </c>
      <c r="AA143" s="354">
        <f t="shared" si="107"/>
        <v>0.34262761266303382</v>
      </c>
      <c r="AB143" s="374">
        <f t="shared" si="108"/>
        <v>3.8664650096312401</v>
      </c>
      <c r="AC143" s="354">
        <f t="shared" si="95"/>
        <v>1.0972740756804507</v>
      </c>
      <c r="AD143" s="354">
        <f t="shared" si="109"/>
        <v>2.388521922456925</v>
      </c>
      <c r="AE143" s="354">
        <f t="shared" si="110"/>
        <v>0.38066901149386451</v>
      </c>
      <c r="AF143" s="374">
        <f t="shared" si="111"/>
        <v>3.0945222475240546</v>
      </c>
      <c r="AG143" s="354">
        <f t="shared" si="96"/>
        <v>0.19887473978599043</v>
      </c>
      <c r="AH143" s="354">
        <f t="shared" si="112"/>
        <v>1.0006187640777384</v>
      </c>
      <c r="AI143" s="354">
        <f t="shared" si="113"/>
        <v>0</v>
      </c>
      <c r="AJ143" s="354">
        <f t="shared" si="114"/>
        <v>1.8950287436603259</v>
      </c>
      <c r="AK143" s="374">
        <f t="shared" si="115"/>
        <v>2.0439104090101363</v>
      </c>
      <c r="AL143" s="354">
        <f t="shared" si="97"/>
        <v>0.58559389966627651</v>
      </c>
      <c r="AM143" s="354">
        <f t="shared" si="116"/>
        <v>1.3811597251251351</v>
      </c>
      <c r="AN143" s="354">
        <f t="shared" si="117"/>
        <v>7.7156784218724697E-2</v>
      </c>
      <c r="AO143" s="374">
        <f t="shared" si="118"/>
        <v>1.1851516010460452</v>
      </c>
      <c r="AP143" s="354">
        <f t="shared" si="98"/>
        <v>0.27176772798219428</v>
      </c>
      <c r="AQ143" s="354">
        <f t="shared" si="119"/>
        <v>0.91338387306385094</v>
      </c>
      <c r="AR143" s="374">
        <f t="shared" si="120"/>
        <v>2.1620615896785256</v>
      </c>
      <c r="AS143" s="354">
        <f t="shared" si="99"/>
        <v>0.93689468475652038</v>
      </c>
      <c r="AT143" s="354">
        <f t="shared" si="121"/>
        <v>1.2251669049220053</v>
      </c>
      <c r="AU143" s="355" t="s">
        <v>396</v>
      </c>
      <c r="AV143" s="354" t="s">
        <v>397</v>
      </c>
      <c r="AW143" s="378">
        <v>0</v>
      </c>
      <c r="AX143" s="378">
        <v>0</v>
      </c>
      <c r="AY143" s="373">
        <v>0</v>
      </c>
      <c r="AZ143" s="373">
        <v>0</v>
      </c>
      <c r="BA143" s="373">
        <v>0</v>
      </c>
      <c r="BB143" s="373">
        <v>0</v>
      </c>
    </row>
    <row r="144" spans="1:54" ht="28.15" customHeight="1" x14ac:dyDescent="0.25">
      <c r="A144" s="422" t="s">
        <v>551</v>
      </c>
      <c r="B144" s="349">
        <v>4</v>
      </c>
      <c r="C144" s="423">
        <v>45017</v>
      </c>
      <c r="D144" s="351">
        <v>45044</v>
      </c>
      <c r="E144" s="352"/>
      <c r="F144" s="352">
        <v>6</v>
      </c>
      <c r="G144" s="352" t="s">
        <v>313</v>
      </c>
      <c r="H144" s="424" t="s">
        <v>554</v>
      </c>
      <c r="I144" s="350" t="s">
        <v>393</v>
      </c>
      <c r="J144" s="375">
        <f>2279846*5%</f>
        <v>113992.3</v>
      </c>
      <c r="K144" s="350" t="s">
        <v>394</v>
      </c>
      <c r="L144" s="354">
        <v>20050.46</v>
      </c>
      <c r="M144" s="375">
        <f t="shared" si="90"/>
        <v>5.6852710611128128</v>
      </c>
      <c r="N144" s="354" t="s">
        <v>395</v>
      </c>
      <c r="O144" s="354">
        <v>0</v>
      </c>
      <c r="P144" s="374">
        <f t="shared" si="91"/>
        <v>0.35821832566012735</v>
      </c>
      <c r="Q144" s="354">
        <f t="shared" si="92"/>
        <v>3.3785452808576436E-2</v>
      </c>
      <c r="R144" s="354">
        <f t="shared" si="100"/>
        <v>5.695244701351649E-2</v>
      </c>
      <c r="S144" s="354">
        <f t="shared" si="101"/>
        <v>5.0732477199071133E-2</v>
      </c>
      <c r="T144" s="354">
        <f t="shared" si="102"/>
        <v>0.21649486305562768</v>
      </c>
      <c r="U144" s="374">
        <f t="shared" si="103"/>
        <v>1.4376855708774836</v>
      </c>
      <c r="V144" s="354">
        <f t="shared" si="93"/>
        <v>3.8056566658759783E-2</v>
      </c>
      <c r="W144" s="354">
        <f t="shared" si="104"/>
        <v>1.2981883098276963</v>
      </c>
      <c r="X144" s="354">
        <f t="shared" si="105"/>
        <v>0.10144069439102767</v>
      </c>
      <c r="Y144" s="374">
        <f t="shared" si="106"/>
        <v>0.21076250608690728</v>
      </c>
      <c r="Z144" s="354">
        <f t="shared" si="94"/>
        <v>0.10872395197484525</v>
      </c>
      <c r="AA144" s="354">
        <f t="shared" si="107"/>
        <v>0.10203855411206202</v>
      </c>
      <c r="AB144" s="374">
        <f t="shared" si="108"/>
        <v>1.1514789950559563</v>
      </c>
      <c r="AC144" s="354">
        <f t="shared" si="95"/>
        <v>0.32678119336866379</v>
      </c>
      <c r="AD144" s="354">
        <f t="shared" si="109"/>
        <v>0.71133006922054898</v>
      </c>
      <c r="AE144" s="354">
        <f t="shared" si="110"/>
        <v>0.11336773246674353</v>
      </c>
      <c r="AF144" s="374">
        <f t="shared" si="111"/>
        <v>0.92158531342745587</v>
      </c>
      <c r="AG144" s="354">
        <f t="shared" si="96"/>
        <v>5.9227248905746002E-2</v>
      </c>
      <c r="AH144" s="354">
        <f t="shared" si="112"/>
        <v>0.29799609876833105</v>
      </c>
      <c r="AI144" s="354">
        <f t="shared" si="113"/>
        <v>0</v>
      </c>
      <c r="AJ144" s="354">
        <f t="shared" si="114"/>
        <v>0.56436196575337882</v>
      </c>
      <c r="AK144" s="374">
        <f t="shared" si="115"/>
        <v>0.60870068599841409</v>
      </c>
      <c r="AL144" s="354">
        <f t="shared" si="97"/>
        <v>0.17439678709595596</v>
      </c>
      <c r="AM144" s="354">
        <f t="shared" si="116"/>
        <v>0.41132569629811083</v>
      </c>
      <c r="AN144" s="354">
        <f t="shared" si="117"/>
        <v>2.2978202604347329E-2</v>
      </c>
      <c r="AO144" s="374">
        <f t="shared" si="118"/>
        <v>0.3529521594433393</v>
      </c>
      <c r="AP144" s="354">
        <f t="shared" si="98"/>
        <v>8.0935642641551647E-2</v>
      </c>
      <c r="AQ144" s="354">
        <f t="shared" si="119"/>
        <v>0.27201651680178768</v>
      </c>
      <c r="AR144" s="374">
        <f t="shared" si="120"/>
        <v>0.64388750456312849</v>
      </c>
      <c r="AS144" s="354">
        <f t="shared" si="99"/>
        <v>0.27901831450418213</v>
      </c>
      <c r="AT144" s="354">
        <f t="shared" si="121"/>
        <v>0.36486919005894641</v>
      </c>
      <c r="AU144" s="355" t="s">
        <v>396</v>
      </c>
      <c r="AV144" s="354" t="s">
        <v>397</v>
      </c>
      <c r="AW144" s="378">
        <v>0</v>
      </c>
      <c r="AX144" s="378">
        <v>0</v>
      </c>
      <c r="AY144" s="373">
        <v>0</v>
      </c>
      <c r="AZ144" s="373">
        <v>0</v>
      </c>
      <c r="BA144" s="373">
        <v>0</v>
      </c>
      <c r="BB144" s="373">
        <v>0</v>
      </c>
    </row>
    <row r="145" spans="1:54" ht="22.15" customHeight="1" x14ac:dyDescent="0.25">
      <c r="A145" s="422" t="s">
        <v>551</v>
      </c>
      <c r="B145" s="349">
        <v>4</v>
      </c>
      <c r="C145" s="423">
        <v>45017</v>
      </c>
      <c r="D145" s="351">
        <v>45044</v>
      </c>
      <c r="E145" s="352"/>
      <c r="F145" s="352">
        <v>6</v>
      </c>
      <c r="G145" s="352" t="s">
        <v>314</v>
      </c>
      <c r="H145" s="424" t="s">
        <v>555</v>
      </c>
      <c r="I145" s="350" t="s">
        <v>393</v>
      </c>
      <c r="J145" s="375">
        <f>1831466*10%</f>
        <v>183146.6</v>
      </c>
      <c r="K145" s="350" t="s">
        <v>394</v>
      </c>
      <c r="L145" s="354">
        <v>20050.46</v>
      </c>
      <c r="M145" s="375">
        <f t="shared" si="90"/>
        <v>9.1342842009609768</v>
      </c>
      <c r="N145" s="354" t="s">
        <v>395</v>
      </c>
      <c r="O145" s="354">
        <v>0</v>
      </c>
      <c r="P145" s="374">
        <f t="shared" si="91"/>
        <v>0.57553421066462462</v>
      </c>
      <c r="Q145" s="354">
        <f t="shared" si="92"/>
        <v>5.4281655965808445E-2</v>
      </c>
      <c r="R145" s="354">
        <f t="shared" si="100"/>
        <v>9.150308426275898E-2</v>
      </c>
      <c r="S145" s="354">
        <f t="shared" si="101"/>
        <v>8.1509722223232647E-2</v>
      </c>
      <c r="T145" s="354">
        <f t="shared" si="102"/>
        <v>0.34783312632610996</v>
      </c>
      <c r="U145" s="374">
        <f t="shared" si="103"/>
        <v>2.3098685101999887</v>
      </c>
      <c r="V145" s="354">
        <f t="shared" si="93"/>
        <v>6.1143873675899296E-2</v>
      </c>
      <c r="W145" s="354">
        <f t="shared" si="104"/>
        <v>2.085744169603466</v>
      </c>
      <c r="X145" s="354">
        <f t="shared" si="105"/>
        <v>0.16298046692062348</v>
      </c>
      <c r="Y145" s="374">
        <f t="shared" si="106"/>
        <v>0.33862319119182943</v>
      </c>
      <c r="Z145" s="354">
        <f t="shared" si="94"/>
        <v>0.17468216838116429</v>
      </c>
      <c r="AA145" s="354">
        <f t="shared" si="107"/>
        <v>0.16394102281066511</v>
      </c>
      <c r="AB145" s="374">
        <f t="shared" si="108"/>
        <v>1.8500325277752554</v>
      </c>
      <c r="AC145" s="354">
        <f t="shared" si="95"/>
        <v>0.52502550180506335</v>
      </c>
      <c r="AD145" s="354">
        <f t="shared" si="109"/>
        <v>1.1428638921708592</v>
      </c>
      <c r="AE145" s="354">
        <f t="shared" si="110"/>
        <v>0.18214313379933289</v>
      </c>
      <c r="AF145" s="374">
        <f t="shared" si="111"/>
        <v>1.480672087186353</v>
      </c>
      <c r="AG145" s="354">
        <f t="shared" si="96"/>
        <v>9.51579121084591E-2</v>
      </c>
      <c r="AH145" s="354">
        <f t="shared" si="112"/>
        <v>0.47877770957059407</v>
      </c>
      <c r="AI145" s="354">
        <f t="shared" si="113"/>
        <v>0</v>
      </c>
      <c r="AJ145" s="354">
        <f t="shared" si="114"/>
        <v>0.90673646550729992</v>
      </c>
      <c r="AK145" s="374">
        <f t="shared" si="115"/>
        <v>0.97797360925498611</v>
      </c>
      <c r="AL145" s="354">
        <f t="shared" si="97"/>
        <v>0.28019593084399746</v>
      </c>
      <c r="AM145" s="354">
        <f t="shared" si="116"/>
        <v>0.66085957358200154</v>
      </c>
      <c r="AN145" s="354">
        <f t="shared" si="117"/>
        <v>3.6918104828987212E-2</v>
      </c>
      <c r="AO145" s="374">
        <f t="shared" si="118"/>
        <v>0.56707328446487604</v>
      </c>
      <c r="AP145" s="354">
        <f t="shared" si="98"/>
        <v>0.13003586881407958</v>
      </c>
      <c r="AQ145" s="354">
        <f t="shared" si="119"/>
        <v>0.43703741565079646</v>
      </c>
      <c r="AR145" s="374">
        <f t="shared" si="120"/>
        <v>1.0345067802230632</v>
      </c>
      <c r="AS145" s="354">
        <f t="shared" si="99"/>
        <v>0.44828690744174521</v>
      </c>
      <c r="AT145" s="354">
        <f t="shared" si="121"/>
        <v>0.58621987278131804</v>
      </c>
      <c r="AU145" s="355" t="s">
        <v>396</v>
      </c>
      <c r="AV145" s="354" t="s">
        <v>397</v>
      </c>
      <c r="AW145" s="378">
        <v>0</v>
      </c>
      <c r="AX145" s="378">
        <v>0</v>
      </c>
      <c r="AY145" s="373">
        <v>0</v>
      </c>
      <c r="AZ145" s="373">
        <v>0</v>
      </c>
      <c r="BA145" s="373">
        <v>0</v>
      </c>
      <c r="BB145" s="373">
        <v>0</v>
      </c>
    </row>
    <row r="146" spans="1:54" ht="35.65" customHeight="1" x14ac:dyDescent="0.25">
      <c r="A146" s="422" t="s">
        <v>551</v>
      </c>
      <c r="B146" s="349">
        <v>4</v>
      </c>
      <c r="C146" s="423">
        <v>45017</v>
      </c>
      <c r="D146" s="351">
        <v>45044</v>
      </c>
      <c r="E146" s="352"/>
      <c r="F146" s="352">
        <v>6</v>
      </c>
      <c r="G146" s="352" t="s">
        <v>315</v>
      </c>
      <c r="H146" s="424" t="s">
        <v>556</v>
      </c>
      <c r="I146" s="350" t="s">
        <v>393</v>
      </c>
      <c r="J146" s="375">
        <f>1334036*10%</f>
        <v>133403.6</v>
      </c>
      <c r="K146" s="350" t="s">
        <v>394</v>
      </c>
      <c r="L146" s="354">
        <v>20050.46</v>
      </c>
      <c r="M146" s="375">
        <f t="shared" si="90"/>
        <v>6.6533934882291987</v>
      </c>
      <c r="N146" s="354" t="s">
        <v>395</v>
      </c>
      <c r="O146" s="354">
        <v>0</v>
      </c>
      <c r="P146" s="374">
        <f t="shared" si="91"/>
        <v>0.41921791409624481</v>
      </c>
      <c r="Q146" s="354">
        <f t="shared" si="92"/>
        <v>3.9538644560151937E-2</v>
      </c>
      <c r="R146" s="354">
        <f t="shared" si="100"/>
        <v>6.6650655003998943E-2</v>
      </c>
      <c r="S146" s="354">
        <f t="shared" si="101"/>
        <v>5.937151101674417E-2</v>
      </c>
      <c r="T146" s="354">
        <f t="shared" si="102"/>
        <v>0.25336092098437996</v>
      </c>
      <c r="U146" s="374">
        <f t="shared" si="103"/>
        <v>1.6825033868350012</v>
      </c>
      <c r="V146" s="354">
        <f t="shared" si="93"/>
        <v>4.4537069573282823E-2</v>
      </c>
      <c r="W146" s="354">
        <f t="shared" si="104"/>
        <v>1.5192516863764491</v>
      </c>
      <c r="X146" s="354">
        <f t="shared" si="105"/>
        <v>0.11871463088526944</v>
      </c>
      <c r="Y146" s="374">
        <f t="shared" si="106"/>
        <v>0.24665242351470534</v>
      </c>
      <c r="Z146" s="354">
        <f t="shared" si="94"/>
        <v>0.12723812573017182</v>
      </c>
      <c r="AA146" s="354">
        <f t="shared" si="107"/>
        <v>0.1194142977845335</v>
      </c>
      <c r="AB146" s="374">
        <f t="shared" si="108"/>
        <v>1.3475598199601797</v>
      </c>
      <c r="AC146" s="354">
        <f t="shared" si="95"/>
        <v>0.38242747630915319</v>
      </c>
      <c r="AD146" s="354">
        <f t="shared" si="109"/>
        <v>0.83245966633071222</v>
      </c>
      <c r="AE146" s="354">
        <f t="shared" si="110"/>
        <v>0.13267267732031435</v>
      </c>
      <c r="AF146" s="374">
        <f t="shared" si="111"/>
        <v>1.0785184483368697</v>
      </c>
      <c r="AG146" s="354">
        <f t="shared" si="96"/>
        <v>6.9312823954973957E-2</v>
      </c>
      <c r="AH146" s="354">
        <f t="shared" si="112"/>
        <v>0.34874068127102387</v>
      </c>
      <c r="AI146" s="354">
        <f t="shared" si="113"/>
        <v>0</v>
      </c>
      <c r="AJ146" s="354">
        <f t="shared" si="114"/>
        <v>0.660464943110872</v>
      </c>
      <c r="AK146" s="374">
        <f t="shared" si="115"/>
        <v>0.71235392947293841</v>
      </c>
      <c r="AL146" s="354">
        <f t="shared" si="97"/>
        <v>0.20409412940202165</v>
      </c>
      <c r="AM146" s="354">
        <f t="shared" si="116"/>
        <v>0.48136872980608919</v>
      </c>
      <c r="AN146" s="354">
        <f t="shared" si="117"/>
        <v>2.6891070264827621E-2</v>
      </c>
      <c r="AO146" s="374">
        <f t="shared" si="118"/>
        <v>0.4130549931663407</v>
      </c>
      <c r="AP146" s="354">
        <f t="shared" si="98"/>
        <v>9.4717854598043022E-2</v>
      </c>
      <c r="AQ146" s="354">
        <f t="shared" si="119"/>
        <v>0.31833713856829771</v>
      </c>
      <c r="AR146" s="374">
        <f t="shared" si="120"/>
        <v>0.75353257284691844</v>
      </c>
      <c r="AS146" s="354">
        <f t="shared" si="99"/>
        <v>0.32653124483662593</v>
      </c>
      <c r="AT146" s="354">
        <f t="shared" si="121"/>
        <v>0.4270013280102925</v>
      </c>
      <c r="AU146" s="355" t="s">
        <v>396</v>
      </c>
      <c r="AV146" s="354" t="s">
        <v>397</v>
      </c>
      <c r="AW146" s="378">
        <v>0</v>
      </c>
      <c r="AX146" s="378">
        <v>0</v>
      </c>
      <c r="AY146" s="373">
        <v>0</v>
      </c>
      <c r="AZ146" s="373">
        <v>0</v>
      </c>
      <c r="BA146" s="373">
        <v>0</v>
      </c>
      <c r="BB146" s="373">
        <v>0</v>
      </c>
    </row>
    <row r="147" spans="1:54" ht="28.15" customHeight="1" x14ac:dyDescent="0.25">
      <c r="A147" s="422" t="s">
        <v>551</v>
      </c>
      <c r="B147" s="349">
        <v>4</v>
      </c>
      <c r="C147" s="423">
        <v>45017</v>
      </c>
      <c r="D147" s="351">
        <v>45044</v>
      </c>
      <c r="E147" s="352"/>
      <c r="F147" s="352">
        <v>6</v>
      </c>
      <c r="G147" s="352" t="s">
        <v>316</v>
      </c>
      <c r="H147" s="424" t="s">
        <v>557</v>
      </c>
      <c r="I147" s="350" t="s">
        <v>393</v>
      </c>
      <c r="J147" s="375">
        <f>690937*50%</f>
        <v>345468.5</v>
      </c>
      <c r="K147" s="350" t="s">
        <v>394</v>
      </c>
      <c r="L147" s="354">
        <v>20050.46</v>
      </c>
      <c r="M147" s="375">
        <f t="shared" si="90"/>
        <v>17.229953826495752</v>
      </c>
      <c r="N147" s="354" t="s">
        <v>395</v>
      </c>
      <c r="O147" s="354">
        <v>0</v>
      </c>
      <c r="P147" s="374">
        <f t="shared" si="91"/>
        <v>1.0856272541067749</v>
      </c>
      <c r="Q147" s="354">
        <f t="shared" si="92"/>
        <v>0.10239121154323308</v>
      </c>
      <c r="R147" s="354">
        <f t="shared" si="100"/>
        <v>0.17260180241199646</v>
      </c>
      <c r="S147" s="354">
        <f t="shared" si="101"/>
        <v>0.15375137442833689</v>
      </c>
      <c r="T147" s="354">
        <f t="shared" si="102"/>
        <v>0.65611585692659169</v>
      </c>
      <c r="U147" s="374">
        <f t="shared" si="103"/>
        <v>4.3570932215832823</v>
      </c>
      <c r="V147" s="354">
        <f t="shared" si="93"/>
        <v>0.11533537790492653</v>
      </c>
      <c r="W147" s="354">
        <f t="shared" si="104"/>
        <v>3.9343286179304173</v>
      </c>
      <c r="X147" s="354">
        <f t="shared" si="105"/>
        <v>0.30742922574793863</v>
      </c>
      <c r="Y147" s="374">
        <f t="shared" si="106"/>
        <v>0.6387432031293756</v>
      </c>
      <c r="Z147" s="354">
        <f t="shared" si="94"/>
        <v>0.32950208569194434</v>
      </c>
      <c r="AA147" s="354">
        <f t="shared" si="107"/>
        <v>0.30924111743743127</v>
      </c>
      <c r="AB147" s="374">
        <f t="shared" si="108"/>
        <v>3.4897069469033317</v>
      </c>
      <c r="AC147" s="354">
        <f t="shared" si="95"/>
        <v>0.99035293349886111</v>
      </c>
      <c r="AD147" s="354">
        <f t="shared" si="109"/>
        <v>2.1557783465946319</v>
      </c>
      <c r="AE147" s="354">
        <f t="shared" si="110"/>
        <v>0.34357566680983881</v>
      </c>
      <c r="AF147" s="374">
        <f t="shared" si="111"/>
        <v>2.7929842265820852</v>
      </c>
      <c r="AG147" s="354">
        <f t="shared" si="96"/>
        <v>0.17949588558696256</v>
      </c>
      <c r="AH147" s="354">
        <f t="shared" si="112"/>
        <v>0.90311595824759372</v>
      </c>
      <c r="AI147" s="354">
        <f t="shared" si="113"/>
        <v>0</v>
      </c>
      <c r="AJ147" s="354">
        <f t="shared" si="114"/>
        <v>1.710372382747529</v>
      </c>
      <c r="AK147" s="374">
        <f t="shared" si="115"/>
        <v>1.8447466446491834</v>
      </c>
      <c r="AL147" s="354">
        <f t="shared" si="97"/>
        <v>0.52853215912705731</v>
      </c>
      <c r="AM147" s="354">
        <f t="shared" si="116"/>
        <v>1.2465760521681191</v>
      </c>
      <c r="AN147" s="354">
        <f t="shared" si="117"/>
        <v>6.9638433354006934E-2</v>
      </c>
      <c r="AO147" s="374">
        <f t="shared" si="118"/>
        <v>1.0696674520529128</v>
      </c>
      <c r="AP147" s="354">
        <f t="shared" si="98"/>
        <v>0.24528599791312994</v>
      </c>
      <c r="AQ147" s="354">
        <f t="shared" si="119"/>
        <v>0.82438145413978292</v>
      </c>
      <c r="AR147" s="374">
        <f t="shared" si="120"/>
        <v>1.9513848774888056</v>
      </c>
      <c r="AS147" s="354">
        <f t="shared" si="99"/>
        <v>0.84560131328421351</v>
      </c>
      <c r="AT147" s="354">
        <f t="shared" si="121"/>
        <v>1.1057835642045921</v>
      </c>
      <c r="AU147" s="355" t="s">
        <v>396</v>
      </c>
      <c r="AV147" s="354" t="s">
        <v>397</v>
      </c>
      <c r="AW147" s="378">
        <v>0</v>
      </c>
      <c r="AX147" s="378">
        <v>0</v>
      </c>
      <c r="AY147" s="373">
        <v>0</v>
      </c>
      <c r="AZ147" s="373">
        <v>0</v>
      </c>
      <c r="BA147" s="373">
        <v>0</v>
      </c>
      <c r="BB147" s="373">
        <v>0</v>
      </c>
    </row>
    <row r="148" spans="1:54" ht="24.6" customHeight="1" x14ac:dyDescent="0.25">
      <c r="A148" s="422" t="s">
        <v>551</v>
      </c>
      <c r="B148" s="349">
        <v>4</v>
      </c>
      <c r="C148" s="423">
        <v>45017</v>
      </c>
      <c r="D148" s="351">
        <v>45044</v>
      </c>
      <c r="E148" s="352"/>
      <c r="F148" s="352">
        <v>6</v>
      </c>
      <c r="G148" s="352" t="s">
        <v>317</v>
      </c>
      <c r="H148" s="424" t="s">
        <v>558</v>
      </c>
      <c r="I148" s="350" t="s">
        <v>393</v>
      </c>
      <c r="J148" s="375">
        <f>1251995+169809+29400+18000+40000</f>
        <v>1509204</v>
      </c>
      <c r="K148" s="350" t="s">
        <v>394</v>
      </c>
      <c r="L148" s="354">
        <v>20050.46</v>
      </c>
      <c r="M148" s="375">
        <f t="shared" si="90"/>
        <v>75.270293050633256</v>
      </c>
      <c r="N148" s="354" t="s">
        <v>395</v>
      </c>
      <c r="O148" s="354">
        <v>0</v>
      </c>
      <c r="P148" s="374">
        <f t="shared" si="91"/>
        <v>4.7426407745046539</v>
      </c>
      <c r="Q148" s="354">
        <f t="shared" si="92"/>
        <v>0.44730337505704149</v>
      </c>
      <c r="R148" s="354">
        <f t="shared" si="100"/>
        <v>0.75402339318170741</v>
      </c>
      <c r="S148" s="354">
        <f t="shared" si="101"/>
        <v>0.67167394217633081</v>
      </c>
      <c r="T148" s="354">
        <f t="shared" si="102"/>
        <v>2.8662893309724038</v>
      </c>
      <c r="U148" s="374">
        <f t="shared" si="103"/>
        <v>19.034275247631481</v>
      </c>
      <c r="V148" s="354">
        <f t="shared" si="93"/>
        <v>0.50385089718925669</v>
      </c>
      <c r="W148" s="354">
        <f t="shared" si="104"/>
        <v>17.187397657080336</v>
      </c>
      <c r="X148" s="354">
        <f t="shared" si="105"/>
        <v>1.3430266933618895</v>
      </c>
      <c r="Y148" s="374">
        <f t="shared" si="106"/>
        <v>2.7903956428318826</v>
      </c>
      <c r="Z148" s="354">
        <f t="shared" si="94"/>
        <v>1.4394535702520639</v>
      </c>
      <c r="AA148" s="354">
        <f t="shared" si="107"/>
        <v>1.3509420725798185</v>
      </c>
      <c r="AB148" s="374">
        <f t="shared" si="108"/>
        <v>15.245035895007202</v>
      </c>
      <c r="AC148" s="354">
        <f t="shared" si="95"/>
        <v>4.3264280495854619</v>
      </c>
      <c r="AD148" s="354">
        <f t="shared" si="109"/>
        <v>9.4176728234093829</v>
      </c>
      <c r="AE148" s="354">
        <f t="shared" si="110"/>
        <v>1.500935022012357</v>
      </c>
      <c r="AF148" s="374">
        <f t="shared" si="111"/>
        <v>12.201352559479632</v>
      </c>
      <c r="AG148" s="354">
        <f t="shared" si="96"/>
        <v>0.78414069158660271</v>
      </c>
      <c r="AH148" s="354">
        <f t="shared" si="112"/>
        <v>3.9453270461738232</v>
      </c>
      <c r="AI148" s="354">
        <f t="shared" si="113"/>
        <v>0</v>
      </c>
      <c r="AJ148" s="354">
        <f t="shared" si="114"/>
        <v>7.4718848217192066</v>
      </c>
      <c r="AK148" s="374">
        <f t="shared" si="115"/>
        <v>8.0589084535670441</v>
      </c>
      <c r="AL148" s="354">
        <f t="shared" si="97"/>
        <v>2.3089307670111503</v>
      </c>
      <c r="AM148" s="354">
        <f t="shared" si="116"/>
        <v>5.445757179703314</v>
      </c>
      <c r="AN148" s="354">
        <f t="shared" si="117"/>
        <v>0.30422050685258045</v>
      </c>
      <c r="AO148" s="374">
        <f t="shared" si="118"/>
        <v>4.672919230864939</v>
      </c>
      <c r="AP148" s="354">
        <f t="shared" si="98"/>
        <v>1.0715495311279823</v>
      </c>
      <c r="AQ148" s="354">
        <f t="shared" si="119"/>
        <v>3.6013696997369569</v>
      </c>
      <c r="AR148" s="374">
        <f t="shared" si="120"/>
        <v>8.5247652467464192</v>
      </c>
      <c r="AS148" s="354">
        <f t="shared" si="99"/>
        <v>3.6940701812575911</v>
      </c>
      <c r="AT148" s="354">
        <f t="shared" si="121"/>
        <v>4.8306950654888281</v>
      </c>
      <c r="AU148" s="355" t="s">
        <v>396</v>
      </c>
      <c r="AV148" s="354" t="s">
        <v>397</v>
      </c>
      <c r="AW148" s="378">
        <v>0</v>
      </c>
      <c r="AX148" s="378">
        <v>0</v>
      </c>
      <c r="AY148" s="373">
        <v>0</v>
      </c>
      <c r="AZ148" s="373">
        <v>0</v>
      </c>
      <c r="BA148" s="373">
        <v>0</v>
      </c>
      <c r="BB148" s="373">
        <v>0</v>
      </c>
    </row>
    <row r="149" spans="1:54" ht="33.6" customHeight="1" x14ac:dyDescent="0.25">
      <c r="A149" s="422" t="s">
        <v>559</v>
      </c>
      <c r="B149" s="349">
        <v>5</v>
      </c>
      <c r="C149" s="423">
        <v>45047</v>
      </c>
      <c r="D149" s="351">
        <v>45077</v>
      </c>
      <c r="E149" s="352"/>
      <c r="F149" s="352">
        <v>6</v>
      </c>
      <c r="G149" s="352" t="s">
        <v>312</v>
      </c>
      <c r="H149" s="424" t="s">
        <v>561</v>
      </c>
      <c r="I149" s="350" t="s">
        <v>393</v>
      </c>
      <c r="J149" s="375">
        <f>3827662*10%</f>
        <v>382766.2</v>
      </c>
      <c r="K149" s="350" t="s">
        <v>394</v>
      </c>
      <c r="L149" s="354">
        <v>2054.29</v>
      </c>
      <c r="M149" s="375">
        <f t="shared" si="90"/>
        <v>186.32529973859582</v>
      </c>
      <c r="N149" s="354" t="s">
        <v>395</v>
      </c>
      <c r="O149" s="354">
        <v>0</v>
      </c>
      <c r="P149" s="374">
        <f t="shared" si="91"/>
        <v>11.740009611330075</v>
      </c>
      <c r="Q149" s="354">
        <f t="shared" si="92"/>
        <v>1.1072620027601661</v>
      </c>
      <c r="R149" s="354">
        <f t="shared" si="100"/>
        <v>1.8665216920304355</v>
      </c>
      <c r="S149" s="354">
        <f t="shared" si="101"/>
        <v>1.6626725302958842</v>
      </c>
      <c r="T149" s="354">
        <f t="shared" si="102"/>
        <v>7.095258927339585</v>
      </c>
      <c r="U149" s="374">
        <f t="shared" si="103"/>
        <v>47.117752530020645</v>
      </c>
      <c r="V149" s="354">
        <f t="shared" si="93"/>
        <v>1.2472406528189921</v>
      </c>
      <c r="W149" s="354">
        <f t="shared" si="104"/>
        <v>42.545961897978692</v>
      </c>
      <c r="X149" s="354">
        <f t="shared" si="105"/>
        <v>3.3245499792229651</v>
      </c>
      <c r="Y149" s="374">
        <f t="shared" si="106"/>
        <v>6.9073904653218055</v>
      </c>
      <c r="Z149" s="354">
        <f t="shared" si="94"/>
        <v>3.5632466284751798</v>
      </c>
      <c r="AA149" s="354">
        <f t="shared" si="107"/>
        <v>3.3441438368466252</v>
      </c>
      <c r="AB149" s="374">
        <f t="shared" si="108"/>
        <v>37.737808204786468</v>
      </c>
      <c r="AC149" s="354">
        <f t="shared" si="95"/>
        <v>10.709709906326687</v>
      </c>
      <c r="AD149" s="354">
        <f t="shared" si="109"/>
        <v>23.312659490795202</v>
      </c>
      <c r="AE149" s="354">
        <f t="shared" si="110"/>
        <v>3.7154388076645799</v>
      </c>
      <c r="AF149" s="374">
        <f t="shared" si="111"/>
        <v>30.203425291994385</v>
      </c>
      <c r="AG149" s="354">
        <f t="shared" si="96"/>
        <v>1.9410745391786988</v>
      </c>
      <c r="AH149" s="354">
        <f t="shared" si="112"/>
        <v>9.7663263241266449</v>
      </c>
      <c r="AI149" s="354">
        <f t="shared" si="113"/>
        <v>0</v>
      </c>
      <c r="AJ149" s="354">
        <f t="shared" si="114"/>
        <v>18.496024428689044</v>
      </c>
      <c r="AK149" s="374">
        <f t="shared" si="115"/>
        <v>19.949152212901478</v>
      </c>
      <c r="AL149" s="354">
        <f t="shared" si="97"/>
        <v>5.7155645315426211</v>
      </c>
      <c r="AM149" s="354">
        <f t="shared" si="116"/>
        <v>13.480515322682054</v>
      </c>
      <c r="AN149" s="354">
        <f t="shared" si="117"/>
        <v>0.75307235867680355</v>
      </c>
      <c r="AO149" s="374">
        <f t="shared" si="118"/>
        <v>11.567419775547602</v>
      </c>
      <c r="AP149" s="354">
        <f t="shared" si="98"/>
        <v>2.6525310249272822</v>
      </c>
      <c r="AQ149" s="354">
        <f t="shared" si="119"/>
        <v>8.9148887506203209</v>
      </c>
      <c r="AR149" s="374">
        <f t="shared" si="120"/>
        <v>21.10234164669335</v>
      </c>
      <c r="AS149" s="354">
        <f t="shared" si="99"/>
        <v>9.1443610205585468</v>
      </c>
      <c r="AT149" s="354">
        <f t="shared" si="121"/>
        <v>11.957980626134804</v>
      </c>
      <c r="AU149" s="355" t="s">
        <v>396</v>
      </c>
      <c r="AV149" s="354" t="s">
        <v>397</v>
      </c>
      <c r="AW149" s="378">
        <v>0</v>
      </c>
      <c r="AX149" s="378">
        <v>0</v>
      </c>
      <c r="AY149" s="373">
        <v>0</v>
      </c>
      <c r="AZ149" s="373">
        <v>0</v>
      </c>
      <c r="BA149" s="373">
        <v>0</v>
      </c>
      <c r="BB149" s="373">
        <v>0</v>
      </c>
    </row>
    <row r="150" spans="1:54" ht="30" customHeight="1" x14ac:dyDescent="0.25">
      <c r="A150" s="422" t="s">
        <v>559</v>
      </c>
      <c r="B150" s="349">
        <v>5</v>
      </c>
      <c r="C150" s="423">
        <v>45047</v>
      </c>
      <c r="D150" s="351">
        <v>45077</v>
      </c>
      <c r="E150" s="352"/>
      <c r="F150" s="352">
        <v>6</v>
      </c>
      <c r="G150" s="352" t="s">
        <v>313</v>
      </c>
      <c r="H150" s="424" t="s">
        <v>562</v>
      </c>
      <c r="I150" s="350" t="s">
        <v>393</v>
      </c>
      <c r="J150" s="375">
        <f>2279846*5%</f>
        <v>113992.3</v>
      </c>
      <c r="K150" s="350" t="s">
        <v>394</v>
      </c>
      <c r="L150" s="354">
        <v>2054.29</v>
      </c>
      <c r="M150" s="375">
        <f t="shared" si="90"/>
        <v>55.489877281201778</v>
      </c>
      <c r="N150" s="354" t="s">
        <v>395</v>
      </c>
      <c r="O150" s="354">
        <v>0</v>
      </c>
      <c r="P150" s="374">
        <f t="shared" si="91"/>
        <v>3.4963136703753399</v>
      </c>
      <c r="Q150" s="354">
        <f t="shared" si="92"/>
        <v>0.32975571614535898</v>
      </c>
      <c r="R150" s="354">
        <f t="shared" si="100"/>
        <v>0.55587222872458697</v>
      </c>
      <c r="S150" s="354">
        <f t="shared" si="101"/>
        <v>0.49516353814743186</v>
      </c>
      <c r="T150" s="354">
        <f t="shared" si="102"/>
        <v>2.1130519994267316</v>
      </c>
      <c r="U150" s="374">
        <f t="shared" si="103"/>
        <v>14.032223800659182</v>
      </c>
      <c r="V150" s="354">
        <f t="shared" si="93"/>
        <v>0.37144301317184852</v>
      </c>
      <c r="W150" s="354">
        <f t="shared" si="104"/>
        <v>12.670690495824752</v>
      </c>
      <c r="X150" s="354">
        <f t="shared" si="105"/>
        <v>0.99009029166258145</v>
      </c>
      <c r="Y150" s="374">
        <f t="shared" si="106"/>
        <v>2.0571025501731941</v>
      </c>
      <c r="Z150" s="354">
        <f t="shared" si="94"/>
        <v>1.0611769760421146</v>
      </c>
      <c r="AA150" s="354">
        <f t="shared" si="107"/>
        <v>0.99592557413107941</v>
      </c>
      <c r="AB150" s="374">
        <f t="shared" si="108"/>
        <v>11.238765476738751</v>
      </c>
      <c r="AC150" s="354">
        <f t="shared" si="95"/>
        <v>3.1894782364664471</v>
      </c>
      <c r="AD150" s="354">
        <f t="shared" si="109"/>
        <v>6.9427856338218303</v>
      </c>
      <c r="AE150" s="354">
        <f t="shared" si="110"/>
        <v>1.1065016064504731</v>
      </c>
      <c r="AF150" s="374">
        <f t="shared" si="111"/>
        <v>8.9949371624574255</v>
      </c>
      <c r="AG150" s="354">
        <f t="shared" si="96"/>
        <v>0.57807494808167492</v>
      </c>
      <c r="AH150" s="354">
        <f t="shared" si="112"/>
        <v>2.908527451582041</v>
      </c>
      <c r="AI150" s="354">
        <f t="shared" si="113"/>
        <v>0</v>
      </c>
      <c r="AJ150" s="354">
        <f t="shared" si="114"/>
        <v>5.5083347627937105</v>
      </c>
      <c r="AK150" s="374">
        <f t="shared" si="115"/>
        <v>5.9410933980030869</v>
      </c>
      <c r="AL150" s="354">
        <f t="shared" si="97"/>
        <v>1.7021626955278861</v>
      </c>
      <c r="AM150" s="354">
        <f t="shared" si="116"/>
        <v>4.0146568501026723</v>
      </c>
      <c r="AN150" s="354">
        <f t="shared" si="117"/>
        <v>0.2242738523725287</v>
      </c>
      <c r="AO150" s="374">
        <f t="shared" si="118"/>
        <v>3.444914376661667</v>
      </c>
      <c r="AP150" s="354">
        <f t="shared" si="98"/>
        <v>0.78995510145048919</v>
      </c>
      <c r="AQ150" s="354">
        <f t="shared" si="119"/>
        <v>2.6549592752111781</v>
      </c>
      <c r="AR150" s="374">
        <f t="shared" si="120"/>
        <v>6.2845268461331294</v>
      </c>
      <c r="AS150" s="354">
        <f t="shared" si="99"/>
        <v>2.7232988303664643</v>
      </c>
      <c r="AT150" s="354">
        <f t="shared" si="121"/>
        <v>3.5612280157666651</v>
      </c>
      <c r="AU150" s="355" t="s">
        <v>396</v>
      </c>
      <c r="AV150" s="354" t="s">
        <v>397</v>
      </c>
      <c r="AW150" s="378">
        <v>0</v>
      </c>
      <c r="AX150" s="378">
        <v>0</v>
      </c>
      <c r="AY150" s="373">
        <v>0</v>
      </c>
      <c r="AZ150" s="373">
        <v>0</v>
      </c>
      <c r="BA150" s="373">
        <v>0</v>
      </c>
      <c r="BB150" s="373">
        <v>0</v>
      </c>
    </row>
    <row r="151" spans="1:54" ht="25.5" customHeight="1" x14ac:dyDescent="0.25">
      <c r="A151" s="422" t="s">
        <v>559</v>
      </c>
      <c r="B151" s="349">
        <v>5</v>
      </c>
      <c r="C151" s="423">
        <v>45047</v>
      </c>
      <c r="D151" s="351">
        <v>45077</v>
      </c>
      <c r="E151" s="352"/>
      <c r="F151" s="352">
        <v>6</v>
      </c>
      <c r="G151" s="352" t="s">
        <v>314</v>
      </c>
      <c r="H151" s="424" t="s">
        <v>563</v>
      </c>
      <c r="I151" s="350" t="s">
        <v>393</v>
      </c>
      <c r="J151" s="375">
        <f>1831466*10%</f>
        <v>183146.6</v>
      </c>
      <c r="K151" s="350" t="s">
        <v>394</v>
      </c>
      <c r="L151" s="354">
        <v>2054.29</v>
      </c>
      <c r="M151" s="375">
        <f t="shared" si="90"/>
        <v>89.153235424404542</v>
      </c>
      <c r="N151" s="354" t="s">
        <v>395</v>
      </c>
      <c r="O151" s="354">
        <v>0</v>
      </c>
      <c r="P151" s="374">
        <f t="shared" si="91"/>
        <v>5.6173790796638388</v>
      </c>
      <c r="Q151" s="354">
        <f t="shared" si="92"/>
        <v>0.52980454155752277</v>
      </c>
      <c r="R151" s="354">
        <f t="shared" si="100"/>
        <v>0.89309636462577247</v>
      </c>
      <c r="S151" s="354">
        <f t="shared" si="101"/>
        <v>0.79555828293378106</v>
      </c>
      <c r="T151" s="354">
        <f t="shared" si="102"/>
        <v>3.3949511442282314</v>
      </c>
      <c r="U151" s="374">
        <f t="shared" si="103"/>
        <v>22.54497961291953</v>
      </c>
      <c r="V151" s="354">
        <f t="shared" si="93"/>
        <v>0.59678175592719218</v>
      </c>
      <c r="W151" s="354">
        <f t="shared" si="104"/>
        <v>20.357461722963897</v>
      </c>
      <c r="X151" s="354">
        <f t="shared" si="105"/>
        <v>1.5907361340284401</v>
      </c>
      <c r="Y151" s="374">
        <f t="shared" si="106"/>
        <v>3.3050595339821189</v>
      </c>
      <c r="Z151" s="354">
        <f t="shared" si="94"/>
        <v>1.7049480987785557</v>
      </c>
      <c r="AA151" s="354">
        <f t="shared" si="107"/>
        <v>1.6001114352035632</v>
      </c>
      <c r="AB151" s="374">
        <f t="shared" si="108"/>
        <v>18.056848447325667</v>
      </c>
      <c r="AC151" s="354">
        <f t="shared" si="95"/>
        <v>5.1243995847335819</v>
      </c>
      <c r="AD151" s="354">
        <f t="shared" si="109"/>
        <v>11.154679599966958</v>
      </c>
      <c r="AE151" s="354">
        <f t="shared" si="110"/>
        <v>1.7777692626251267</v>
      </c>
      <c r="AF151" s="374">
        <f t="shared" si="111"/>
        <v>14.451784537356692</v>
      </c>
      <c r="AG151" s="354">
        <f t="shared" si="96"/>
        <v>0.9287685333687915</v>
      </c>
      <c r="AH151" s="354">
        <f t="shared" si="112"/>
        <v>4.6730078589862254</v>
      </c>
      <c r="AI151" s="354">
        <f t="shared" si="113"/>
        <v>0</v>
      </c>
      <c r="AJ151" s="354">
        <f t="shared" si="114"/>
        <v>8.8500081450016772</v>
      </c>
      <c r="AK151" s="374">
        <f t="shared" si="115"/>
        <v>9.5453031136902418</v>
      </c>
      <c r="AL151" s="354">
        <f t="shared" si="97"/>
        <v>2.7347927038297106</v>
      </c>
      <c r="AM151" s="354">
        <f t="shared" si="116"/>
        <v>6.4501791108962108</v>
      </c>
      <c r="AN151" s="354">
        <f t="shared" si="117"/>
        <v>0.36033129896432092</v>
      </c>
      <c r="AO151" s="374">
        <f t="shared" si="118"/>
        <v>5.5347980115911666</v>
      </c>
      <c r="AP151" s="354">
        <f t="shared" si="98"/>
        <v>1.269187401107901</v>
      </c>
      <c r="AQ151" s="354">
        <f t="shared" si="119"/>
        <v>4.2656106104832654</v>
      </c>
      <c r="AR151" s="374">
        <f t="shared" si="120"/>
        <v>10.097083087875284</v>
      </c>
      <c r="AS151" s="354">
        <f t="shared" si="99"/>
        <v>4.3754088790698553</v>
      </c>
      <c r="AT151" s="354">
        <f t="shared" si="121"/>
        <v>5.7216742088054291</v>
      </c>
      <c r="AU151" s="355" t="s">
        <v>396</v>
      </c>
      <c r="AV151" s="354" t="s">
        <v>397</v>
      </c>
      <c r="AW151" s="378">
        <v>0</v>
      </c>
      <c r="AX151" s="378">
        <v>0</v>
      </c>
      <c r="AY151" s="373">
        <v>0</v>
      </c>
      <c r="AZ151" s="373">
        <v>0</v>
      </c>
      <c r="BA151" s="373">
        <v>0</v>
      </c>
      <c r="BB151" s="373">
        <v>0</v>
      </c>
    </row>
    <row r="152" spans="1:54" ht="28.15" customHeight="1" x14ac:dyDescent="0.25">
      <c r="A152" s="422" t="s">
        <v>559</v>
      </c>
      <c r="B152" s="349">
        <v>5</v>
      </c>
      <c r="C152" s="423">
        <v>45047</v>
      </c>
      <c r="D152" s="351">
        <v>45077</v>
      </c>
      <c r="E152" s="352"/>
      <c r="F152" s="352">
        <v>6</v>
      </c>
      <c r="G152" s="352" t="s">
        <v>315</v>
      </c>
      <c r="H152" s="424" t="s">
        <v>564</v>
      </c>
      <c r="I152" s="350" t="s">
        <v>393</v>
      </c>
      <c r="J152" s="375">
        <f>1334036*10%</f>
        <v>133403.6</v>
      </c>
      <c r="K152" s="350" t="s">
        <v>394</v>
      </c>
      <c r="L152" s="354">
        <v>2054.29</v>
      </c>
      <c r="M152" s="375">
        <f t="shared" si="90"/>
        <v>64.939030029839998</v>
      </c>
      <c r="N152" s="354" t="s">
        <v>395</v>
      </c>
      <c r="O152" s="354">
        <v>0</v>
      </c>
      <c r="P152" s="374">
        <f t="shared" si="91"/>
        <v>4.0916871609510794</v>
      </c>
      <c r="Q152" s="354">
        <f t="shared" si="92"/>
        <v>0.38590851885933536</v>
      </c>
      <c r="R152" s="354">
        <f t="shared" si="100"/>
        <v>0.65052952218600135</v>
      </c>
      <c r="S152" s="354">
        <f t="shared" si="101"/>
        <v>0.57948298768956108</v>
      </c>
      <c r="T152" s="354">
        <f t="shared" si="102"/>
        <v>2.4728753057068236</v>
      </c>
      <c r="U152" s="374">
        <f t="shared" si="103"/>
        <v>16.421715949354624</v>
      </c>
      <c r="V152" s="354">
        <f t="shared" si="93"/>
        <v>0.43469458158114194</v>
      </c>
      <c r="W152" s="354">
        <f t="shared" si="104"/>
        <v>14.828332498149496</v>
      </c>
      <c r="X152" s="354">
        <f t="shared" si="105"/>
        <v>1.1586888696239863</v>
      </c>
      <c r="Y152" s="374">
        <f t="shared" si="106"/>
        <v>2.4073984450027304</v>
      </c>
      <c r="Z152" s="354">
        <f t="shared" si="94"/>
        <v>1.2418806256311334</v>
      </c>
      <c r="AA152" s="354">
        <f t="shared" si="107"/>
        <v>1.1655178193715967</v>
      </c>
      <c r="AB152" s="374">
        <f t="shared" si="108"/>
        <v>13.152570604792304</v>
      </c>
      <c r="AC152" s="354">
        <f t="shared" si="95"/>
        <v>3.7326019289572661</v>
      </c>
      <c r="AD152" s="354">
        <f t="shared" si="109"/>
        <v>8.1250452669181517</v>
      </c>
      <c r="AE152" s="354">
        <f t="shared" si="110"/>
        <v>1.294923408916886</v>
      </c>
      <c r="AF152" s="374">
        <f t="shared" si="111"/>
        <v>10.526649600416919</v>
      </c>
      <c r="AG152" s="354">
        <f t="shared" si="96"/>
        <v>0.67651305521433058</v>
      </c>
      <c r="AH152" s="354">
        <f t="shared" si="112"/>
        <v>3.4038091409671529</v>
      </c>
      <c r="AI152" s="354">
        <f t="shared" si="113"/>
        <v>0</v>
      </c>
      <c r="AJ152" s="354">
        <f t="shared" si="114"/>
        <v>6.4463274042354364</v>
      </c>
      <c r="AK152" s="374">
        <f t="shared" si="115"/>
        <v>6.9527788037423992</v>
      </c>
      <c r="AL152" s="354">
        <f t="shared" si="97"/>
        <v>1.992017279843673</v>
      </c>
      <c r="AM152" s="354">
        <f t="shared" si="116"/>
        <v>4.69829696013114</v>
      </c>
      <c r="AN152" s="354">
        <f t="shared" si="117"/>
        <v>0.2624645637675867</v>
      </c>
      <c r="AO152" s="374">
        <f t="shared" si="118"/>
        <v>4.031535283860598</v>
      </c>
      <c r="AP152" s="354">
        <f t="shared" si="98"/>
        <v>0.9244734457666044</v>
      </c>
      <c r="AQ152" s="354">
        <f t="shared" si="119"/>
        <v>3.1070618380939936</v>
      </c>
      <c r="AR152" s="374">
        <f t="shared" si="120"/>
        <v>7.3546941817193403</v>
      </c>
      <c r="AS152" s="354">
        <f t="shared" si="99"/>
        <v>3.1870386670562456</v>
      </c>
      <c r="AT152" s="354">
        <f t="shared" si="121"/>
        <v>4.1676555146630951</v>
      </c>
      <c r="AU152" s="355" t="s">
        <v>396</v>
      </c>
      <c r="AV152" s="354" t="s">
        <v>397</v>
      </c>
      <c r="AW152" s="378">
        <v>0</v>
      </c>
      <c r="AX152" s="378">
        <v>0</v>
      </c>
      <c r="AY152" s="373">
        <v>0</v>
      </c>
      <c r="AZ152" s="373">
        <v>0</v>
      </c>
      <c r="BA152" s="373">
        <v>0</v>
      </c>
      <c r="BB152" s="373">
        <v>0</v>
      </c>
    </row>
    <row r="153" spans="1:54" ht="20.65" customHeight="1" x14ac:dyDescent="0.25">
      <c r="A153" s="422" t="s">
        <v>559</v>
      </c>
      <c r="B153" s="349">
        <v>5</v>
      </c>
      <c r="C153" s="423">
        <v>45047</v>
      </c>
      <c r="D153" s="351">
        <v>45077</v>
      </c>
      <c r="E153" s="352"/>
      <c r="F153" s="352">
        <v>6</v>
      </c>
      <c r="G153" s="352" t="s">
        <v>316</v>
      </c>
      <c r="H153" s="424" t="s">
        <v>565</v>
      </c>
      <c r="I153" s="350" t="s">
        <v>393</v>
      </c>
      <c r="J153" s="375">
        <f>690937*50%</f>
        <v>345468.5</v>
      </c>
      <c r="K153" s="350" t="s">
        <v>394</v>
      </c>
      <c r="L153" s="354">
        <v>2054.29</v>
      </c>
      <c r="M153" s="375">
        <f t="shared" si="90"/>
        <v>168.16929450077643</v>
      </c>
      <c r="N153" s="354" t="s">
        <v>395</v>
      </c>
      <c r="O153" s="354">
        <v>0</v>
      </c>
      <c r="P153" s="374">
        <f t="shared" si="91"/>
        <v>10.596033585023402</v>
      </c>
      <c r="Q153" s="354">
        <f t="shared" si="92"/>
        <v>0.99936761187521395</v>
      </c>
      <c r="R153" s="354">
        <f t="shared" si="100"/>
        <v>1.6846431298354363</v>
      </c>
      <c r="S153" s="354">
        <f t="shared" si="101"/>
        <v>1.5006575424698518</v>
      </c>
      <c r="T153" s="354">
        <f t="shared" si="102"/>
        <v>6.4038790748493879</v>
      </c>
      <c r="U153" s="374">
        <f t="shared" si="103"/>
        <v>42.526480368218088</v>
      </c>
      <c r="V153" s="354">
        <f t="shared" si="93"/>
        <v>1.1257063906593583</v>
      </c>
      <c r="W153" s="354">
        <f t="shared" si="104"/>
        <v>38.400176499262088</v>
      </c>
      <c r="X153" s="354">
        <f t="shared" si="105"/>
        <v>3.000597478296644</v>
      </c>
      <c r="Y153" s="374">
        <f t="shared" si="106"/>
        <v>6.2343169876781861</v>
      </c>
      <c r="Z153" s="354">
        <f t="shared" si="94"/>
        <v>3.2160349264626231</v>
      </c>
      <c r="AA153" s="354">
        <f t="shared" si="107"/>
        <v>3.0182820612155625</v>
      </c>
      <c r="AB153" s="374">
        <f t="shared" si="108"/>
        <v>34.060541379555652</v>
      </c>
      <c r="AC153" s="354">
        <f t="shared" si="95"/>
        <v>9.6661288712896312</v>
      </c>
      <c r="AD153" s="354">
        <f t="shared" si="109"/>
        <v>21.041015390846376</v>
      </c>
      <c r="AE153" s="354">
        <f t="shared" si="110"/>
        <v>3.3533971174196444</v>
      </c>
      <c r="AF153" s="374">
        <f t="shared" si="111"/>
        <v>27.26032766343361</v>
      </c>
      <c r="AG153" s="354">
        <f t="shared" si="96"/>
        <v>1.7519313602879678</v>
      </c>
      <c r="AH153" s="354">
        <f t="shared" si="112"/>
        <v>8.8146709550282818</v>
      </c>
      <c r="AI153" s="354">
        <f t="shared" si="113"/>
        <v>0</v>
      </c>
      <c r="AJ153" s="354">
        <f t="shared" si="114"/>
        <v>16.693725348117365</v>
      </c>
      <c r="AK153" s="374">
        <f t="shared" si="115"/>
        <v>18.005256710918452</v>
      </c>
      <c r="AL153" s="354">
        <f t="shared" si="97"/>
        <v>5.1586255666389356</v>
      </c>
      <c r="AM153" s="354">
        <f t="shared" si="116"/>
        <v>12.166940047877752</v>
      </c>
      <c r="AN153" s="354">
        <f t="shared" si="117"/>
        <v>0.67969109640176506</v>
      </c>
      <c r="AO153" s="374">
        <f t="shared" si="118"/>
        <v>10.440261336368696</v>
      </c>
      <c r="AP153" s="354">
        <f t="shared" si="98"/>
        <v>2.3940617389547221</v>
      </c>
      <c r="AQ153" s="354">
        <f t="shared" si="119"/>
        <v>8.0461995974139739</v>
      </c>
      <c r="AR153" s="374">
        <f t="shared" si="120"/>
        <v>19.046076469580338</v>
      </c>
      <c r="AS153" s="354">
        <f t="shared" si="99"/>
        <v>8.253311512957076</v>
      </c>
      <c r="AT153" s="354">
        <f t="shared" si="121"/>
        <v>10.792764956623264</v>
      </c>
      <c r="AU153" s="355" t="s">
        <v>396</v>
      </c>
      <c r="AV153" s="354" t="s">
        <v>397</v>
      </c>
      <c r="AW153" s="378">
        <v>0</v>
      </c>
      <c r="AX153" s="378">
        <v>0</v>
      </c>
      <c r="AY153" s="373">
        <v>0</v>
      </c>
      <c r="AZ153" s="373">
        <v>0</v>
      </c>
      <c r="BA153" s="373">
        <v>0</v>
      </c>
      <c r="BB153" s="373">
        <v>0</v>
      </c>
    </row>
    <row r="154" spans="1:54" ht="18" customHeight="1" x14ac:dyDescent="0.25">
      <c r="A154" s="422" t="s">
        <v>559</v>
      </c>
      <c r="B154" s="349">
        <v>5</v>
      </c>
      <c r="C154" s="423">
        <v>45047</v>
      </c>
      <c r="D154" s="351">
        <v>45077</v>
      </c>
      <c r="E154" s="352"/>
      <c r="F154" s="352">
        <v>6</v>
      </c>
      <c r="G154" s="352" t="s">
        <v>317</v>
      </c>
      <c r="H154" s="424" t="s">
        <v>566</v>
      </c>
      <c r="I154" s="350" t="s">
        <v>393</v>
      </c>
      <c r="J154" s="375">
        <f>1251995+169809+29400+18000+40000</f>
        <v>1509204</v>
      </c>
      <c r="K154" s="350" t="s">
        <v>394</v>
      </c>
      <c r="L154" s="354">
        <v>2054.29</v>
      </c>
      <c r="M154" s="375">
        <f t="shared" si="90"/>
        <v>734.65966343602895</v>
      </c>
      <c r="N154" s="354" t="s">
        <v>395</v>
      </c>
      <c r="O154" s="354">
        <v>0</v>
      </c>
      <c r="P154" s="374">
        <f t="shared" si="91"/>
        <v>46.2895351404011</v>
      </c>
      <c r="Q154" s="354">
        <f t="shared" si="92"/>
        <v>4.3658093207123665</v>
      </c>
      <c r="R154" s="354">
        <f t="shared" si="100"/>
        <v>7.3594847290568008</v>
      </c>
      <c r="S154" s="354">
        <f t="shared" si="101"/>
        <v>6.5557304521994624</v>
      </c>
      <c r="T154" s="354">
        <f t="shared" si="102"/>
        <v>27.975806521517864</v>
      </c>
      <c r="U154" s="374">
        <f t="shared" si="103"/>
        <v>185.77998942779502</v>
      </c>
      <c r="V154" s="354">
        <f t="shared" si="93"/>
        <v>4.9177293663783122</v>
      </c>
      <c r="W154" s="354">
        <f t="shared" si="104"/>
        <v>167.75393407327249</v>
      </c>
      <c r="X154" s="354">
        <f t="shared" si="105"/>
        <v>13.108325988144239</v>
      </c>
      <c r="Y154" s="374">
        <f t="shared" si="106"/>
        <v>27.235062343084444</v>
      </c>
      <c r="Z154" s="354">
        <f t="shared" si="94"/>
        <v>14.049479981987059</v>
      </c>
      <c r="AA154" s="354">
        <f t="shared" si="107"/>
        <v>13.185582361097383</v>
      </c>
      <c r="AB154" s="374">
        <f t="shared" si="108"/>
        <v>148.7959257998657</v>
      </c>
      <c r="AC154" s="354">
        <f t="shared" si="95"/>
        <v>42.227179488334812</v>
      </c>
      <c r="AD154" s="354">
        <f t="shared" si="109"/>
        <v>91.919189714624949</v>
      </c>
      <c r="AE154" s="354">
        <f t="shared" si="110"/>
        <v>14.64955659690593</v>
      </c>
      <c r="AF154" s="374">
        <f t="shared" si="111"/>
        <v>119.08870288018925</v>
      </c>
      <c r="AG154" s="354">
        <f t="shared" si="96"/>
        <v>7.6534382054284027</v>
      </c>
      <c r="AH154" s="354">
        <f t="shared" si="112"/>
        <v>38.507524315567125</v>
      </c>
      <c r="AI154" s="354">
        <f t="shared" si="113"/>
        <v>0</v>
      </c>
      <c r="AJ154" s="354">
        <f t="shared" si="114"/>
        <v>72.92774035919372</v>
      </c>
      <c r="AK154" s="374">
        <f t="shared" si="115"/>
        <v>78.657259487174571</v>
      </c>
      <c r="AL154" s="354">
        <f t="shared" si="97"/>
        <v>22.535826970255599</v>
      </c>
      <c r="AM154" s="354">
        <f t="shared" si="116"/>
        <v>53.152153055972668</v>
      </c>
      <c r="AN154" s="354">
        <f t="shared" si="117"/>
        <v>2.9692794609463071</v>
      </c>
      <c r="AO154" s="374">
        <f t="shared" si="118"/>
        <v>45.609032863757413</v>
      </c>
      <c r="AP154" s="354">
        <f t="shared" si="98"/>
        <v>10.458630968315264</v>
      </c>
      <c r="AQ154" s="354">
        <f t="shared" si="119"/>
        <v>35.150401895442151</v>
      </c>
      <c r="AR154" s="374">
        <f t="shared" si="120"/>
        <v>83.204155493761434</v>
      </c>
      <c r="AS154" s="354">
        <f t="shared" si="99"/>
        <v>36.055185200968737</v>
      </c>
      <c r="AT154" s="354">
        <f t="shared" si="121"/>
        <v>47.148970292792697</v>
      </c>
      <c r="AU154" s="355" t="s">
        <v>396</v>
      </c>
      <c r="AV154" s="354" t="s">
        <v>397</v>
      </c>
      <c r="AW154" s="378">
        <v>0</v>
      </c>
      <c r="AX154" s="378">
        <v>0</v>
      </c>
      <c r="AY154" s="373">
        <v>0</v>
      </c>
      <c r="AZ154" s="373">
        <v>0</v>
      </c>
      <c r="BA154" s="373">
        <v>0</v>
      </c>
      <c r="BB154" s="373">
        <v>0</v>
      </c>
    </row>
    <row r="155" spans="1:54" x14ac:dyDescent="0.25">
      <c r="A155" s="348" t="s">
        <v>567</v>
      </c>
      <c r="B155" s="349">
        <v>6</v>
      </c>
      <c r="C155" s="423">
        <v>44927</v>
      </c>
      <c r="D155" s="351">
        <v>44936</v>
      </c>
      <c r="E155" s="352"/>
      <c r="F155" s="352">
        <v>6</v>
      </c>
      <c r="G155" s="352" t="s">
        <v>338</v>
      </c>
      <c r="H155" s="424" t="s">
        <v>568</v>
      </c>
      <c r="I155" s="350" t="s">
        <v>393</v>
      </c>
      <c r="J155" s="375">
        <f>350000*20%</f>
        <v>70000</v>
      </c>
      <c r="K155" s="350" t="s">
        <v>394</v>
      </c>
      <c r="L155" s="354">
        <v>2043.09</v>
      </c>
      <c r="M155" s="375">
        <f t="shared" ref="M155:M175" si="122">J155/L155</f>
        <v>34.261828896426493</v>
      </c>
      <c r="N155" s="354" t="s">
        <v>395</v>
      </c>
      <c r="O155" s="354">
        <v>0</v>
      </c>
      <c r="P155" s="374">
        <f t="shared" si="91"/>
        <v>2.1587739352095827</v>
      </c>
      <c r="Q155" s="354">
        <f t="shared" si="92"/>
        <v>0.20360531465832399</v>
      </c>
      <c r="R155" s="354">
        <f t="shared" si="100"/>
        <v>0.34321934237344159</v>
      </c>
      <c r="S155" s="354">
        <f t="shared" si="101"/>
        <v>0.30573519443525138</v>
      </c>
      <c r="T155" s="354">
        <f t="shared" si="102"/>
        <v>1.3046888838252377</v>
      </c>
      <c r="U155" s="374">
        <f t="shared" si="103"/>
        <v>8.6640964884133549</v>
      </c>
      <c r="V155" s="354">
        <f t="shared" si="93"/>
        <v>0.22934483883564544</v>
      </c>
      <c r="W155" s="354">
        <f t="shared" si="104"/>
        <v>7.8234274616893327</v>
      </c>
      <c r="X155" s="354">
        <f t="shared" si="105"/>
        <v>0.61132418788837684</v>
      </c>
      <c r="Y155" s="374">
        <f t="shared" si="106"/>
        <v>1.270143295492798</v>
      </c>
      <c r="Z155" s="354">
        <f t="shared" si="94"/>
        <v>0.65521615406958389</v>
      </c>
      <c r="AA155" s="354">
        <f t="shared" si="107"/>
        <v>0.61492714142321403</v>
      </c>
      <c r="AB155" s="374">
        <f t="shared" si="108"/>
        <v>6.9392955731321226</v>
      </c>
      <c r="AC155" s="354">
        <f t="shared" si="95"/>
        <v>1.969320585318888</v>
      </c>
      <c r="AD155" s="354">
        <f t="shared" si="109"/>
        <v>4.2867734640162061</v>
      </c>
      <c r="AE155" s="354">
        <f t="shared" si="110"/>
        <v>0.68320152379702836</v>
      </c>
      <c r="AF155" s="374">
        <f t="shared" si="111"/>
        <v>5.5538597865781734</v>
      </c>
      <c r="AG155" s="354">
        <f t="shared" si="96"/>
        <v>0.35692825305985293</v>
      </c>
      <c r="AH155" s="354">
        <f t="shared" si="112"/>
        <v>1.7958495273231043</v>
      </c>
      <c r="AI155" s="354">
        <f t="shared" si="113"/>
        <v>0</v>
      </c>
      <c r="AJ155" s="354">
        <f t="shared" si="114"/>
        <v>3.4010820061952165</v>
      </c>
      <c r="AK155" s="374">
        <f t="shared" si="115"/>
        <v>3.6682857384697818</v>
      </c>
      <c r="AL155" s="354">
        <f t="shared" si="97"/>
        <v>1.0509882141659241</v>
      </c>
      <c r="AM155" s="354">
        <f t="shared" si="116"/>
        <v>2.4788212339889557</v>
      </c>
      <c r="AN155" s="354">
        <f t="shared" si="117"/>
        <v>0.13847629031490219</v>
      </c>
      <c r="AO155" s="374">
        <f t="shared" si="118"/>
        <v>2.1270378079572057</v>
      </c>
      <c r="AP155" s="354">
        <f t="shared" si="98"/>
        <v>0.48775214233398145</v>
      </c>
      <c r="AQ155" s="354">
        <f t="shared" si="119"/>
        <v>1.6392856656232242</v>
      </c>
      <c r="AR155" s="374">
        <f t="shared" si="120"/>
        <v>3.8803362711734724</v>
      </c>
      <c r="AS155" s="354">
        <f t="shared" si="99"/>
        <v>1.6814814364612598</v>
      </c>
      <c r="AT155" s="354">
        <f t="shared" si="121"/>
        <v>2.1988548347122125</v>
      </c>
      <c r="AU155" s="355" t="s">
        <v>396</v>
      </c>
      <c r="AV155" s="354" t="s">
        <v>397</v>
      </c>
      <c r="AW155" s="378">
        <v>0</v>
      </c>
      <c r="AX155" s="378">
        <v>0</v>
      </c>
      <c r="AY155" s="373">
        <v>0</v>
      </c>
      <c r="AZ155" s="373">
        <v>0</v>
      </c>
      <c r="BA155" s="373">
        <v>0</v>
      </c>
      <c r="BB155" s="373">
        <v>0</v>
      </c>
    </row>
    <row r="156" spans="1:54" x14ac:dyDescent="0.25">
      <c r="A156" s="348" t="s">
        <v>569</v>
      </c>
      <c r="B156" s="349">
        <v>7</v>
      </c>
      <c r="C156" s="423">
        <v>44927</v>
      </c>
      <c r="D156" s="351">
        <v>44958</v>
      </c>
      <c r="E156" s="352"/>
      <c r="F156" s="352">
        <v>6</v>
      </c>
      <c r="G156" s="352" t="s">
        <v>335</v>
      </c>
      <c r="H156" s="424" t="s">
        <v>570</v>
      </c>
      <c r="I156" s="350" t="s">
        <v>393</v>
      </c>
      <c r="J156" s="375">
        <f>1000000*20%</f>
        <v>200000</v>
      </c>
      <c r="K156" s="350" t="s">
        <v>394</v>
      </c>
      <c r="L156" s="354">
        <v>2043.09</v>
      </c>
      <c r="M156" s="375">
        <f t="shared" si="122"/>
        <v>97.890939704075691</v>
      </c>
      <c r="N156" s="354" t="s">
        <v>395</v>
      </c>
      <c r="O156" s="354">
        <v>0</v>
      </c>
      <c r="P156" s="374">
        <f t="shared" si="91"/>
        <v>6.1679255291702368</v>
      </c>
      <c r="Q156" s="354">
        <f t="shared" si="92"/>
        <v>0.58172947045235424</v>
      </c>
      <c r="R156" s="354">
        <f t="shared" si="100"/>
        <v>0.98062669249554746</v>
      </c>
      <c r="S156" s="354">
        <f t="shared" si="101"/>
        <v>0.87352912695786111</v>
      </c>
      <c r="T156" s="354">
        <f t="shared" si="102"/>
        <v>3.727682525214965</v>
      </c>
      <c r="U156" s="374">
        <f t="shared" si="103"/>
        <v>24.754561395466727</v>
      </c>
      <c r="V156" s="354">
        <f t="shared" si="93"/>
        <v>0.65527096810184415</v>
      </c>
      <c r="W156" s="354">
        <f t="shared" si="104"/>
        <v>22.352649890540949</v>
      </c>
      <c r="X156" s="354">
        <f t="shared" si="105"/>
        <v>1.7466405368239337</v>
      </c>
      <c r="Y156" s="374">
        <f t="shared" si="106"/>
        <v>3.6289808442651368</v>
      </c>
      <c r="Z156" s="354">
        <f t="shared" si="94"/>
        <v>1.872046154484525</v>
      </c>
      <c r="AA156" s="354">
        <f t="shared" si="107"/>
        <v>1.7569346897806115</v>
      </c>
      <c r="AB156" s="374">
        <f t="shared" si="108"/>
        <v>19.826558780377493</v>
      </c>
      <c r="AC156" s="354">
        <f t="shared" si="95"/>
        <v>5.6266302437682514</v>
      </c>
      <c r="AD156" s="354">
        <f t="shared" si="109"/>
        <v>12.247924182903446</v>
      </c>
      <c r="AE156" s="354">
        <f t="shared" si="110"/>
        <v>1.9520043537057952</v>
      </c>
      <c r="AF156" s="374">
        <f t="shared" si="111"/>
        <v>15.868170818794782</v>
      </c>
      <c r="AG156" s="354">
        <f t="shared" si="96"/>
        <v>1.019795008742437</v>
      </c>
      <c r="AH156" s="354">
        <f t="shared" si="112"/>
        <v>5.1309986494945843</v>
      </c>
      <c r="AI156" s="354">
        <f t="shared" si="113"/>
        <v>0</v>
      </c>
      <c r="AJ156" s="354">
        <f t="shared" si="114"/>
        <v>9.7173771605577617</v>
      </c>
      <c r="AK156" s="374">
        <f t="shared" si="115"/>
        <v>10.480816395627947</v>
      </c>
      <c r="AL156" s="354">
        <f t="shared" si="97"/>
        <v>3.0028234690454969</v>
      </c>
      <c r="AM156" s="354">
        <f t="shared" si="116"/>
        <v>7.0823463828255866</v>
      </c>
      <c r="AN156" s="354">
        <f t="shared" si="117"/>
        <v>0.39564654375686337</v>
      </c>
      <c r="AO156" s="374">
        <f t="shared" si="118"/>
        <v>6.07725087987773</v>
      </c>
      <c r="AP156" s="354">
        <f t="shared" si="98"/>
        <v>1.3935775495256613</v>
      </c>
      <c r="AQ156" s="354">
        <f t="shared" si="119"/>
        <v>4.683673330352069</v>
      </c>
      <c r="AR156" s="374">
        <f t="shared" si="120"/>
        <v>11.086675060495635</v>
      </c>
      <c r="AS156" s="354">
        <f t="shared" si="99"/>
        <v>4.8042326756035996</v>
      </c>
      <c r="AT156" s="354">
        <f t="shared" si="121"/>
        <v>6.2824423848920361</v>
      </c>
      <c r="AU156" s="355" t="s">
        <v>396</v>
      </c>
      <c r="AV156" s="354" t="s">
        <v>397</v>
      </c>
      <c r="AW156" s="378">
        <v>0</v>
      </c>
      <c r="AX156" s="378">
        <v>0</v>
      </c>
      <c r="AY156" s="373">
        <v>0</v>
      </c>
      <c r="AZ156" s="373">
        <v>0</v>
      </c>
      <c r="BA156" s="373">
        <v>0</v>
      </c>
      <c r="BB156" s="373">
        <v>0</v>
      </c>
    </row>
    <row r="157" spans="1:54" x14ac:dyDescent="0.25">
      <c r="A157" s="348" t="s">
        <v>569</v>
      </c>
      <c r="B157" s="349">
        <v>8</v>
      </c>
      <c r="C157" s="423">
        <v>44927</v>
      </c>
      <c r="D157" s="351">
        <v>44958</v>
      </c>
      <c r="E157" s="352"/>
      <c r="F157" s="352">
        <v>6</v>
      </c>
      <c r="G157" s="352" t="s">
        <v>339</v>
      </c>
      <c r="H157" s="424" t="s">
        <v>571</v>
      </c>
      <c r="I157" s="350" t="s">
        <v>393</v>
      </c>
      <c r="J157" s="375">
        <f>300000*20%</f>
        <v>60000</v>
      </c>
      <c r="K157" s="350" t="s">
        <v>394</v>
      </c>
      <c r="L157" s="354">
        <v>2043.09</v>
      </c>
      <c r="M157" s="375">
        <f t="shared" si="122"/>
        <v>29.367281911222708</v>
      </c>
      <c r="N157" s="354" t="s">
        <v>395</v>
      </c>
      <c r="O157" s="354">
        <v>0</v>
      </c>
      <c r="P157" s="374">
        <f t="shared" si="91"/>
        <v>1.850377658751071</v>
      </c>
      <c r="Q157" s="354">
        <f t="shared" si="92"/>
        <v>0.17451884113570626</v>
      </c>
      <c r="R157" s="354">
        <f t="shared" si="100"/>
        <v>0.29418800774866422</v>
      </c>
      <c r="S157" s="354">
        <f t="shared" si="101"/>
        <v>0.2620587380873583</v>
      </c>
      <c r="T157" s="354">
        <f t="shared" si="102"/>
        <v>1.1183047575644895</v>
      </c>
      <c r="U157" s="374">
        <f t="shared" si="103"/>
        <v>7.4263684186400187</v>
      </c>
      <c r="V157" s="354">
        <f t="shared" si="93"/>
        <v>0.19658129043055325</v>
      </c>
      <c r="W157" s="354">
        <f t="shared" si="104"/>
        <v>6.7057949671622854</v>
      </c>
      <c r="X157" s="354">
        <f t="shared" si="105"/>
        <v>0.52399216104718016</v>
      </c>
      <c r="Y157" s="374">
        <f t="shared" si="106"/>
        <v>1.0886942532795412</v>
      </c>
      <c r="Z157" s="354">
        <f t="shared" si="94"/>
        <v>0.5616138463453576</v>
      </c>
      <c r="AA157" s="354">
        <f t="shared" si="107"/>
        <v>0.52708040693418345</v>
      </c>
      <c r="AB157" s="374">
        <f t="shared" si="108"/>
        <v>5.9479676341132475</v>
      </c>
      <c r="AC157" s="354">
        <f t="shared" si="95"/>
        <v>1.6879890731304752</v>
      </c>
      <c r="AD157" s="354">
        <f t="shared" si="109"/>
        <v>3.6743772548710338</v>
      </c>
      <c r="AE157" s="354">
        <f t="shared" si="110"/>
        <v>0.58560130611173855</v>
      </c>
      <c r="AF157" s="374">
        <f t="shared" si="111"/>
        <v>4.7604512456384347</v>
      </c>
      <c r="AG157" s="354">
        <f t="shared" si="96"/>
        <v>0.30593850262273109</v>
      </c>
      <c r="AH157" s="354">
        <f t="shared" si="112"/>
        <v>1.5392995948483752</v>
      </c>
      <c r="AI157" s="354">
        <f t="shared" si="113"/>
        <v>0</v>
      </c>
      <c r="AJ157" s="354">
        <f t="shared" si="114"/>
        <v>2.9152131481673287</v>
      </c>
      <c r="AK157" s="374">
        <f t="shared" si="115"/>
        <v>3.1442449186883841</v>
      </c>
      <c r="AL157" s="354">
        <f t="shared" si="97"/>
        <v>0.90084704071364907</v>
      </c>
      <c r="AM157" s="354">
        <f t="shared" si="116"/>
        <v>2.1247039148476761</v>
      </c>
      <c r="AN157" s="354">
        <f t="shared" si="117"/>
        <v>0.11869396312705902</v>
      </c>
      <c r="AO157" s="374">
        <f t="shared" si="118"/>
        <v>1.823175263963319</v>
      </c>
      <c r="AP157" s="354">
        <f t="shared" si="98"/>
        <v>0.41807326485769836</v>
      </c>
      <c r="AQ157" s="354">
        <f t="shared" si="119"/>
        <v>1.4051019991056206</v>
      </c>
      <c r="AR157" s="374">
        <f t="shared" si="120"/>
        <v>3.3260025181486905</v>
      </c>
      <c r="AS157" s="354">
        <f t="shared" si="99"/>
        <v>1.4412698026810797</v>
      </c>
      <c r="AT157" s="354">
        <f t="shared" si="121"/>
        <v>1.884732715467611</v>
      </c>
      <c r="AU157" s="355" t="s">
        <v>396</v>
      </c>
      <c r="AV157" s="354" t="s">
        <v>397</v>
      </c>
      <c r="AW157" s="378">
        <v>0</v>
      </c>
      <c r="AX157" s="378">
        <v>0</v>
      </c>
      <c r="AY157" s="373">
        <v>0</v>
      </c>
      <c r="AZ157" s="373">
        <v>0</v>
      </c>
      <c r="BA157" s="373">
        <v>0</v>
      </c>
      <c r="BB157" s="373">
        <v>0</v>
      </c>
    </row>
    <row r="158" spans="1:54" x14ac:dyDescent="0.25">
      <c r="A158" s="348" t="s">
        <v>572</v>
      </c>
      <c r="B158" s="349">
        <v>9</v>
      </c>
      <c r="C158" s="423">
        <v>44958</v>
      </c>
      <c r="D158" s="351">
        <v>44973</v>
      </c>
      <c r="E158" s="352"/>
      <c r="F158" s="352">
        <v>6</v>
      </c>
      <c r="G158" s="352" t="s">
        <v>340</v>
      </c>
      <c r="H158" s="424" t="s">
        <v>573</v>
      </c>
      <c r="I158" s="350" t="s">
        <v>393</v>
      </c>
      <c r="J158" s="375">
        <v>36385</v>
      </c>
      <c r="K158" s="350" t="s">
        <v>394</v>
      </c>
      <c r="L158" s="354">
        <v>2043.09</v>
      </c>
      <c r="M158" s="375">
        <f t="shared" si="122"/>
        <v>17.80880920566397</v>
      </c>
      <c r="N158" s="354" t="s">
        <v>395</v>
      </c>
      <c r="O158" s="354">
        <v>0</v>
      </c>
      <c r="P158" s="374">
        <f t="shared" si="91"/>
        <v>1.1220998518942953</v>
      </c>
      <c r="Q158" s="354">
        <f t="shared" si="92"/>
        <v>0.10583113391204454</v>
      </c>
      <c r="R158" s="354">
        <f t="shared" si="100"/>
        <v>0.17840051103225246</v>
      </c>
      <c r="S158" s="354">
        <f t="shared" si="101"/>
        <v>0.15891678642180887</v>
      </c>
      <c r="T158" s="354">
        <f t="shared" si="102"/>
        <v>0.67815864339973253</v>
      </c>
      <c r="U158" s="374">
        <f t="shared" si="103"/>
        <v>4.503473581870284</v>
      </c>
      <c r="V158" s="354">
        <f t="shared" si="93"/>
        <v>0.11921017087192798</v>
      </c>
      <c r="W158" s="354">
        <f t="shared" si="104"/>
        <v>4.066505831336662</v>
      </c>
      <c r="X158" s="354">
        <f t="shared" si="105"/>
        <v>0.3177575796616941</v>
      </c>
      <c r="Y158" s="374">
        <f t="shared" si="106"/>
        <v>0.66020234009293499</v>
      </c>
      <c r="Z158" s="354">
        <f t="shared" si="94"/>
        <v>0.34057199665459725</v>
      </c>
      <c r="AA158" s="354">
        <f t="shared" si="107"/>
        <v>0.31963034343833774</v>
      </c>
      <c r="AB158" s="374">
        <f t="shared" si="108"/>
        <v>3.606946706120175</v>
      </c>
      <c r="AC158" s="354">
        <f t="shared" si="95"/>
        <v>1.0236247070975391</v>
      </c>
      <c r="AD158" s="354">
        <f t="shared" si="109"/>
        <v>2.2282036069747093</v>
      </c>
      <c r="AE158" s="354">
        <f t="shared" si="110"/>
        <v>0.35511839204792672</v>
      </c>
      <c r="AF158" s="374">
        <f t="shared" si="111"/>
        <v>2.8868169762092406</v>
      </c>
      <c r="AG158" s="354">
        <f t="shared" si="96"/>
        <v>0.18552620696546784</v>
      </c>
      <c r="AH158" s="354">
        <f t="shared" si="112"/>
        <v>0.93345692930930213</v>
      </c>
      <c r="AI158" s="354">
        <f t="shared" si="113"/>
        <v>0</v>
      </c>
      <c r="AJ158" s="354">
        <f t="shared" si="114"/>
        <v>1.7678338399344709</v>
      </c>
      <c r="AK158" s="374">
        <f t="shared" si="115"/>
        <v>1.9067225227746143</v>
      </c>
      <c r="AL158" s="354">
        <f t="shared" si="97"/>
        <v>0.54628865960610207</v>
      </c>
      <c r="AM158" s="354">
        <f t="shared" si="116"/>
        <v>1.2884558656955449</v>
      </c>
      <c r="AN158" s="354">
        <f t="shared" si="117"/>
        <v>7.1977997472967375E-2</v>
      </c>
      <c r="AO158" s="374">
        <f t="shared" si="118"/>
        <v>1.105603866321756</v>
      </c>
      <c r="AP158" s="354">
        <f t="shared" si="98"/>
        <v>0.25352659569745595</v>
      </c>
      <c r="AQ158" s="354">
        <f t="shared" si="119"/>
        <v>0.85207727062430016</v>
      </c>
      <c r="AR158" s="374">
        <f t="shared" si="120"/>
        <v>2.0169433603806683</v>
      </c>
      <c r="AS158" s="354">
        <f t="shared" si="99"/>
        <v>0.87401002950918483</v>
      </c>
      <c r="AT158" s="354">
        <f t="shared" si="121"/>
        <v>1.1429333308714837</v>
      </c>
      <c r="AU158" s="355" t="s">
        <v>396</v>
      </c>
      <c r="AV158" s="354" t="s">
        <v>397</v>
      </c>
      <c r="AW158" s="378">
        <v>0</v>
      </c>
      <c r="AX158" s="378">
        <v>0</v>
      </c>
      <c r="AY158" s="373">
        <v>0</v>
      </c>
      <c r="AZ158" s="373">
        <v>0</v>
      </c>
      <c r="BA158" s="373">
        <v>0</v>
      </c>
      <c r="BB158" s="373">
        <v>0</v>
      </c>
    </row>
    <row r="159" spans="1:54" x14ac:dyDescent="0.25">
      <c r="A159" s="348" t="s">
        <v>574</v>
      </c>
      <c r="B159" s="349">
        <v>10</v>
      </c>
      <c r="C159" s="423">
        <v>44927</v>
      </c>
      <c r="D159" s="351">
        <v>44963</v>
      </c>
      <c r="E159" s="352"/>
      <c r="F159" s="352">
        <v>6</v>
      </c>
      <c r="G159" s="352" t="s">
        <v>337</v>
      </c>
      <c r="H159" s="424" t="s">
        <v>575</v>
      </c>
      <c r="I159" s="350" t="s">
        <v>393</v>
      </c>
      <c r="J159" s="375">
        <f>100000*30%</f>
        <v>30000</v>
      </c>
      <c r="K159" s="350" t="s">
        <v>394</v>
      </c>
      <c r="L159" s="354">
        <v>2043.09</v>
      </c>
      <c r="M159" s="375">
        <f t="shared" si="122"/>
        <v>14.683640955611354</v>
      </c>
      <c r="N159" s="354" t="s">
        <v>395</v>
      </c>
      <c r="O159" s="354">
        <v>0</v>
      </c>
      <c r="P159" s="374">
        <f t="shared" si="91"/>
        <v>0.92518882937553548</v>
      </c>
      <c r="Q159" s="354">
        <f t="shared" si="92"/>
        <v>8.725942056785313E-2</v>
      </c>
      <c r="R159" s="354">
        <f t="shared" si="100"/>
        <v>0.14709400387433211</v>
      </c>
      <c r="S159" s="354">
        <f t="shared" si="101"/>
        <v>0.13102936904367915</v>
      </c>
      <c r="T159" s="354">
        <f t="shared" si="102"/>
        <v>0.55915237878224477</v>
      </c>
      <c r="U159" s="374">
        <f t="shared" si="103"/>
        <v>3.7131842093200094</v>
      </c>
      <c r="V159" s="354">
        <f t="shared" si="93"/>
        <v>9.8290645215276626E-2</v>
      </c>
      <c r="W159" s="354">
        <f t="shared" si="104"/>
        <v>3.3528974835811427</v>
      </c>
      <c r="X159" s="354">
        <f t="shared" si="105"/>
        <v>0.26199608052359008</v>
      </c>
      <c r="Y159" s="374">
        <f t="shared" si="106"/>
        <v>0.54434712663977058</v>
      </c>
      <c r="Z159" s="354">
        <f t="shared" si="94"/>
        <v>0.2808069231726788</v>
      </c>
      <c r="AA159" s="354">
        <f t="shared" si="107"/>
        <v>0.26354020346709173</v>
      </c>
      <c r="AB159" s="374">
        <f t="shared" si="108"/>
        <v>2.9739838170566237</v>
      </c>
      <c r="AC159" s="354">
        <f t="shared" si="95"/>
        <v>0.8439945365652376</v>
      </c>
      <c r="AD159" s="354">
        <f t="shared" si="109"/>
        <v>1.8371886274355169</v>
      </c>
      <c r="AE159" s="354">
        <f t="shared" si="110"/>
        <v>0.29280065305586928</v>
      </c>
      <c r="AF159" s="374">
        <f t="shared" si="111"/>
        <v>2.3802256228192173</v>
      </c>
      <c r="AG159" s="354">
        <f t="shared" si="96"/>
        <v>0.15296925131136554</v>
      </c>
      <c r="AH159" s="354">
        <f t="shared" si="112"/>
        <v>0.7696497974241876</v>
      </c>
      <c r="AI159" s="354">
        <f t="shared" si="113"/>
        <v>0</v>
      </c>
      <c r="AJ159" s="354">
        <f t="shared" si="114"/>
        <v>1.4576065740836643</v>
      </c>
      <c r="AK159" s="374">
        <f t="shared" si="115"/>
        <v>1.572122459344192</v>
      </c>
      <c r="AL159" s="354">
        <f t="shared" si="97"/>
        <v>0.45042352035682454</v>
      </c>
      <c r="AM159" s="354">
        <f t="shared" si="116"/>
        <v>1.062351957423838</v>
      </c>
      <c r="AN159" s="354">
        <f t="shared" si="117"/>
        <v>5.9346981563529508E-2</v>
      </c>
      <c r="AO159" s="374">
        <f t="shared" si="118"/>
        <v>0.91158763198165949</v>
      </c>
      <c r="AP159" s="354">
        <f t="shared" si="98"/>
        <v>0.20903663242884918</v>
      </c>
      <c r="AQ159" s="354">
        <f t="shared" si="119"/>
        <v>0.70255099955281031</v>
      </c>
      <c r="AR159" s="374">
        <f t="shared" si="120"/>
        <v>1.6630012590743453</v>
      </c>
      <c r="AS159" s="354">
        <f t="shared" si="99"/>
        <v>0.72063490134053987</v>
      </c>
      <c r="AT159" s="354">
        <f t="shared" si="121"/>
        <v>0.9423663577338055</v>
      </c>
      <c r="AU159" s="355" t="s">
        <v>396</v>
      </c>
      <c r="AV159" s="354" t="s">
        <v>397</v>
      </c>
      <c r="AW159" s="378">
        <v>0</v>
      </c>
      <c r="AX159" s="378">
        <v>0</v>
      </c>
      <c r="AY159" s="373">
        <v>0</v>
      </c>
      <c r="AZ159" s="373">
        <v>0</v>
      </c>
      <c r="BA159" s="373">
        <v>0</v>
      </c>
      <c r="BB159" s="373">
        <v>0</v>
      </c>
    </row>
    <row r="160" spans="1:54" x14ac:dyDescent="0.25">
      <c r="A160" s="348" t="s">
        <v>576</v>
      </c>
      <c r="B160" s="349">
        <v>11</v>
      </c>
      <c r="C160" s="423">
        <v>44958</v>
      </c>
      <c r="D160" s="351">
        <v>44963</v>
      </c>
      <c r="E160" s="352"/>
      <c r="F160" s="352">
        <v>6</v>
      </c>
      <c r="G160" s="352" t="s">
        <v>335</v>
      </c>
      <c r="H160" s="424" t="s">
        <v>577</v>
      </c>
      <c r="I160" s="350" t="s">
        <v>393</v>
      </c>
      <c r="J160" s="375">
        <f>1000000*20%</f>
        <v>200000</v>
      </c>
      <c r="K160" s="350" t="s">
        <v>394</v>
      </c>
      <c r="L160" s="354">
        <v>2047.28</v>
      </c>
      <c r="M160" s="375">
        <f t="shared" si="122"/>
        <v>97.690594349576031</v>
      </c>
      <c r="N160" s="354" t="s">
        <v>395</v>
      </c>
      <c r="O160" s="354">
        <v>0</v>
      </c>
      <c r="P160" s="374">
        <f t="shared" si="91"/>
        <v>6.1553021420579599</v>
      </c>
      <c r="Q160" s="354">
        <f t="shared" si="92"/>
        <v>0.58053889247513801</v>
      </c>
      <c r="R160" s="354">
        <f t="shared" si="100"/>
        <v>0.97861972430284483</v>
      </c>
      <c r="S160" s="354">
        <f t="shared" si="101"/>
        <v>0.87174134656536306</v>
      </c>
      <c r="T160" s="354">
        <f t="shared" si="102"/>
        <v>3.7200533832409066</v>
      </c>
      <c r="U160" s="374">
        <f t="shared" si="103"/>
        <v>24.703898265730199</v>
      </c>
      <c r="V160" s="354">
        <f t="shared" si="93"/>
        <v>0.65392987877534914</v>
      </c>
      <c r="W160" s="354">
        <f t="shared" si="104"/>
        <v>22.306902556008616</v>
      </c>
      <c r="X160" s="354">
        <f t="shared" si="105"/>
        <v>1.7430658309462366</v>
      </c>
      <c r="Y160" s="374">
        <f t="shared" si="106"/>
        <v>3.6215537069231658</v>
      </c>
      <c r="Z160" s="354">
        <f t="shared" si="94"/>
        <v>1.8682147912184892</v>
      </c>
      <c r="AA160" s="354">
        <f t="shared" si="107"/>
        <v>1.7533389157046764</v>
      </c>
      <c r="AB160" s="374">
        <f t="shared" si="108"/>
        <v>19.785981389258652</v>
      </c>
      <c r="AC160" s="354">
        <f t="shared" si="95"/>
        <v>5.615114681304207</v>
      </c>
      <c r="AD160" s="354">
        <f t="shared" si="109"/>
        <v>12.222857361400591</v>
      </c>
      <c r="AE160" s="354">
        <f t="shared" si="110"/>
        <v>1.9480093465538535</v>
      </c>
      <c r="AF160" s="374">
        <f t="shared" si="111"/>
        <v>15.835694735537608</v>
      </c>
      <c r="AG160" s="354">
        <f t="shared" si="96"/>
        <v>1.0177078779705686</v>
      </c>
      <c r="AH160" s="354">
        <f t="shared" si="112"/>
        <v>5.1204974555487723</v>
      </c>
      <c r="AI160" s="354">
        <f t="shared" si="113"/>
        <v>0</v>
      </c>
      <c r="AJ160" s="354">
        <f t="shared" si="114"/>
        <v>9.6974894020182685</v>
      </c>
      <c r="AK160" s="374">
        <f t="shared" si="115"/>
        <v>10.459366168644985</v>
      </c>
      <c r="AL160" s="354">
        <f t="shared" si="97"/>
        <v>2.9966778366281921</v>
      </c>
      <c r="AM160" s="354">
        <f t="shared" si="116"/>
        <v>7.0678515255788801</v>
      </c>
      <c r="AN160" s="354">
        <f t="shared" si="117"/>
        <v>0.3948368064379128</v>
      </c>
      <c r="AO160" s="374">
        <f t="shared" si="118"/>
        <v>6.0648130691304525</v>
      </c>
      <c r="AP160" s="354">
        <f t="shared" si="98"/>
        <v>1.3907254286958226</v>
      </c>
      <c r="AQ160" s="354">
        <f t="shared" si="119"/>
        <v>4.6740876404346299</v>
      </c>
      <c r="AR160" s="374">
        <f t="shared" si="120"/>
        <v>11.063984872293007</v>
      </c>
      <c r="AS160" s="354">
        <f t="shared" si="99"/>
        <v>4.7944002467659326</v>
      </c>
      <c r="AT160" s="354">
        <f t="shared" si="121"/>
        <v>6.2695846255270755</v>
      </c>
      <c r="AU160" s="355" t="s">
        <v>396</v>
      </c>
      <c r="AV160" s="354" t="s">
        <v>397</v>
      </c>
      <c r="AW160" s="378">
        <v>0</v>
      </c>
      <c r="AX160" s="378">
        <v>0</v>
      </c>
      <c r="AY160" s="373">
        <v>0</v>
      </c>
      <c r="AZ160" s="373">
        <v>0</v>
      </c>
      <c r="BA160" s="373">
        <v>0</v>
      </c>
      <c r="BB160" s="373">
        <v>0</v>
      </c>
    </row>
    <row r="161" spans="1:54" x14ac:dyDescent="0.25">
      <c r="A161" s="348" t="s">
        <v>578</v>
      </c>
      <c r="B161" s="349">
        <v>12</v>
      </c>
      <c r="C161" s="423">
        <v>44958</v>
      </c>
      <c r="D161" s="351">
        <v>44967</v>
      </c>
      <c r="E161" s="352"/>
      <c r="F161" s="352">
        <v>6</v>
      </c>
      <c r="G161" s="352" t="s">
        <v>338</v>
      </c>
      <c r="H161" s="424" t="s">
        <v>579</v>
      </c>
      <c r="I161" s="350" t="s">
        <v>393</v>
      </c>
      <c r="J161" s="375">
        <f>350000*20%</f>
        <v>70000</v>
      </c>
      <c r="K161" s="350" t="s">
        <v>394</v>
      </c>
      <c r="L161" s="354">
        <v>2047.28</v>
      </c>
      <c r="M161" s="375">
        <f t="shared" si="122"/>
        <v>34.191708022351605</v>
      </c>
      <c r="N161" s="354" t="s">
        <v>395</v>
      </c>
      <c r="O161" s="354">
        <v>0</v>
      </c>
      <c r="P161" s="374">
        <f t="shared" si="91"/>
        <v>2.1543557497202857</v>
      </c>
      <c r="Q161" s="354">
        <f t="shared" si="92"/>
        <v>0.20318861236629829</v>
      </c>
      <c r="R161" s="354">
        <f t="shared" si="100"/>
        <v>0.34251690350599567</v>
      </c>
      <c r="S161" s="354">
        <f t="shared" si="101"/>
        <v>0.30510947129787702</v>
      </c>
      <c r="T161" s="354">
        <f t="shared" si="102"/>
        <v>1.3020186841343171</v>
      </c>
      <c r="U161" s="374">
        <f t="shared" si="103"/>
        <v>8.6463643930055678</v>
      </c>
      <c r="V161" s="354">
        <f t="shared" si="93"/>
        <v>0.22887545757137215</v>
      </c>
      <c r="W161" s="354">
        <f t="shared" si="104"/>
        <v>7.8074158946030137</v>
      </c>
      <c r="X161" s="354">
        <f t="shared" si="105"/>
        <v>0.61007304083118263</v>
      </c>
      <c r="Y161" s="374">
        <f t="shared" si="106"/>
        <v>1.2675437974231079</v>
      </c>
      <c r="Z161" s="354">
        <f t="shared" si="94"/>
        <v>0.65387517692647112</v>
      </c>
      <c r="AA161" s="354">
        <f t="shared" si="107"/>
        <v>0.61366862049663662</v>
      </c>
      <c r="AB161" s="374">
        <f t="shared" si="108"/>
        <v>6.9250934862405265</v>
      </c>
      <c r="AC161" s="354">
        <f t="shared" si="95"/>
        <v>1.9652901384564718</v>
      </c>
      <c r="AD161" s="354">
        <f t="shared" si="109"/>
        <v>4.2780000764902057</v>
      </c>
      <c r="AE161" s="354">
        <f t="shared" si="110"/>
        <v>0.68180327129384855</v>
      </c>
      <c r="AF161" s="374">
        <f t="shared" si="111"/>
        <v>5.5424931574381615</v>
      </c>
      <c r="AG161" s="354">
        <f t="shared" si="96"/>
        <v>0.35619775728969894</v>
      </c>
      <c r="AH161" s="354">
        <f t="shared" si="112"/>
        <v>1.7921741094420698</v>
      </c>
      <c r="AI161" s="354">
        <f t="shared" si="113"/>
        <v>0</v>
      </c>
      <c r="AJ161" s="354">
        <f t="shared" si="114"/>
        <v>3.3941212907063929</v>
      </c>
      <c r="AK161" s="374">
        <f t="shared" si="115"/>
        <v>3.6607781590257442</v>
      </c>
      <c r="AL161" s="354">
        <f t="shared" si="97"/>
        <v>1.0488372428198671</v>
      </c>
      <c r="AM161" s="354">
        <f t="shared" si="116"/>
        <v>2.4737480339526079</v>
      </c>
      <c r="AN161" s="354">
        <f t="shared" si="117"/>
        <v>0.13819288225326945</v>
      </c>
      <c r="AO161" s="374">
        <f t="shared" si="118"/>
        <v>2.1226845741956577</v>
      </c>
      <c r="AP161" s="354">
        <f t="shared" si="98"/>
        <v>0.48675390004353775</v>
      </c>
      <c r="AQ161" s="354">
        <f t="shared" si="119"/>
        <v>1.63593067415212</v>
      </c>
      <c r="AR161" s="374">
        <f t="shared" si="120"/>
        <v>3.8723947053025523</v>
      </c>
      <c r="AS161" s="354">
        <f t="shared" si="99"/>
        <v>1.6780400863680762</v>
      </c>
      <c r="AT161" s="354">
        <f t="shared" si="121"/>
        <v>2.1943546189344763</v>
      </c>
      <c r="AU161" s="355" t="s">
        <v>396</v>
      </c>
      <c r="AV161" s="354" t="s">
        <v>397</v>
      </c>
      <c r="AW161" s="378">
        <v>0</v>
      </c>
      <c r="AX161" s="378">
        <v>0</v>
      </c>
      <c r="AY161" s="373">
        <v>0</v>
      </c>
      <c r="AZ161" s="373">
        <v>0</v>
      </c>
      <c r="BA161" s="373">
        <v>0</v>
      </c>
      <c r="BB161" s="373">
        <v>0</v>
      </c>
    </row>
    <row r="162" spans="1:54" x14ac:dyDescent="0.25">
      <c r="A162" s="348" t="s">
        <v>580</v>
      </c>
      <c r="B162" s="349">
        <v>13</v>
      </c>
      <c r="C162" s="423">
        <v>44958</v>
      </c>
      <c r="D162" s="351">
        <v>44978</v>
      </c>
      <c r="E162" s="352"/>
      <c r="F162" s="352">
        <v>6</v>
      </c>
      <c r="G162" s="352" t="s">
        <v>340</v>
      </c>
      <c r="H162" s="424" t="s">
        <v>581</v>
      </c>
      <c r="I162" s="350" t="s">
        <v>393</v>
      </c>
      <c r="J162" s="375">
        <v>36385</v>
      </c>
      <c r="K162" s="350" t="s">
        <v>394</v>
      </c>
      <c r="L162" s="354">
        <v>2047.28</v>
      </c>
      <c r="M162" s="375">
        <f t="shared" si="122"/>
        <v>17.772361377046618</v>
      </c>
      <c r="N162" s="354" t="s">
        <v>395</v>
      </c>
      <c r="O162" s="354">
        <v>0</v>
      </c>
      <c r="P162" s="374">
        <f t="shared" si="91"/>
        <v>1.1198033421938942</v>
      </c>
      <c r="Q162" s="354">
        <f t="shared" si="92"/>
        <v>0.10561453801353947</v>
      </c>
      <c r="R162" s="354">
        <f t="shared" si="100"/>
        <v>0.17803539334379503</v>
      </c>
      <c r="S162" s="354">
        <f t="shared" si="101"/>
        <v>0.15859154447390367</v>
      </c>
      <c r="T162" s="354">
        <f t="shared" si="102"/>
        <v>0.67677071174610193</v>
      </c>
      <c r="U162" s="374">
        <f t="shared" si="103"/>
        <v>4.4942566919929661</v>
      </c>
      <c r="V162" s="354">
        <f t="shared" si="93"/>
        <v>0.11896619319620538</v>
      </c>
      <c r="W162" s="354">
        <f t="shared" si="104"/>
        <v>4.0581832475018667</v>
      </c>
      <c r="X162" s="354">
        <f t="shared" si="105"/>
        <v>0.31710725129489403</v>
      </c>
      <c r="Y162" s="374">
        <f t="shared" si="106"/>
        <v>0.65885115813199691</v>
      </c>
      <c r="Z162" s="354">
        <f t="shared" si="94"/>
        <v>0.33987497589242366</v>
      </c>
      <c r="AA162" s="354">
        <f t="shared" si="107"/>
        <v>0.31897618223957325</v>
      </c>
      <c r="AB162" s="374">
        <f t="shared" si="108"/>
        <v>3.5995646642408801</v>
      </c>
      <c r="AC162" s="354">
        <f t="shared" si="95"/>
        <v>1.0215297383962678</v>
      </c>
      <c r="AD162" s="354">
        <f t="shared" si="109"/>
        <v>2.2236433254728025</v>
      </c>
      <c r="AE162" s="354">
        <f t="shared" si="110"/>
        <v>0.35439160037180978</v>
      </c>
      <c r="AF162" s="374">
        <f t="shared" si="111"/>
        <v>2.8809087647626788</v>
      </c>
      <c r="AG162" s="354">
        <f t="shared" si="96"/>
        <v>0.18514650569979568</v>
      </c>
      <c r="AH162" s="354">
        <f t="shared" si="112"/>
        <v>0.93154649960071023</v>
      </c>
      <c r="AI162" s="354">
        <f t="shared" si="113"/>
        <v>0</v>
      </c>
      <c r="AJ162" s="354">
        <f t="shared" si="114"/>
        <v>1.764215759462173</v>
      </c>
      <c r="AK162" s="374">
        <f t="shared" si="115"/>
        <v>1.9028201902307387</v>
      </c>
      <c r="AL162" s="354">
        <f t="shared" si="97"/>
        <v>0.5451706154285838</v>
      </c>
      <c r="AM162" s="354">
        <f t="shared" si="116"/>
        <v>1.2858188887909376</v>
      </c>
      <c r="AN162" s="354">
        <f t="shared" si="117"/>
        <v>7.1830686011217282E-2</v>
      </c>
      <c r="AO162" s="374">
        <f t="shared" si="118"/>
        <v>1.1033411176015575</v>
      </c>
      <c r="AP162" s="354">
        <f t="shared" si="98"/>
        <v>0.25300772361548751</v>
      </c>
      <c r="AQ162" s="354">
        <f t="shared" si="119"/>
        <v>0.85033339398607</v>
      </c>
      <c r="AR162" s="374">
        <f t="shared" si="120"/>
        <v>2.0128154478919051</v>
      </c>
      <c r="AS162" s="354">
        <f t="shared" si="99"/>
        <v>0.8722212648928922</v>
      </c>
      <c r="AT162" s="354">
        <f t="shared" si="121"/>
        <v>1.1405941829990132</v>
      </c>
      <c r="AU162" s="355" t="s">
        <v>396</v>
      </c>
      <c r="AV162" s="354" t="s">
        <v>397</v>
      </c>
      <c r="AW162" s="378">
        <v>0</v>
      </c>
      <c r="AX162" s="378">
        <v>0</v>
      </c>
      <c r="AY162" s="373">
        <v>0</v>
      </c>
      <c r="AZ162" s="373">
        <v>0</v>
      </c>
      <c r="BA162" s="373">
        <v>0</v>
      </c>
      <c r="BB162" s="373">
        <v>0</v>
      </c>
    </row>
    <row r="163" spans="1:54" x14ac:dyDescent="0.25">
      <c r="A163" s="348" t="s">
        <v>582</v>
      </c>
      <c r="B163" s="349">
        <v>14</v>
      </c>
      <c r="C163" s="423">
        <v>44958</v>
      </c>
      <c r="D163" s="351">
        <v>44985</v>
      </c>
      <c r="E163" s="352"/>
      <c r="F163" s="352">
        <v>6</v>
      </c>
      <c r="G163" s="352" t="s">
        <v>339</v>
      </c>
      <c r="H163" s="424" t="s">
        <v>583</v>
      </c>
      <c r="I163" s="350" t="s">
        <v>393</v>
      </c>
      <c r="J163" s="375">
        <f>300000*20%</f>
        <v>60000</v>
      </c>
      <c r="K163" s="350" t="s">
        <v>394</v>
      </c>
      <c r="L163" s="354">
        <v>2047.28</v>
      </c>
      <c r="M163" s="375">
        <f t="shared" si="122"/>
        <v>29.307178304872807</v>
      </c>
      <c r="N163" s="354" t="s">
        <v>395</v>
      </c>
      <c r="O163" s="354">
        <v>0</v>
      </c>
      <c r="P163" s="374">
        <f t="shared" si="91"/>
        <v>1.8465906426173877</v>
      </c>
      <c r="Q163" s="354">
        <f t="shared" si="92"/>
        <v>0.17416166774254138</v>
      </c>
      <c r="R163" s="354">
        <f t="shared" si="100"/>
        <v>0.29358591729085343</v>
      </c>
      <c r="S163" s="354">
        <f t="shared" si="101"/>
        <v>0.26152240396960891</v>
      </c>
      <c r="T163" s="354">
        <f t="shared" si="102"/>
        <v>1.116016014972272</v>
      </c>
      <c r="U163" s="374">
        <f t="shared" si="103"/>
        <v>7.4111694797190584</v>
      </c>
      <c r="V163" s="354">
        <f t="shared" si="93"/>
        <v>0.19617896363260473</v>
      </c>
      <c r="W163" s="354">
        <f t="shared" si="104"/>
        <v>6.6920707668025834</v>
      </c>
      <c r="X163" s="354">
        <f t="shared" si="105"/>
        <v>0.52291974928387086</v>
      </c>
      <c r="Y163" s="374">
        <f t="shared" si="106"/>
        <v>1.0864661120769497</v>
      </c>
      <c r="Z163" s="354">
        <f t="shared" si="94"/>
        <v>0.56046443736554674</v>
      </c>
      <c r="AA163" s="354">
        <f t="shared" si="107"/>
        <v>0.5260016747114028</v>
      </c>
      <c r="AB163" s="374">
        <f t="shared" si="108"/>
        <v>5.9357944167775951</v>
      </c>
      <c r="AC163" s="354">
        <f t="shared" si="95"/>
        <v>1.6845344043912618</v>
      </c>
      <c r="AD163" s="354">
        <f t="shared" si="109"/>
        <v>3.6668572084201774</v>
      </c>
      <c r="AE163" s="354">
        <f t="shared" si="110"/>
        <v>0.58440280396615596</v>
      </c>
      <c r="AF163" s="374">
        <f t="shared" si="111"/>
        <v>4.7507084206612813</v>
      </c>
      <c r="AG163" s="354">
        <f t="shared" si="96"/>
        <v>0.30531236339117052</v>
      </c>
      <c r="AH163" s="354">
        <f t="shared" si="112"/>
        <v>1.5361492366646312</v>
      </c>
      <c r="AI163" s="354">
        <f t="shared" si="113"/>
        <v>0</v>
      </c>
      <c r="AJ163" s="354">
        <f t="shared" si="114"/>
        <v>2.9092468206054796</v>
      </c>
      <c r="AK163" s="374">
        <f t="shared" si="115"/>
        <v>3.137809850593495</v>
      </c>
      <c r="AL163" s="354">
        <f t="shared" si="97"/>
        <v>0.89900335098845752</v>
      </c>
      <c r="AM163" s="354">
        <f t="shared" si="116"/>
        <v>2.1203554576736638</v>
      </c>
      <c r="AN163" s="354">
        <f t="shared" si="117"/>
        <v>0.11845104193137382</v>
      </c>
      <c r="AO163" s="374">
        <f t="shared" si="118"/>
        <v>1.8194439207391355</v>
      </c>
      <c r="AP163" s="354">
        <f t="shared" si="98"/>
        <v>0.41721762860874673</v>
      </c>
      <c r="AQ163" s="354">
        <f t="shared" si="119"/>
        <v>1.402226292130389</v>
      </c>
      <c r="AR163" s="374">
        <f t="shared" si="120"/>
        <v>3.3191954616879018</v>
      </c>
      <c r="AS163" s="354">
        <f t="shared" si="99"/>
        <v>1.4383200740297797</v>
      </c>
      <c r="AT163" s="354">
        <f t="shared" si="121"/>
        <v>1.8808753876581223</v>
      </c>
      <c r="AU163" s="355" t="s">
        <v>396</v>
      </c>
      <c r="AV163" s="354" t="s">
        <v>397</v>
      </c>
      <c r="AW163" s="378">
        <v>0</v>
      </c>
      <c r="AX163" s="378">
        <v>0</v>
      </c>
      <c r="AY163" s="373">
        <v>0</v>
      </c>
      <c r="AZ163" s="373">
        <v>0</v>
      </c>
      <c r="BA163" s="373">
        <v>0</v>
      </c>
      <c r="BB163" s="373">
        <v>0</v>
      </c>
    </row>
    <row r="164" spans="1:54" x14ac:dyDescent="0.25">
      <c r="A164" s="348" t="s">
        <v>584</v>
      </c>
      <c r="B164" s="349">
        <v>15</v>
      </c>
      <c r="C164" s="423">
        <v>44986</v>
      </c>
      <c r="D164" s="351">
        <v>44998</v>
      </c>
      <c r="E164" s="352"/>
      <c r="F164" s="352">
        <v>6</v>
      </c>
      <c r="G164" s="352" t="s">
        <v>338</v>
      </c>
      <c r="H164" s="424" t="s">
        <v>585</v>
      </c>
      <c r="I164" s="350" t="s">
        <v>393</v>
      </c>
      <c r="J164" s="375">
        <f>350000*20%</f>
        <v>70000</v>
      </c>
      <c r="K164" s="350" t="s">
        <v>394</v>
      </c>
      <c r="L164" s="426">
        <v>2049.2399999999998</v>
      </c>
      <c r="M164" s="375">
        <f t="shared" si="122"/>
        <v>34.159005289765965</v>
      </c>
      <c r="N164" s="354" t="s">
        <v>395</v>
      </c>
      <c r="O164" s="354">
        <v>0</v>
      </c>
      <c r="P164" s="374">
        <f t="shared" si="91"/>
        <v>2.1522952115356655</v>
      </c>
      <c r="Q164" s="354">
        <f t="shared" si="92"/>
        <v>0.20299427218152838</v>
      </c>
      <c r="R164" s="354">
        <f t="shared" si="100"/>
        <v>0.34218930247787221</v>
      </c>
      <c r="S164" s="354">
        <f t="shared" si="101"/>
        <v>0.30481764868864447</v>
      </c>
      <c r="T164" s="354">
        <f t="shared" si="102"/>
        <v>1.3007733655669933</v>
      </c>
      <c r="U164" s="374">
        <f t="shared" si="103"/>
        <v>8.6380945592085077</v>
      </c>
      <c r="V164" s="354">
        <f t="shared" si="93"/>
        <v>0.22865654914832761</v>
      </c>
      <c r="W164" s="354">
        <f t="shared" si="104"/>
        <v>7.7999484748994066</v>
      </c>
      <c r="X164" s="354">
        <f t="shared" si="105"/>
        <v>0.60948953516077364</v>
      </c>
      <c r="Y164" s="374">
        <f t="shared" si="106"/>
        <v>1.2663314524352349</v>
      </c>
      <c r="Z164" s="354">
        <f t="shared" si="94"/>
        <v>0.65324977660890193</v>
      </c>
      <c r="AA164" s="354">
        <f t="shared" si="107"/>
        <v>0.61308167582633288</v>
      </c>
      <c r="AB164" s="374">
        <f t="shared" si="108"/>
        <v>6.9184699656997264</v>
      </c>
      <c r="AC164" s="354">
        <f t="shared" si="95"/>
        <v>1.9634104324818793</v>
      </c>
      <c r="AD164" s="354">
        <f t="shared" si="109"/>
        <v>4.2739083741274184</v>
      </c>
      <c r="AE164" s="354">
        <f t="shared" si="110"/>
        <v>0.68115115909042889</v>
      </c>
      <c r="AF164" s="374">
        <f t="shared" si="111"/>
        <v>5.5371920279518267</v>
      </c>
      <c r="AG164" s="354">
        <f t="shared" si="96"/>
        <v>0.35585707117958609</v>
      </c>
      <c r="AH164" s="354">
        <f t="shared" si="112"/>
        <v>1.790459980665301</v>
      </c>
      <c r="AI164" s="354">
        <f t="shared" si="113"/>
        <v>0</v>
      </c>
      <c r="AJ164" s="354">
        <f t="shared" si="114"/>
        <v>3.3908749761069399</v>
      </c>
      <c r="AK164" s="374">
        <f t="shared" si="115"/>
        <v>3.6572767998917777</v>
      </c>
      <c r="AL164" s="354">
        <f t="shared" si="97"/>
        <v>1.0478340801859507</v>
      </c>
      <c r="AM164" s="354">
        <f t="shared" si="116"/>
        <v>2.4713820123316426</v>
      </c>
      <c r="AN164" s="354">
        <f t="shared" si="117"/>
        <v>0.13806070737418435</v>
      </c>
      <c r="AO164" s="374">
        <f t="shared" si="118"/>
        <v>2.1206543279749015</v>
      </c>
      <c r="AP164" s="354">
        <f t="shared" si="98"/>
        <v>0.48628834323023862</v>
      </c>
      <c r="AQ164" s="354">
        <f t="shared" si="119"/>
        <v>1.634365984744663</v>
      </c>
      <c r="AR164" s="374">
        <f t="shared" si="120"/>
        <v>3.8686909450683227</v>
      </c>
      <c r="AS164" s="354">
        <f t="shared" si="99"/>
        <v>1.676435121322849</v>
      </c>
      <c r="AT164" s="354">
        <f t="shared" si="121"/>
        <v>2.1922558237454739</v>
      </c>
      <c r="AU164" s="355" t="s">
        <v>396</v>
      </c>
      <c r="AV164" s="354" t="s">
        <v>397</v>
      </c>
      <c r="AW164" s="378">
        <v>0</v>
      </c>
      <c r="AX164" s="378">
        <v>0</v>
      </c>
      <c r="AY164" s="373">
        <v>0</v>
      </c>
      <c r="AZ164" s="373">
        <v>0</v>
      </c>
      <c r="BA164" s="373">
        <v>0</v>
      </c>
      <c r="BB164" s="373">
        <v>0</v>
      </c>
    </row>
    <row r="165" spans="1:54" x14ac:dyDescent="0.25">
      <c r="A165" s="348" t="s">
        <v>584</v>
      </c>
      <c r="B165" s="349">
        <v>16</v>
      </c>
      <c r="C165" s="423">
        <v>44958</v>
      </c>
      <c r="D165" s="351">
        <v>44998</v>
      </c>
      <c r="E165" s="352"/>
      <c r="F165" s="352">
        <v>6</v>
      </c>
      <c r="G165" s="352" t="s">
        <v>337</v>
      </c>
      <c r="H165" s="424" t="s">
        <v>586</v>
      </c>
      <c r="I165" s="350" t="s">
        <v>393</v>
      </c>
      <c r="J165" s="375">
        <f>100000*30%</f>
        <v>30000</v>
      </c>
      <c r="K165" s="350" t="s">
        <v>394</v>
      </c>
      <c r="L165" s="354">
        <v>2047.28</v>
      </c>
      <c r="M165" s="375">
        <f t="shared" si="122"/>
        <v>14.653589152436403</v>
      </c>
      <c r="N165" s="354" t="s">
        <v>395</v>
      </c>
      <c r="O165" s="354">
        <v>0</v>
      </c>
      <c r="P165" s="374">
        <f t="shared" si="91"/>
        <v>0.92329532130869385</v>
      </c>
      <c r="Q165" s="354">
        <f t="shared" si="92"/>
        <v>8.7080833871270691E-2</v>
      </c>
      <c r="R165" s="354">
        <f t="shared" si="100"/>
        <v>0.14679295864542671</v>
      </c>
      <c r="S165" s="354">
        <f t="shared" si="101"/>
        <v>0.13076120198480445</v>
      </c>
      <c r="T165" s="354">
        <f t="shared" si="102"/>
        <v>0.55800800748613599</v>
      </c>
      <c r="U165" s="374">
        <f t="shared" si="103"/>
        <v>3.7055847398595292</v>
      </c>
      <c r="V165" s="354">
        <f t="shared" si="93"/>
        <v>9.8089481816302365E-2</v>
      </c>
      <c r="W165" s="354">
        <f t="shared" si="104"/>
        <v>3.3460353834012917</v>
      </c>
      <c r="X165" s="354">
        <f t="shared" si="105"/>
        <v>0.26145987464193543</v>
      </c>
      <c r="Y165" s="374">
        <f t="shared" si="106"/>
        <v>0.54323305603847483</v>
      </c>
      <c r="Z165" s="354">
        <f t="shared" si="94"/>
        <v>0.28023221868277337</v>
      </c>
      <c r="AA165" s="354">
        <f t="shared" si="107"/>
        <v>0.2630008373557014</v>
      </c>
      <c r="AB165" s="374">
        <f t="shared" si="108"/>
        <v>2.9678972083887976</v>
      </c>
      <c r="AC165" s="354">
        <f t="shared" si="95"/>
        <v>0.84226720219563089</v>
      </c>
      <c r="AD165" s="354">
        <f t="shared" si="109"/>
        <v>1.8334286042100887</v>
      </c>
      <c r="AE165" s="354">
        <f t="shared" si="110"/>
        <v>0.29220140198307798</v>
      </c>
      <c r="AF165" s="374">
        <f t="shared" si="111"/>
        <v>2.3753542103306406</v>
      </c>
      <c r="AG165" s="354">
        <f t="shared" si="96"/>
        <v>0.15265618169558526</v>
      </c>
      <c r="AH165" s="354">
        <f t="shared" si="112"/>
        <v>0.76807461833231561</v>
      </c>
      <c r="AI165" s="354">
        <f t="shared" si="113"/>
        <v>0</v>
      </c>
      <c r="AJ165" s="354">
        <f t="shared" si="114"/>
        <v>1.4546234103027398</v>
      </c>
      <c r="AK165" s="374">
        <f t="shared" si="115"/>
        <v>1.5689049252967475</v>
      </c>
      <c r="AL165" s="354">
        <f t="shared" si="97"/>
        <v>0.44950167549422876</v>
      </c>
      <c r="AM165" s="354">
        <f t="shared" si="116"/>
        <v>1.0601777288368319</v>
      </c>
      <c r="AN165" s="354">
        <f t="shared" si="117"/>
        <v>5.9225520965686909E-2</v>
      </c>
      <c r="AO165" s="374">
        <f t="shared" si="118"/>
        <v>0.90972196036956776</v>
      </c>
      <c r="AP165" s="354">
        <f t="shared" si="98"/>
        <v>0.20860881430437336</v>
      </c>
      <c r="AQ165" s="354">
        <f t="shared" si="119"/>
        <v>0.70111314606519448</v>
      </c>
      <c r="AR165" s="374">
        <f t="shared" si="120"/>
        <v>1.6595977308439509</v>
      </c>
      <c r="AS165" s="354">
        <f t="shared" si="99"/>
        <v>0.71916003701488984</v>
      </c>
      <c r="AT165" s="354">
        <f t="shared" si="121"/>
        <v>0.94043769382906117</v>
      </c>
      <c r="AU165" s="355" t="s">
        <v>396</v>
      </c>
      <c r="AV165" s="354" t="s">
        <v>397</v>
      </c>
      <c r="AW165" s="378">
        <v>0</v>
      </c>
      <c r="AX165" s="378">
        <v>0</v>
      </c>
      <c r="AY165" s="373">
        <v>0</v>
      </c>
      <c r="AZ165" s="373">
        <v>0</v>
      </c>
      <c r="BA165" s="373">
        <v>0</v>
      </c>
      <c r="BB165" s="373">
        <v>0</v>
      </c>
    </row>
    <row r="166" spans="1:54" x14ac:dyDescent="0.25">
      <c r="A166" s="348" t="s">
        <v>587</v>
      </c>
      <c r="B166" s="349">
        <v>17</v>
      </c>
      <c r="C166" s="423">
        <v>45017</v>
      </c>
      <c r="D166" s="351">
        <v>45030</v>
      </c>
      <c r="E166" s="352"/>
      <c r="F166" s="352">
        <v>6</v>
      </c>
      <c r="G166" s="352" t="s">
        <v>338</v>
      </c>
      <c r="H166" s="424" t="s">
        <v>588</v>
      </c>
      <c r="I166" s="350" t="s">
        <v>393</v>
      </c>
      <c r="J166" s="375">
        <f>350000*20%</f>
        <v>70000</v>
      </c>
      <c r="K166" s="350" t="s">
        <v>394</v>
      </c>
      <c r="L166" s="426">
        <v>2049.2399999999998</v>
      </c>
      <c r="M166" s="375">
        <f t="shared" si="122"/>
        <v>34.159005289765965</v>
      </c>
      <c r="N166" s="354" t="s">
        <v>395</v>
      </c>
      <c r="O166" s="354">
        <v>0</v>
      </c>
      <c r="P166" s="374">
        <f t="shared" si="91"/>
        <v>2.1522952115356655</v>
      </c>
      <c r="Q166" s="354">
        <f t="shared" si="92"/>
        <v>0.20299427218152838</v>
      </c>
      <c r="R166" s="354">
        <f t="shared" si="100"/>
        <v>0.34218930247787221</v>
      </c>
      <c r="S166" s="354">
        <f t="shared" si="101"/>
        <v>0.30481764868864447</v>
      </c>
      <c r="T166" s="354">
        <f t="shared" si="102"/>
        <v>1.3007733655669933</v>
      </c>
      <c r="U166" s="374">
        <f t="shared" si="103"/>
        <v>8.6380945592085077</v>
      </c>
      <c r="V166" s="354">
        <f t="shared" si="93"/>
        <v>0.22865654914832761</v>
      </c>
      <c r="W166" s="354">
        <f t="shared" si="104"/>
        <v>7.7999484748994066</v>
      </c>
      <c r="X166" s="354">
        <f t="shared" si="105"/>
        <v>0.60948953516077364</v>
      </c>
      <c r="Y166" s="374">
        <f t="shared" si="106"/>
        <v>1.2663314524352349</v>
      </c>
      <c r="Z166" s="354">
        <f t="shared" si="94"/>
        <v>0.65324977660890193</v>
      </c>
      <c r="AA166" s="354">
        <f t="shared" si="107"/>
        <v>0.61308167582633288</v>
      </c>
      <c r="AB166" s="374">
        <f t="shared" si="108"/>
        <v>6.9184699656997264</v>
      </c>
      <c r="AC166" s="354">
        <f t="shared" si="95"/>
        <v>1.9634104324818793</v>
      </c>
      <c r="AD166" s="354">
        <f t="shared" si="109"/>
        <v>4.2739083741274184</v>
      </c>
      <c r="AE166" s="354">
        <f t="shared" si="110"/>
        <v>0.68115115909042889</v>
      </c>
      <c r="AF166" s="374">
        <f t="shared" si="111"/>
        <v>5.5371920279518267</v>
      </c>
      <c r="AG166" s="354">
        <f t="shared" si="96"/>
        <v>0.35585707117958609</v>
      </c>
      <c r="AH166" s="354">
        <f t="shared" si="112"/>
        <v>1.790459980665301</v>
      </c>
      <c r="AI166" s="354">
        <f t="shared" si="113"/>
        <v>0</v>
      </c>
      <c r="AJ166" s="354">
        <f t="shared" si="114"/>
        <v>3.3908749761069399</v>
      </c>
      <c r="AK166" s="374">
        <f t="shared" si="115"/>
        <v>3.6572767998917777</v>
      </c>
      <c r="AL166" s="354">
        <f t="shared" si="97"/>
        <v>1.0478340801859507</v>
      </c>
      <c r="AM166" s="354">
        <f t="shared" si="116"/>
        <v>2.4713820123316426</v>
      </c>
      <c r="AN166" s="354">
        <f t="shared" si="117"/>
        <v>0.13806070737418435</v>
      </c>
      <c r="AO166" s="374">
        <f t="shared" si="118"/>
        <v>2.1206543279749015</v>
      </c>
      <c r="AP166" s="354">
        <f t="shared" si="98"/>
        <v>0.48628834323023862</v>
      </c>
      <c r="AQ166" s="354">
        <f t="shared" si="119"/>
        <v>1.634365984744663</v>
      </c>
      <c r="AR166" s="374">
        <f t="shared" si="120"/>
        <v>3.8686909450683227</v>
      </c>
      <c r="AS166" s="354">
        <f t="shared" si="99"/>
        <v>1.676435121322849</v>
      </c>
      <c r="AT166" s="354">
        <f t="shared" si="121"/>
        <v>2.1922558237454739</v>
      </c>
      <c r="AU166" s="355" t="s">
        <v>396</v>
      </c>
      <c r="AV166" s="354" t="s">
        <v>397</v>
      </c>
      <c r="AW166" s="378">
        <v>0</v>
      </c>
      <c r="AX166" s="378">
        <v>0</v>
      </c>
      <c r="AY166" s="373">
        <v>0</v>
      </c>
      <c r="AZ166" s="373">
        <v>0</v>
      </c>
      <c r="BA166" s="373">
        <v>0</v>
      </c>
      <c r="BB166" s="373">
        <v>0</v>
      </c>
    </row>
    <row r="167" spans="1:54" x14ac:dyDescent="0.25">
      <c r="A167" s="348" t="s">
        <v>587</v>
      </c>
      <c r="B167" s="349">
        <v>18</v>
      </c>
      <c r="C167" s="423">
        <v>44986</v>
      </c>
      <c r="D167" s="351">
        <v>45030</v>
      </c>
      <c r="E167" s="352"/>
      <c r="F167" s="352">
        <v>6</v>
      </c>
      <c r="G167" s="352" t="s">
        <v>337</v>
      </c>
      <c r="H167" s="424" t="s">
        <v>589</v>
      </c>
      <c r="I167" s="350" t="s">
        <v>393</v>
      </c>
      <c r="J167" s="375">
        <f>100000*30%</f>
        <v>30000</v>
      </c>
      <c r="K167" s="350" t="s">
        <v>394</v>
      </c>
      <c r="L167" s="426">
        <v>2049.2399999999998</v>
      </c>
      <c r="M167" s="375">
        <f t="shared" si="122"/>
        <v>14.639573695613985</v>
      </c>
      <c r="N167" s="354" t="s">
        <v>395</v>
      </c>
      <c r="O167" s="354">
        <v>0</v>
      </c>
      <c r="P167" s="374">
        <f t="shared" si="91"/>
        <v>0.92241223351528512</v>
      </c>
      <c r="Q167" s="354">
        <f t="shared" si="92"/>
        <v>8.6997545220655004E-2</v>
      </c>
      <c r="R167" s="354">
        <f t="shared" si="100"/>
        <v>0.14665255820480236</v>
      </c>
      <c r="S167" s="354">
        <f t="shared" si="101"/>
        <v>0.13063613515227618</v>
      </c>
      <c r="T167" s="354">
        <f t="shared" si="102"/>
        <v>0.55747429952871141</v>
      </c>
      <c r="U167" s="374">
        <f t="shared" si="103"/>
        <v>3.7020405253750748</v>
      </c>
      <c r="V167" s="354">
        <f t="shared" si="93"/>
        <v>9.7995663920711837E-2</v>
      </c>
      <c r="W167" s="354">
        <f t="shared" si="104"/>
        <v>3.3428350606711743</v>
      </c>
      <c r="X167" s="354">
        <f t="shared" si="105"/>
        <v>0.26120980078318873</v>
      </c>
      <c r="Y167" s="374">
        <f t="shared" si="106"/>
        <v>0.54271347961510064</v>
      </c>
      <c r="Z167" s="354">
        <f t="shared" si="94"/>
        <v>0.27996418997524364</v>
      </c>
      <c r="AA167" s="354">
        <f t="shared" si="107"/>
        <v>0.26274928963985694</v>
      </c>
      <c r="AB167" s="374">
        <f t="shared" si="108"/>
        <v>2.9650585567284544</v>
      </c>
      <c r="AC167" s="354">
        <f t="shared" si="95"/>
        <v>0.84146161392080543</v>
      </c>
      <c r="AD167" s="354">
        <f t="shared" si="109"/>
        <v>1.8316750174831793</v>
      </c>
      <c r="AE167" s="354">
        <f t="shared" si="110"/>
        <v>0.29192192532446953</v>
      </c>
      <c r="AF167" s="374">
        <f t="shared" si="111"/>
        <v>2.3730822976936401</v>
      </c>
      <c r="AG167" s="354">
        <f t="shared" si="96"/>
        <v>0.15251017336267977</v>
      </c>
      <c r="AH167" s="354">
        <f t="shared" si="112"/>
        <v>0.76733999171370049</v>
      </c>
      <c r="AI167" s="354">
        <f t="shared" si="113"/>
        <v>0</v>
      </c>
      <c r="AJ167" s="354">
        <f t="shared" si="114"/>
        <v>1.4532321326172601</v>
      </c>
      <c r="AK167" s="374">
        <f t="shared" si="115"/>
        <v>1.5674043428107618</v>
      </c>
      <c r="AL167" s="354">
        <f t="shared" si="97"/>
        <v>0.44907174865112176</v>
      </c>
      <c r="AM167" s="354">
        <f t="shared" si="116"/>
        <v>1.059163719570704</v>
      </c>
      <c r="AN167" s="354">
        <f t="shared" si="117"/>
        <v>5.9168874588936146E-2</v>
      </c>
      <c r="AO167" s="374">
        <f t="shared" si="118"/>
        <v>0.90885185484638631</v>
      </c>
      <c r="AP167" s="354">
        <f t="shared" si="98"/>
        <v>0.20840928995581653</v>
      </c>
      <c r="AQ167" s="354">
        <f t="shared" si="119"/>
        <v>0.70044256489056977</v>
      </c>
      <c r="AR167" s="374">
        <f t="shared" si="120"/>
        <v>1.6580104050292812</v>
      </c>
      <c r="AS167" s="354">
        <f t="shared" si="99"/>
        <v>0.71847219485264968</v>
      </c>
      <c r="AT167" s="354">
        <f t="shared" si="121"/>
        <v>0.93953821017663164</v>
      </c>
      <c r="AU167" s="355" t="s">
        <v>396</v>
      </c>
      <c r="AV167" s="354" t="s">
        <v>397</v>
      </c>
      <c r="AW167" s="378">
        <v>0</v>
      </c>
      <c r="AX167" s="378">
        <v>0</v>
      </c>
      <c r="AY167" s="373">
        <v>0</v>
      </c>
      <c r="AZ167" s="373">
        <v>0</v>
      </c>
      <c r="BA167" s="373">
        <v>0</v>
      </c>
      <c r="BB167" s="373">
        <v>0</v>
      </c>
    </row>
    <row r="168" spans="1:54" x14ac:dyDescent="0.25">
      <c r="A168" s="348" t="s">
        <v>590</v>
      </c>
      <c r="B168" s="349">
        <v>19</v>
      </c>
      <c r="C168" s="423">
        <v>44986</v>
      </c>
      <c r="D168" s="351">
        <v>45002</v>
      </c>
      <c r="E168" s="352"/>
      <c r="F168" s="352">
        <v>6</v>
      </c>
      <c r="G168" s="352" t="s">
        <v>335</v>
      </c>
      <c r="H168" s="424" t="s">
        <v>591</v>
      </c>
      <c r="I168" s="350" t="s">
        <v>393</v>
      </c>
      <c r="J168" s="375">
        <f>1000000*20%</f>
        <v>200000</v>
      </c>
      <c r="K168" s="350" t="s">
        <v>394</v>
      </c>
      <c r="L168" s="426">
        <v>2049.2399999999998</v>
      </c>
      <c r="M168" s="375">
        <f t="shared" si="122"/>
        <v>97.597157970759895</v>
      </c>
      <c r="N168" s="354" t="s">
        <v>395</v>
      </c>
      <c r="O168" s="354">
        <v>0</v>
      </c>
      <c r="P168" s="374">
        <f t="shared" si="91"/>
        <v>6.1494148901019008</v>
      </c>
      <c r="Q168" s="354">
        <f t="shared" si="92"/>
        <v>0.57998363480436677</v>
      </c>
      <c r="R168" s="354">
        <f t="shared" si="100"/>
        <v>0.97768372136534909</v>
      </c>
      <c r="S168" s="354">
        <f t="shared" si="101"/>
        <v>0.8709075676818413</v>
      </c>
      <c r="T168" s="354">
        <f t="shared" si="102"/>
        <v>3.716495330191409</v>
      </c>
      <c r="U168" s="374">
        <f t="shared" si="103"/>
        <v>24.680270169167162</v>
      </c>
      <c r="V168" s="354">
        <f t="shared" si="93"/>
        <v>0.65330442613807882</v>
      </c>
      <c r="W168" s="354">
        <f t="shared" si="104"/>
        <v>22.285567071141159</v>
      </c>
      <c r="X168" s="354">
        <f t="shared" si="105"/>
        <v>1.7413986718879246</v>
      </c>
      <c r="Y168" s="374">
        <f t="shared" si="106"/>
        <v>3.6180898641006709</v>
      </c>
      <c r="Z168" s="354">
        <f t="shared" si="94"/>
        <v>1.8664279331682911</v>
      </c>
      <c r="AA168" s="354">
        <f t="shared" si="107"/>
        <v>1.7516619309323798</v>
      </c>
      <c r="AB168" s="374">
        <f t="shared" si="108"/>
        <v>19.767057044856362</v>
      </c>
      <c r="AC168" s="354">
        <f t="shared" si="95"/>
        <v>5.6097440928053697</v>
      </c>
      <c r="AD168" s="354">
        <f t="shared" si="109"/>
        <v>12.211166783221195</v>
      </c>
      <c r="AE168" s="354">
        <f t="shared" si="110"/>
        <v>1.9461461688297967</v>
      </c>
      <c r="AF168" s="374">
        <f t="shared" si="111"/>
        <v>15.820548651290933</v>
      </c>
      <c r="AG168" s="354">
        <f t="shared" si="96"/>
        <v>1.0167344890845316</v>
      </c>
      <c r="AH168" s="354">
        <f t="shared" si="112"/>
        <v>5.1155999447580029</v>
      </c>
      <c r="AI168" s="354">
        <f t="shared" si="113"/>
        <v>0</v>
      </c>
      <c r="AJ168" s="354">
        <f t="shared" si="114"/>
        <v>9.6882142174483992</v>
      </c>
      <c r="AK168" s="374">
        <f t="shared" si="115"/>
        <v>10.449362285405078</v>
      </c>
      <c r="AL168" s="354">
        <f t="shared" si="97"/>
        <v>2.9938116576741449</v>
      </c>
      <c r="AM168" s="354">
        <f t="shared" si="116"/>
        <v>7.0610914638046927</v>
      </c>
      <c r="AN168" s="354">
        <f t="shared" si="117"/>
        <v>0.39445916392624092</v>
      </c>
      <c r="AO168" s="374">
        <f t="shared" si="118"/>
        <v>6.0590123656425758</v>
      </c>
      <c r="AP168" s="354">
        <f t="shared" si="98"/>
        <v>1.3893952663721103</v>
      </c>
      <c r="AQ168" s="354">
        <f t="shared" si="119"/>
        <v>4.6696170992704653</v>
      </c>
      <c r="AR168" s="374">
        <f t="shared" si="120"/>
        <v>11.053402700195209</v>
      </c>
      <c r="AS168" s="354">
        <f t="shared" si="99"/>
        <v>4.789814632350998</v>
      </c>
      <c r="AT168" s="354">
        <f t="shared" si="121"/>
        <v>6.2635880678442115</v>
      </c>
      <c r="AU168" s="355" t="s">
        <v>396</v>
      </c>
      <c r="AV168" s="354" t="s">
        <v>397</v>
      </c>
      <c r="AW168" s="378">
        <v>0</v>
      </c>
      <c r="AX168" s="378">
        <v>0</v>
      </c>
      <c r="AY168" s="373">
        <v>0</v>
      </c>
      <c r="AZ168" s="373">
        <v>0</v>
      </c>
      <c r="BA168" s="373">
        <v>0</v>
      </c>
      <c r="BB168" s="373">
        <v>0</v>
      </c>
    </row>
    <row r="169" spans="1:54" x14ac:dyDescent="0.25">
      <c r="A169" s="348" t="s">
        <v>592</v>
      </c>
      <c r="B169" s="349">
        <v>20</v>
      </c>
      <c r="C169" s="423">
        <v>44986</v>
      </c>
      <c r="D169" s="351">
        <v>45012</v>
      </c>
      <c r="E169" s="352"/>
      <c r="F169" s="352">
        <v>6</v>
      </c>
      <c r="G169" s="352" t="s">
        <v>340</v>
      </c>
      <c r="H169" s="424" t="s">
        <v>593</v>
      </c>
      <c r="I169" s="350" t="s">
        <v>393</v>
      </c>
      <c r="J169" s="375">
        <v>36385</v>
      </c>
      <c r="K169" s="350" t="s">
        <v>394</v>
      </c>
      <c r="L169" s="354">
        <v>2049.2399999999998</v>
      </c>
      <c r="M169" s="375">
        <f t="shared" si="122"/>
        <v>17.755362963830496</v>
      </c>
      <c r="N169" s="354" t="s">
        <v>395</v>
      </c>
      <c r="O169" s="354">
        <v>0</v>
      </c>
      <c r="P169" s="374">
        <f t="shared" si="91"/>
        <v>1.1187323038817885</v>
      </c>
      <c r="Q169" s="354">
        <f t="shared" si="92"/>
        <v>0.10551352276178444</v>
      </c>
      <c r="R169" s="354">
        <f t="shared" si="100"/>
        <v>0.17786511100939117</v>
      </c>
      <c r="S169" s="354">
        <f t="shared" si="101"/>
        <v>0.15843985925051898</v>
      </c>
      <c r="T169" s="354">
        <f t="shared" si="102"/>
        <v>0.67612341294507217</v>
      </c>
      <c r="U169" s="374">
        <f t="shared" si="103"/>
        <v>4.4899581505257364</v>
      </c>
      <c r="V169" s="354">
        <f t="shared" si="93"/>
        <v>0.11885240772517</v>
      </c>
      <c r="W169" s="354">
        <f t="shared" si="104"/>
        <v>4.0543017894173561</v>
      </c>
      <c r="X169" s="354">
        <f t="shared" si="105"/>
        <v>0.31680395338321071</v>
      </c>
      <c r="Y169" s="374">
        <f t="shared" si="106"/>
        <v>0.65822099852651461</v>
      </c>
      <c r="Z169" s="354">
        <f t="shared" si="94"/>
        <v>0.3395499017416414</v>
      </c>
      <c r="AA169" s="354">
        <f t="shared" si="107"/>
        <v>0.31867109678487321</v>
      </c>
      <c r="AB169" s="374">
        <f t="shared" si="108"/>
        <v>3.5961218528854939</v>
      </c>
      <c r="AC169" s="354">
        <f t="shared" si="95"/>
        <v>1.0205526940836169</v>
      </c>
      <c r="AD169" s="354">
        <f t="shared" si="109"/>
        <v>2.2215165170375162</v>
      </c>
      <c r="AE169" s="354">
        <f t="shared" si="110"/>
        <v>0.3540526417643608</v>
      </c>
      <c r="AF169" s="374">
        <f t="shared" si="111"/>
        <v>2.8781533133861035</v>
      </c>
      <c r="AG169" s="354">
        <f t="shared" si="96"/>
        <v>0.18496942192670346</v>
      </c>
      <c r="AH169" s="354">
        <f t="shared" si="112"/>
        <v>0.93065551995009976</v>
      </c>
      <c r="AI169" s="354">
        <f t="shared" si="113"/>
        <v>0</v>
      </c>
      <c r="AJ169" s="354">
        <f t="shared" si="114"/>
        <v>1.7625283715093003</v>
      </c>
      <c r="AK169" s="374">
        <f t="shared" si="115"/>
        <v>1.9010002337723191</v>
      </c>
      <c r="AL169" s="354">
        <f t="shared" si="97"/>
        <v>0.54464918582236888</v>
      </c>
      <c r="AM169" s="354">
        <f t="shared" si="116"/>
        <v>1.284589064552669</v>
      </c>
      <c r="AN169" s="354">
        <f t="shared" si="117"/>
        <v>7.176198339728139E-2</v>
      </c>
      <c r="AO169" s="374">
        <f t="shared" si="118"/>
        <v>1.1022858246195257</v>
      </c>
      <c r="AP169" s="354">
        <f t="shared" si="98"/>
        <v>0.25276573383474621</v>
      </c>
      <c r="AQ169" s="354">
        <f t="shared" si="119"/>
        <v>0.84952009078477952</v>
      </c>
      <c r="AR169" s="374">
        <f t="shared" si="120"/>
        <v>2.0108902862330136</v>
      </c>
      <c r="AS169" s="354">
        <f t="shared" si="99"/>
        <v>0.87138702699045534</v>
      </c>
      <c r="AT169" s="354">
        <f t="shared" si="121"/>
        <v>1.1395032592425582</v>
      </c>
      <c r="AU169" s="355" t="s">
        <v>396</v>
      </c>
      <c r="AV169" s="354" t="s">
        <v>397</v>
      </c>
      <c r="AW169" s="378">
        <v>0</v>
      </c>
      <c r="AX169" s="378">
        <v>0</v>
      </c>
      <c r="AY169" s="373">
        <v>0</v>
      </c>
      <c r="AZ169" s="373">
        <v>0</v>
      </c>
      <c r="BA169" s="373">
        <v>0</v>
      </c>
      <c r="BB169" s="373">
        <v>0</v>
      </c>
    </row>
    <row r="170" spans="1:54" x14ac:dyDescent="0.25">
      <c r="A170" s="348" t="s">
        <v>594</v>
      </c>
      <c r="B170" s="349">
        <v>21</v>
      </c>
      <c r="C170" s="423">
        <v>44986</v>
      </c>
      <c r="D170" s="351">
        <v>45016</v>
      </c>
      <c r="E170" s="352"/>
      <c r="F170" s="352">
        <v>6</v>
      </c>
      <c r="G170" s="352" t="s">
        <v>339</v>
      </c>
      <c r="H170" s="424" t="s">
        <v>595</v>
      </c>
      <c r="I170" s="350" t="s">
        <v>393</v>
      </c>
      <c r="J170" s="375">
        <f>300000*20%</f>
        <v>60000</v>
      </c>
      <c r="K170" s="350" t="s">
        <v>394</v>
      </c>
      <c r="L170" s="354">
        <v>2049.2399999999998</v>
      </c>
      <c r="M170" s="375">
        <f t="shared" si="122"/>
        <v>29.279147391227969</v>
      </c>
      <c r="N170" s="354" t="s">
        <v>395</v>
      </c>
      <c r="O170" s="354">
        <v>0</v>
      </c>
      <c r="P170" s="374">
        <f t="shared" si="91"/>
        <v>1.8448244670305702</v>
      </c>
      <c r="Q170" s="354">
        <f t="shared" si="92"/>
        <v>0.17399509044131001</v>
      </c>
      <c r="R170" s="354">
        <f t="shared" si="100"/>
        <v>0.29330511640960472</v>
      </c>
      <c r="S170" s="354">
        <f t="shared" si="101"/>
        <v>0.26127227030455236</v>
      </c>
      <c r="T170" s="354">
        <f t="shared" si="102"/>
        <v>1.1149485990574228</v>
      </c>
      <c r="U170" s="374">
        <f t="shared" si="103"/>
        <v>7.4040810507501496</v>
      </c>
      <c r="V170" s="354">
        <f t="shared" si="93"/>
        <v>0.19599132784142367</v>
      </c>
      <c r="W170" s="354">
        <f t="shared" si="104"/>
        <v>6.6856701213423486</v>
      </c>
      <c r="X170" s="354">
        <f t="shared" si="105"/>
        <v>0.52241960156637746</v>
      </c>
      <c r="Y170" s="374">
        <f t="shared" si="106"/>
        <v>1.0854269592302013</v>
      </c>
      <c r="Z170" s="354">
        <f t="shared" si="94"/>
        <v>0.55992837995048728</v>
      </c>
      <c r="AA170" s="354">
        <f t="shared" si="107"/>
        <v>0.52549857927971388</v>
      </c>
      <c r="AB170" s="374">
        <f t="shared" si="108"/>
        <v>5.9301171134569088</v>
      </c>
      <c r="AC170" s="354">
        <f t="shared" si="95"/>
        <v>1.6829232278416109</v>
      </c>
      <c r="AD170" s="354">
        <f t="shared" si="109"/>
        <v>3.6633500349663586</v>
      </c>
      <c r="AE170" s="354">
        <f t="shared" si="110"/>
        <v>0.58384385064893907</v>
      </c>
      <c r="AF170" s="374">
        <f t="shared" si="111"/>
        <v>4.7461645953872802</v>
      </c>
      <c r="AG170" s="354">
        <f t="shared" si="96"/>
        <v>0.30502034672535955</v>
      </c>
      <c r="AH170" s="354">
        <f t="shared" si="112"/>
        <v>1.534679983427401</v>
      </c>
      <c r="AI170" s="354">
        <f t="shared" si="113"/>
        <v>0</v>
      </c>
      <c r="AJ170" s="354">
        <f t="shared" si="114"/>
        <v>2.9064642652345203</v>
      </c>
      <c r="AK170" s="374">
        <f t="shared" si="115"/>
        <v>3.1348086856215236</v>
      </c>
      <c r="AL170" s="354">
        <f t="shared" si="97"/>
        <v>0.89814349730224352</v>
      </c>
      <c r="AM170" s="354">
        <f t="shared" si="116"/>
        <v>2.118327439141408</v>
      </c>
      <c r="AN170" s="354">
        <f t="shared" si="117"/>
        <v>0.11833774917787229</v>
      </c>
      <c r="AO170" s="374">
        <f t="shared" si="118"/>
        <v>1.8177037096927726</v>
      </c>
      <c r="AP170" s="354">
        <f t="shared" si="98"/>
        <v>0.41681857991163307</v>
      </c>
      <c r="AQ170" s="354">
        <f t="shared" si="119"/>
        <v>1.4008851297811395</v>
      </c>
      <c r="AR170" s="374">
        <f t="shared" si="120"/>
        <v>3.3160208100585624</v>
      </c>
      <c r="AS170" s="354">
        <f t="shared" si="99"/>
        <v>1.4369443897052994</v>
      </c>
      <c r="AT170" s="354">
        <f t="shared" si="121"/>
        <v>1.8790764203532633</v>
      </c>
      <c r="AU170" s="355" t="s">
        <v>396</v>
      </c>
      <c r="AV170" s="354" t="s">
        <v>397</v>
      </c>
      <c r="AW170" s="378">
        <v>0</v>
      </c>
      <c r="AX170" s="378">
        <v>0</v>
      </c>
      <c r="AY170" s="373">
        <v>0</v>
      </c>
      <c r="AZ170" s="373">
        <v>0</v>
      </c>
      <c r="BA170" s="373">
        <v>0</v>
      </c>
      <c r="BB170" s="373">
        <v>0</v>
      </c>
    </row>
    <row r="171" spans="1:54" x14ac:dyDescent="0.25">
      <c r="A171" s="348" t="s">
        <v>596</v>
      </c>
      <c r="B171" s="349">
        <v>22</v>
      </c>
      <c r="C171" s="423">
        <v>45017</v>
      </c>
      <c r="D171" s="351">
        <v>45049</v>
      </c>
      <c r="E171" s="352"/>
      <c r="F171" s="352">
        <v>6</v>
      </c>
      <c r="G171" s="352" t="s">
        <v>335</v>
      </c>
      <c r="H171" s="424" t="s">
        <v>597</v>
      </c>
      <c r="I171" s="350" t="s">
        <v>393</v>
      </c>
      <c r="J171" s="375">
        <f>1000000*20%</f>
        <v>200000</v>
      </c>
      <c r="K171" s="350" t="s">
        <v>394</v>
      </c>
      <c r="L171" s="426">
        <v>2050.46</v>
      </c>
      <c r="M171" s="375">
        <f t="shared" si="122"/>
        <v>97.539088789832519</v>
      </c>
      <c r="N171" s="354" t="s">
        <v>395</v>
      </c>
      <c r="O171" s="354">
        <v>0</v>
      </c>
      <c r="P171" s="374">
        <f t="shared" si="91"/>
        <v>6.1457560593195755</v>
      </c>
      <c r="Q171" s="354">
        <f t="shared" si="92"/>
        <v>0.57963855124533048</v>
      </c>
      <c r="R171" s="354">
        <f t="shared" si="100"/>
        <v>0.97710201085157855</v>
      </c>
      <c r="S171" s="354">
        <f t="shared" si="101"/>
        <v>0.87038938774535279</v>
      </c>
      <c r="T171" s="354">
        <f t="shared" si="102"/>
        <v>3.7142840584266175</v>
      </c>
      <c r="U171" s="374">
        <f t="shared" si="103"/>
        <v>24.665585693680498</v>
      </c>
      <c r="V171" s="354">
        <f t="shared" si="93"/>
        <v>0.6529157175556688</v>
      </c>
      <c r="W171" s="354">
        <f t="shared" si="104"/>
        <v>22.272307416318927</v>
      </c>
      <c r="X171" s="354">
        <f t="shared" si="105"/>
        <v>1.7403625598059023</v>
      </c>
      <c r="Y171" s="374">
        <f t="shared" si="106"/>
        <v>3.6159371424507953</v>
      </c>
      <c r="Z171" s="354">
        <f t="shared" si="94"/>
        <v>1.8653174301209428</v>
      </c>
      <c r="AA171" s="354">
        <f t="shared" si="107"/>
        <v>1.7506197123298524</v>
      </c>
      <c r="AB171" s="374">
        <f t="shared" si="108"/>
        <v>19.755295874389866</v>
      </c>
      <c r="AC171" s="354">
        <f t="shared" si="95"/>
        <v>5.6064063599097151</v>
      </c>
      <c r="AD171" s="354">
        <f t="shared" si="109"/>
        <v>12.203901280126507</v>
      </c>
      <c r="AE171" s="354">
        <f t="shared" si="110"/>
        <v>1.9449882343536438</v>
      </c>
      <c r="AF171" s="374">
        <f t="shared" si="111"/>
        <v>15.811135607703358</v>
      </c>
      <c r="AG171" s="354">
        <f t="shared" si="96"/>
        <v>1.0161295438153319</v>
      </c>
      <c r="AH171" s="354">
        <f t="shared" si="112"/>
        <v>5.1125562219189291</v>
      </c>
      <c r="AI171" s="354">
        <f t="shared" si="113"/>
        <v>0</v>
      </c>
      <c r="AJ171" s="354">
        <f t="shared" si="114"/>
        <v>9.6824498419690972</v>
      </c>
      <c r="AK171" s="374">
        <f t="shared" si="115"/>
        <v>10.443145035622983</v>
      </c>
      <c r="AL171" s="354">
        <f t="shared" si="97"/>
        <v>2.9920303743414474</v>
      </c>
      <c r="AM171" s="354">
        <f t="shared" si="116"/>
        <v>7.0568901959985215</v>
      </c>
      <c r="AN171" s="354">
        <f t="shared" si="117"/>
        <v>0.39422446528301452</v>
      </c>
      <c r="AO171" s="374">
        <f t="shared" si="118"/>
        <v>6.0554073233173975</v>
      </c>
      <c r="AP171" s="354">
        <f t="shared" si="98"/>
        <v>1.3885685922477802</v>
      </c>
      <c r="AQ171" s="354">
        <f t="shared" si="119"/>
        <v>4.6668387310696176</v>
      </c>
      <c r="AR171" s="374">
        <f t="shared" si="120"/>
        <v>11.046826053348042</v>
      </c>
      <c r="AS171" s="354">
        <f t="shared" si="99"/>
        <v>4.7869647480072555</v>
      </c>
      <c r="AT171" s="354">
        <f t="shared" si="121"/>
        <v>6.2598613053407872</v>
      </c>
      <c r="AU171" s="355" t="s">
        <v>396</v>
      </c>
      <c r="AV171" s="354" t="s">
        <v>397</v>
      </c>
      <c r="AW171" s="378">
        <v>0</v>
      </c>
      <c r="AX171" s="378">
        <v>0</v>
      </c>
      <c r="AY171" s="373">
        <v>0</v>
      </c>
      <c r="AZ171" s="373">
        <v>0</v>
      </c>
      <c r="BA171" s="373">
        <v>0</v>
      </c>
      <c r="BB171" s="373">
        <v>0</v>
      </c>
    </row>
    <row r="172" spans="1:54" x14ac:dyDescent="0.25">
      <c r="A172" s="348" t="s">
        <v>596</v>
      </c>
      <c r="B172" s="349">
        <v>23</v>
      </c>
      <c r="C172" s="423">
        <v>45017</v>
      </c>
      <c r="D172" s="351">
        <v>45049</v>
      </c>
      <c r="E172" s="352"/>
      <c r="F172" s="352">
        <v>6</v>
      </c>
      <c r="G172" s="352" t="s">
        <v>339</v>
      </c>
      <c r="H172" s="424" t="s">
        <v>598</v>
      </c>
      <c r="I172" s="350" t="s">
        <v>393</v>
      </c>
      <c r="J172" s="375">
        <f>300000*20%</f>
        <v>60000</v>
      </c>
      <c r="K172" s="350" t="s">
        <v>394</v>
      </c>
      <c r="L172" s="426">
        <v>2050.46</v>
      </c>
      <c r="M172" s="375">
        <f t="shared" si="122"/>
        <v>29.261726636949756</v>
      </c>
      <c r="N172" s="354" t="s">
        <v>395</v>
      </c>
      <c r="O172" s="354">
        <v>0</v>
      </c>
      <c r="P172" s="374">
        <f t="shared" si="91"/>
        <v>1.8437268177958728</v>
      </c>
      <c r="Q172" s="354">
        <f t="shared" si="92"/>
        <v>0.17389156537359915</v>
      </c>
      <c r="R172" s="354">
        <f t="shared" si="100"/>
        <v>0.29313060325547358</v>
      </c>
      <c r="S172" s="354">
        <f t="shared" si="101"/>
        <v>0.26111681632360584</v>
      </c>
      <c r="T172" s="354">
        <f t="shared" si="102"/>
        <v>1.1142852175279854</v>
      </c>
      <c r="U172" s="374">
        <f t="shared" si="103"/>
        <v>7.3996757081041498</v>
      </c>
      <c r="V172" s="354">
        <f t="shared" si="93"/>
        <v>0.19587471526670064</v>
      </c>
      <c r="W172" s="354">
        <f t="shared" si="104"/>
        <v>6.6816922248956789</v>
      </c>
      <c r="X172" s="354">
        <f t="shared" si="105"/>
        <v>0.52210876794177075</v>
      </c>
      <c r="Y172" s="374">
        <f t="shared" si="106"/>
        <v>1.0847811427352387</v>
      </c>
      <c r="Z172" s="354">
        <f t="shared" si="94"/>
        <v>0.55959522903628289</v>
      </c>
      <c r="AA172" s="354">
        <f t="shared" si="107"/>
        <v>0.52518591369895584</v>
      </c>
      <c r="AB172" s="374">
        <f t="shared" si="108"/>
        <v>5.9265887623169604</v>
      </c>
      <c r="AC172" s="354">
        <f t="shared" si="95"/>
        <v>1.6819219079729146</v>
      </c>
      <c r="AD172" s="354">
        <f t="shared" si="109"/>
        <v>3.6611703840379524</v>
      </c>
      <c r="AE172" s="354">
        <f t="shared" si="110"/>
        <v>0.5834964703060932</v>
      </c>
      <c r="AF172" s="374">
        <f t="shared" si="111"/>
        <v>4.7433406823110076</v>
      </c>
      <c r="AG172" s="354">
        <f t="shared" si="96"/>
        <v>0.30483886314459957</v>
      </c>
      <c r="AH172" s="354">
        <f t="shared" si="112"/>
        <v>1.533766866575679</v>
      </c>
      <c r="AI172" s="354">
        <f t="shared" si="113"/>
        <v>0</v>
      </c>
      <c r="AJ172" s="354">
        <f t="shared" si="114"/>
        <v>2.9047349525907293</v>
      </c>
      <c r="AK172" s="374">
        <f t="shared" si="115"/>
        <v>3.132943510686895</v>
      </c>
      <c r="AL172" s="354">
        <f t="shared" si="97"/>
        <v>0.89760911230243423</v>
      </c>
      <c r="AM172" s="354">
        <f t="shared" si="116"/>
        <v>2.1170670587995564</v>
      </c>
      <c r="AN172" s="354">
        <f t="shared" si="117"/>
        <v>0.11826733958490436</v>
      </c>
      <c r="AO172" s="374">
        <f t="shared" si="118"/>
        <v>1.8166221969952192</v>
      </c>
      <c r="AP172" s="354">
        <f t="shared" si="98"/>
        <v>0.41657057767433403</v>
      </c>
      <c r="AQ172" s="354">
        <f t="shared" si="119"/>
        <v>1.4000516193208852</v>
      </c>
      <c r="AR172" s="374">
        <f t="shared" si="120"/>
        <v>3.3140478160044125</v>
      </c>
      <c r="AS172" s="354">
        <f t="shared" si="99"/>
        <v>1.4360894244021767</v>
      </c>
      <c r="AT172" s="354">
        <f t="shared" si="121"/>
        <v>1.877958391602236</v>
      </c>
      <c r="AU172" s="355" t="s">
        <v>396</v>
      </c>
      <c r="AV172" s="354" t="s">
        <v>397</v>
      </c>
      <c r="AW172" s="378">
        <v>0</v>
      </c>
      <c r="AX172" s="378">
        <v>0</v>
      </c>
      <c r="AY172" s="373">
        <v>0</v>
      </c>
      <c r="AZ172" s="373">
        <v>0</v>
      </c>
      <c r="BA172" s="373">
        <v>0</v>
      </c>
      <c r="BB172" s="373">
        <v>0</v>
      </c>
    </row>
    <row r="173" spans="1:54" x14ac:dyDescent="0.25">
      <c r="A173" s="348" t="s">
        <v>599</v>
      </c>
      <c r="B173" s="349">
        <v>24</v>
      </c>
      <c r="C173" s="423">
        <v>45017</v>
      </c>
      <c r="D173" s="351">
        <v>45051</v>
      </c>
      <c r="E173" s="352"/>
      <c r="F173" s="352">
        <v>6</v>
      </c>
      <c r="G173" s="352" t="s">
        <v>337</v>
      </c>
      <c r="H173" s="424" t="s">
        <v>600</v>
      </c>
      <c r="I173" s="350" t="s">
        <v>393</v>
      </c>
      <c r="J173" s="375">
        <f>100000*30%</f>
        <v>30000</v>
      </c>
      <c r="K173" s="350" t="s">
        <v>394</v>
      </c>
      <c r="L173" s="426">
        <v>2050.46</v>
      </c>
      <c r="M173" s="375">
        <f t="shared" si="122"/>
        <v>14.630863318474878</v>
      </c>
      <c r="N173" s="354" t="s">
        <v>395</v>
      </c>
      <c r="O173" s="354">
        <v>0</v>
      </c>
      <c r="P173" s="374">
        <f t="shared" si="91"/>
        <v>0.92186340889793639</v>
      </c>
      <c r="Q173" s="354">
        <f t="shared" si="92"/>
        <v>8.6945782686799575E-2</v>
      </c>
      <c r="R173" s="354">
        <f t="shared" si="100"/>
        <v>0.14656530162773679</v>
      </c>
      <c r="S173" s="354">
        <f t="shared" si="101"/>
        <v>0.13055840816180292</v>
      </c>
      <c r="T173" s="354">
        <f t="shared" si="102"/>
        <v>0.55714260876399269</v>
      </c>
      <c r="U173" s="374">
        <f t="shared" si="103"/>
        <v>3.6998378540520749</v>
      </c>
      <c r="V173" s="354">
        <f t="shared" si="93"/>
        <v>9.7937357633350319E-2</v>
      </c>
      <c r="W173" s="354">
        <f t="shared" si="104"/>
        <v>3.3408461124478395</v>
      </c>
      <c r="X173" s="354">
        <f t="shared" si="105"/>
        <v>0.26105438397088537</v>
      </c>
      <c r="Y173" s="374">
        <f t="shared" si="106"/>
        <v>0.54239057136761937</v>
      </c>
      <c r="Z173" s="354">
        <f t="shared" si="94"/>
        <v>0.27979761451814145</v>
      </c>
      <c r="AA173" s="354">
        <f t="shared" si="107"/>
        <v>0.26259295684947792</v>
      </c>
      <c r="AB173" s="374">
        <f t="shared" si="108"/>
        <v>2.9632943811584802</v>
      </c>
      <c r="AC173" s="354">
        <f t="shared" si="95"/>
        <v>0.84096095398645732</v>
      </c>
      <c r="AD173" s="354">
        <f t="shared" si="109"/>
        <v>1.8305851920189762</v>
      </c>
      <c r="AE173" s="354">
        <f t="shared" si="110"/>
        <v>0.2917482351530466</v>
      </c>
      <c r="AF173" s="374">
        <f t="shared" si="111"/>
        <v>2.3716703411555038</v>
      </c>
      <c r="AG173" s="354">
        <f t="shared" si="96"/>
        <v>0.15241943157229979</v>
      </c>
      <c r="AH173" s="354">
        <f t="shared" si="112"/>
        <v>0.76688343328783948</v>
      </c>
      <c r="AI173" s="354">
        <f t="shared" si="113"/>
        <v>0</v>
      </c>
      <c r="AJ173" s="354">
        <f t="shared" si="114"/>
        <v>1.4523674762953647</v>
      </c>
      <c r="AK173" s="374">
        <f t="shared" si="115"/>
        <v>1.5664717553434475</v>
      </c>
      <c r="AL173" s="354">
        <f t="shared" si="97"/>
        <v>0.44880455615121712</v>
      </c>
      <c r="AM173" s="354">
        <f t="shared" si="116"/>
        <v>1.0585335293997782</v>
      </c>
      <c r="AN173" s="354">
        <f t="shared" si="117"/>
        <v>5.913366979245218E-2</v>
      </c>
      <c r="AO173" s="374">
        <f t="shared" si="118"/>
        <v>0.9083110984976096</v>
      </c>
      <c r="AP173" s="354">
        <f t="shared" si="98"/>
        <v>0.20828528883716702</v>
      </c>
      <c r="AQ173" s="354">
        <f t="shared" si="119"/>
        <v>0.70002580966044259</v>
      </c>
      <c r="AR173" s="374">
        <f t="shared" si="120"/>
        <v>1.6570239080022062</v>
      </c>
      <c r="AS173" s="354">
        <f t="shared" si="99"/>
        <v>0.71804471220108834</v>
      </c>
      <c r="AT173" s="354">
        <f t="shared" si="121"/>
        <v>0.93897919580111799</v>
      </c>
      <c r="AU173" s="355" t="s">
        <v>396</v>
      </c>
      <c r="AV173" s="354" t="s">
        <v>397</v>
      </c>
      <c r="AW173" s="378">
        <v>0</v>
      </c>
      <c r="AX173" s="378">
        <v>0</v>
      </c>
      <c r="AY173" s="373">
        <v>0</v>
      </c>
      <c r="AZ173" s="373">
        <v>0</v>
      </c>
      <c r="BA173" s="373">
        <v>0</v>
      </c>
      <c r="BB173" s="373">
        <v>0</v>
      </c>
    </row>
    <row r="174" spans="1:54" x14ac:dyDescent="0.25">
      <c r="A174" s="348" t="s">
        <v>601</v>
      </c>
      <c r="B174" s="349">
        <v>25</v>
      </c>
      <c r="C174" s="423">
        <v>45047</v>
      </c>
      <c r="D174" s="351">
        <v>45062</v>
      </c>
      <c r="E174" s="352"/>
      <c r="F174" s="352">
        <v>6</v>
      </c>
      <c r="G174" s="352" t="s">
        <v>338</v>
      </c>
      <c r="H174" s="424" t="s">
        <v>602</v>
      </c>
      <c r="I174" s="350" t="s">
        <v>393</v>
      </c>
      <c r="J174" s="375">
        <f>350000*20%</f>
        <v>70000</v>
      </c>
      <c r="K174" s="350" t="s">
        <v>394</v>
      </c>
      <c r="L174" s="354">
        <v>2054.29</v>
      </c>
      <c r="M174" s="375">
        <f t="shared" si="122"/>
        <v>34.075033223157391</v>
      </c>
      <c r="N174" s="354" t="s">
        <v>395</v>
      </c>
      <c r="O174" s="354">
        <v>0</v>
      </c>
      <c r="P174" s="374">
        <f t="shared" si="91"/>
        <v>2.147004288239414</v>
      </c>
      <c r="Q174" s="354">
        <f t="shared" si="92"/>
        <v>0.20249525740050095</v>
      </c>
      <c r="R174" s="354">
        <f t="shared" si="100"/>
        <v>0.34134810869436871</v>
      </c>
      <c r="S174" s="354">
        <f t="shared" si="101"/>
        <v>0.30406832452999216</v>
      </c>
      <c r="T174" s="354">
        <f t="shared" si="102"/>
        <v>1.297575713095281</v>
      </c>
      <c r="U174" s="374">
        <f t="shared" si="103"/>
        <v>8.616859788302742</v>
      </c>
      <c r="V174" s="354">
        <f t="shared" si="93"/>
        <v>0.22809444955518393</v>
      </c>
      <c r="W174" s="354">
        <f t="shared" si="104"/>
        <v>7.7807740935811687</v>
      </c>
      <c r="X174" s="354">
        <f t="shared" si="105"/>
        <v>0.60799124516639014</v>
      </c>
      <c r="Y174" s="374">
        <f t="shared" si="106"/>
        <v>1.2632184674940639</v>
      </c>
      <c r="Z174" s="354">
        <f t="shared" si="94"/>
        <v>0.65164391211466055</v>
      </c>
      <c r="AA174" s="354">
        <f t="shared" si="107"/>
        <v>0.61157455537940331</v>
      </c>
      <c r="AB174" s="374">
        <f t="shared" si="108"/>
        <v>6.9014624967801561</v>
      </c>
      <c r="AC174" s="354">
        <f t="shared" si="95"/>
        <v>1.9585838390194015</v>
      </c>
      <c r="AD174" s="354">
        <f t="shared" si="109"/>
        <v>4.2634019523031652</v>
      </c>
      <c r="AE174" s="354">
        <f t="shared" si="110"/>
        <v>0.67947670545758898</v>
      </c>
      <c r="AF174" s="374">
        <f t="shared" si="111"/>
        <v>5.5235801134990679</v>
      </c>
      <c r="AG174" s="354">
        <f t="shared" si="96"/>
        <v>0.35498227832684526</v>
      </c>
      <c r="AH174" s="354">
        <f t="shared" si="112"/>
        <v>1.786058546153932</v>
      </c>
      <c r="AI174" s="354">
        <f t="shared" si="113"/>
        <v>0</v>
      </c>
      <c r="AJ174" s="354">
        <f t="shared" si="114"/>
        <v>3.382539289018291</v>
      </c>
      <c r="AK174" s="374">
        <f t="shared" si="115"/>
        <v>3.6482862251241186</v>
      </c>
      <c r="AL174" s="354">
        <f t="shared" si="97"/>
        <v>1.0452582208355479</v>
      </c>
      <c r="AM174" s="354">
        <f t="shared" si="116"/>
        <v>2.4653066874445648</v>
      </c>
      <c r="AN174" s="354">
        <f t="shared" si="117"/>
        <v>0.13772131684400621</v>
      </c>
      <c r="AO174" s="374">
        <f t="shared" si="118"/>
        <v>2.1154411865215166</v>
      </c>
      <c r="AP174" s="354">
        <f t="shared" si="98"/>
        <v>0.48509291506122992</v>
      </c>
      <c r="AQ174" s="354">
        <f t="shared" si="119"/>
        <v>1.6303482714602868</v>
      </c>
      <c r="AR174" s="374">
        <f t="shared" si="120"/>
        <v>3.8591806571963105</v>
      </c>
      <c r="AS174" s="354">
        <f t="shared" si="99"/>
        <v>1.6723139907314133</v>
      </c>
      <c r="AT174" s="354">
        <f t="shared" si="121"/>
        <v>2.1868666664648977</v>
      </c>
      <c r="AU174" s="355" t="s">
        <v>396</v>
      </c>
      <c r="AV174" s="354" t="s">
        <v>397</v>
      </c>
      <c r="AW174" s="378">
        <v>0</v>
      </c>
      <c r="AX174" s="378">
        <v>0</v>
      </c>
      <c r="AY174" s="373">
        <v>0</v>
      </c>
      <c r="AZ174" s="373">
        <v>0</v>
      </c>
      <c r="BA174" s="373">
        <v>0</v>
      </c>
      <c r="BB174" s="373">
        <v>0</v>
      </c>
    </row>
    <row r="175" spans="1:54" x14ac:dyDescent="0.25">
      <c r="A175" s="348" t="s">
        <v>601</v>
      </c>
      <c r="B175" s="349">
        <v>26</v>
      </c>
      <c r="C175" s="423">
        <v>45047</v>
      </c>
      <c r="D175" s="351">
        <v>45062</v>
      </c>
      <c r="E175" s="352"/>
      <c r="F175" s="352">
        <v>6</v>
      </c>
      <c r="G175" s="352" t="s">
        <v>335</v>
      </c>
      <c r="H175" s="424" t="s">
        <v>603</v>
      </c>
      <c r="I175" s="350" t="s">
        <v>393</v>
      </c>
      <c r="J175" s="375">
        <f>1000000*20%</f>
        <v>200000</v>
      </c>
      <c r="K175" s="350" t="s">
        <v>394</v>
      </c>
      <c r="L175" s="354">
        <v>2054.29</v>
      </c>
      <c r="M175" s="375">
        <f t="shared" si="122"/>
        <v>97.357237780449694</v>
      </c>
      <c r="N175" s="354" t="s">
        <v>395</v>
      </c>
      <c r="O175" s="354">
        <v>0</v>
      </c>
      <c r="P175" s="374">
        <f t="shared" si="91"/>
        <v>6.1342979663983268</v>
      </c>
      <c r="Q175" s="354">
        <f t="shared" si="92"/>
        <v>0.57855787828714567</v>
      </c>
      <c r="R175" s="354">
        <f t="shared" si="100"/>
        <v>0.97528031055533937</v>
      </c>
      <c r="S175" s="354">
        <f t="shared" si="101"/>
        <v>0.86876664151426353</v>
      </c>
      <c r="T175" s="354">
        <f t="shared" si="102"/>
        <v>3.7073591802722317</v>
      </c>
      <c r="U175" s="374">
        <f t="shared" si="103"/>
        <v>24.619599395150694</v>
      </c>
      <c r="V175" s="354">
        <f t="shared" si="93"/>
        <v>0.65169842730052563</v>
      </c>
      <c r="W175" s="354">
        <f t="shared" si="104"/>
        <v>22.230783124517625</v>
      </c>
      <c r="X175" s="354">
        <f t="shared" si="105"/>
        <v>1.7371178433325436</v>
      </c>
      <c r="Y175" s="374">
        <f t="shared" si="106"/>
        <v>3.6091956214116112</v>
      </c>
      <c r="Z175" s="354">
        <f t="shared" si="94"/>
        <v>1.8618397488990301</v>
      </c>
      <c r="AA175" s="354">
        <f t="shared" si="107"/>
        <v>1.7473558725125808</v>
      </c>
      <c r="AB175" s="374">
        <f t="shared" si="108"/>
        <v>19.71846427651473</v>
      </c>
      <c r="AC175" s="354">
        <f t="shared" si="95"/>
        <v>5.5959538257697181</v>
      </c>
      <c r="AD175" s="354">
        <f t="shared" si="109"/>
        <v>12.181148435151901</v>
      </c>
      <c r="AE175" s="354">
        <f t="shared" si="110"/>
        <v>1.9413620155931111</v>
      </c>
      <c r="AF175" s="374">
        <f t="shared" si="111"/>
        <v>15.781657467140194</v>
      </c>
      <c r="AG175" s="354">
        <f t="shared" si="96"/>
        <v>1.0142350809338436</v>
      </c>
      <c r="AH175" s="354">
        <f t="shared" si="112"/>
        <v>5.1030244175826631</v>
      </c>
      <c r="AI175" s="354">
        <f t="shared" si="113"/>
        <v>0</v>
      </c>
      <c r="AJ175" s="354">
        <f t="shared" si="114"/>
        <v>9.6643979686236889</v>
      </c>
      <c r="AK175" s="374">
        <f t="shared" si="115"/>
        <v>10.423674928926054</v>
      </c>
      <c r="AL175" s="354">
        <f t="shared" si="97"/>
        <v>2.9864520595301371</v>
      </c>
      <c r="AM175" s="354">
        <f t="shared" si="116"/>
        <v>7.0437333926987575</v>
      </c>
      <c r="AN175" s="354">
        <f t="shared" si="117"/>
        <v>0.39348947669716061</v>
      </c>
      <c r="AO175" s="374">
        <f t="shared" si="118"/>
        <v>6.0441176757757624</v>
      </c>
      <c r="AP175" s="354">
        <f t="shared" si="98"/>
        <v>1.3859797573177999</v>
      </c>
      <c r="AQ175" s="354">
        <f t="shared" si="119"/>
        <v>4.658137918457963</v>
      </c>
      <c r="AR175" s="374">
        <f t="shared" si="120"/>
        <v>11.026230449132317</v>
      </c>
      <c r="AS175" s="354">
        <f t="shared" si="99"/>
        <v>4.7780399735183243</v>
      </c>
      <c r="AT175" s="354">
        <f t="shared" si="121"/>
        <v>6.2481904756139937</v>
      </c>
      <c r="AU175" s="355" t="s">
        <v>396</v>
      </c>
      <c r="AV175" s="354" t="s">
        <v>397</v>
      </c>
      <c r="AW175" s="378">
        <v>0</v>
      </c>
      <c r="AX175" s="378">
        <v>0</v>
      </c>
      <c r="AY175" s="373">
        <v>0</v>
      </c>
      <c r="AZ175" s="373">
        <v>0</v>
      </c>
      <c r="BA175" s="373">
        <v>0</v>
      </c>
      <c r="BB175" s="373">
        <v>0</v>
      </c>
    </row>
    <row r="176" spans="1:54" x14ac:dyDescent="0.25">
      <c r="A176" s="348" t="s">
        <v>617</v>
      </c>
      <c r="B176" s="349">
        <v>1</v>
      </c>
      <c r="C176" s="423">
        <v>45047</v>
      </c>
      <c r="D176" s="351">
        <v>45065</v>
      </c>
      <c r="E176" s="352"/>
      <c r="F176" s="352">
        <v>6</v>
      </c>
      <c r="G176" s="427" t="s">
        <v>343</v>
      </c>
      <c r="H176" s="350" t="s">
        <v>618</v>
      </c>
      <c r="I176" s="350" t="s">
        <v>393</v>
      </c>
      <c r="J176" s="375">
        <v>20000</v>
      </c>
      <c r="K176" s="350" t="s">
        <v>394</v>
      </c>
      <c r="L176" s="353">
        <v>2054.29</v>
      </c>
      <c r="M176" s="375">
        <f>+J176/L176</f>
        <v>9.735723778044969</v>
      </c>
      <c r="N176" s="354" t="s">
        <v>395</v>
      </c>
      <c r="O176" s="354">
        <v>0</v>
      </c>
      <c r="P176" s="374">
        <f t="shared" si="91"/>
        <v>0.61342979663983266</v>
      </c>
      <c r="Q176" s="354">
        <f t="shared" si="92"/>
        <v>5.7855787828714561E-2</v>
      </c>
      <c r="R176" s="354">
        <f t="shared" si="100"/>
        <v>9.7528031055533926E-2</v>
      </c>
      <c r="S176" s="354">
        <f t="shared" si="101"/>
        <v>8.687666415142635E-2</v>
      </c>
      <c r="T176" s="354">
        <f t="shared" si="102"/>
        <v>0.37073591802722317</v>
      </c>
      <c r="U176" s="374">
        <f t="shared" si="103"/>
        <v>2.4619599395150691</v>
      </c>
      <c r="V176" s="354">
        <f t="shared" si="93"/>
        <v>6.5169842730052552E-2</v>
      </c>
      <c r="W176" s="354">
        <f t="shared" si="104"/>
        <v>2.2230783124517624</v>
      </c>
      <c r="X176" s="354">
        <f t="shared" si="105"/>
        <v>0.17371178433325432</v>
      </c>
      <c r="Y176" s="374">
        <f t="shared" si="106"/>
        <v>0.36091956214116111</v>
      </c>
      <c r="Z176" s="354">
        <f t="shared" si="94"/>
        <v>0.18618397488990301</v>
      </c>
      <c r="AA176" s="354">
        <f t="shared" si="107"/>
        <v>0.17473558725125807</v>
      </c>
      <c r="AB176" s="374">
        <f t="shared" si="108"/>
        <v>1.9718464276514731</v>
      </c>
      <c r="AC176" s="354">
        <f t="shared" si="95"/>
        <v>0.55959538257697183</v>
      </c>
      <c r="AD176" s="354">
        <f t="shared" si="109"/>
        <v>1.2181148435151901</v>
      </c>
      <c r="AE176" s="354">
        <f t="shared" si="110"/>
        <v>0.19413620155931113</v>
      </c>
      <c r="AF176" s="374">
        <f t="shared" si="111"/>
        <v>1.5781657467140193</v>
      </c>
      <c r="AG176" s="354">
        <f t="shared" si="96"/>
        <v>0.10142350809338435</v>
      </c>
      <c r="AH176" s="354">
        <f t="shared" si="112"/>
        <v>0.51030244175826622</v>
      </c>
      <c r="AI176" s="354">
        <f t="shared" si="113"/>
        <v>0</v>
      </c>
      <c r="AJ176" s="354">
        <f t="shared" si="114"/>
        <v>0.96643979686236881</v>
      </c>
      <c r="AK176" s="374">
        <f t="shared" si="115"/>
        <v>1.0423674928926052</v>
      </c>
      <c r="AL176" s="354">
        <f t="shared" si="97"/>
        <v>0.29864520595301364</v>
      </c>
      <c r="AM176" s="354">
        <f t="shared" si="116"/>
        <v>0.70437333926987555</v>
      </c>
      <c r="AN176" s="354">
        <f t="shared" si="117"/>
        <v>3.9348947669716056E-2</v>
      </c>
      <c r="AO176" s="374">
        <f t="shared" si="118"/>
        <v>0.6044117675775762</v>
      </c>
      <c r="AP176" s="354">
        <f t="shared" si="98"/>
        <v>0.13859797573177998</v>
      </c>
      <c r="AQ176" s="354">
        <f t="shared" si="119"/>
        <v>0.46581379184579624</v>
      </c>
      <c r="AR176" s="374">
        <f t="shared" si="120"/>
        <v>1.1026230449132317</v>
      </c>
      <c r="AS176" s="354">
        <f t="shared" si="99"/>
        <v>0.47780399735183243</v>
      </c>
      <c r="AT176" s="354">
        <f t="shared" si="121"/>
        <v>0.62481904756139939</v>
      </c>
      <c r="AU176" s="355" t="s">
        <v>396</v>
      </c>
      <c r="AV176" s="354" t="s">
        <v>344</v>
      </c>
      <c r="AW176" s="378">
        <v>0</v>
      </c>
      <c r="AX176" s="378">
        <v>0</v>
      </c>
      <c r="AY176" s="373">
        <v>0</v>
      </c>
      <c r="AZ176" s="373">
        <v>0</v>
      </c>
      <c r="BA176" s="373">
        <v>0</v>
      </c>
      <c r="BB176" s="373">
        <v>0</v>
      </c>
    </row>
    <row r="177" spans="1:54" x14ac:dyDescent="0.25">
      <c r="A177" s="348" t="s">
        <v>621</v>
      </c>
      <c r="B177" s="349">
        <v>5055</v>
      </c>
      <c r="C177" s="350" t="s">
        <v>628</v>
      </c>
      <c r="D177" s="351">
        <v>45107</v>
      </c>
      <c r="E177" s="352">
        <v>3600</v>
      </c>
      <c r="F177" s="352">
        <v>7</v>
      </c>
      <c r="G177" s="427"/>
      <c r="H177" s="350" t="s">
        <v>629</v>
      </c>
      <c r="I177" s="350" t="s">
        <v>393</v>
      </c>
      <c r="J177" s="375">
        <v>43</v>
      </c>
      <c r="K177" s="350" t="s">
        <v>395</v>
      </c>
      <c r="L177" s="354">
        <v>0</v>
      </c>
      <c r="M177" s="354">
        <v>43</v>
      </c>
      <c r="N177" s="354" t="s">
        <v>395</v>
      </c>
      <c r="O177" s="354">
        <v>34.69</v>
      </c>
      <c r="P177" s="374">
        <f t="shared" si="91"/>
        <v>2.7093497984193697</v>
      </c>
      <c r="Q177" s="354">
        <f t="shared" si="92"/>
        <v>0.25553301771409759</v>
      </c>
      <c r="R177" s="354">
        <f t="shared" ref="R177:R240" si="123">P177*$R$2</f>
        <v>0.43075434667170648</v>
      </c>
      <c r="S177" s="354">
        <f t="shared" ref="S177:S240" si="124">P177*$S$2</f>
        <v>0.38371020415921225</v>
      </c>
      <c r="T177" s="354">
        <f t="shared" ref="T177:T240" si="125">P177*$T$2</f>
        <v>1.6374380414449101</v>
      </c>
      <c r="U177" s="374">
        <f t="shared" si="103"/>
        <v>10.873796320914785</v>
      </c>
      <c r="V177" s="354">
        <f t="shared" ref="V177:V240" si="126">U177*$V$2</f>
        <v>0.28783717587712732</v>
      </c>
      <c r="W177" s="354">
        <f t="shared" ref="W177:W240" si="127">U177*$W$2</f>
        <v>9.8187222249460415</v>
      </c>
      <c r="X177" s="354">
        <f t="shared" ref="X177:X205" si="128">U177*$X$2</f>
        <v>0.76723692009161626</v>
      </c>
      <c r="Y177" s="374">
        <f t="shared" si="106"/>
        <v>1.5940819117185765</v>
      </c>
      <c r="Z177" s="354">
        <f t="shared" ref="Z177:Z240" si="129">Y177*$Z$2</f>
        <v>0.82232313721964445</v>
      </c>
      <c r="AA177" s="354">
        <f t="shared" ref="AA177:AA205" si="130">Y177*$AA$2</f>
        <v>0.77175877449893193</v>
      </c>
      <c r="AB177" s="374">
        <f t="shared" si="108"/>
        <v>8.7091004553993105</v>
      </c>
      <c r="AC177" s="354">
        <f t="shared" ref="AC177:AC240" si="131">AB177*$AC$2</f>
        <v>2.4715780767192017</v>
      </c>
      <c r="AD177" s="354">
        <f t="shared" ref="AD177:AD240" si="132">AB177*$AD$2</f>
        <v>5.3800764550523628</v>
      </c>
      <c r="AE177" s="354">
        <f t="shared" ref="AE177:AE240" si="133">AB177*$AE$2</f>
        <v>0.85744592362774608</v>
      </c>
      <c r="AF177" s="374">
        <f t="shared" si="111"/>
        <v>6.9703217404068569</v>
      </c>
      <c r="AG177" s="354">
        <f t="shared" ref="AG177:AG240" si="134">AF177*$AG$2</f>
        <v>0.44795959164849086</v>
      </c>
      <c r="AH177" s="354">
        <f t="shared" ref="AH177:AH240" si="135">AF177*$AH$2</f>
        <v>2.2538647866211159</v>
      </c>
      <c r="AI177" s="354">
        <f t="shared" ref="AI177:AI205" si="136">AF177*$AI$2</f>
        <v>0</v>
      </c>
      <c r="AJ177" s="354">
        <f t="shared" ref="AJ177:AJ205" si="137">AF177*$AJ$2</f>
        <v>4.2684973621372508</v>
      </c>
      <c r="AK177" s="374">
        <f t="shared" si="115"/>
        <v>4.6038490014948534</v>
      </c>
      <c r="AL177" s="354">
        <f t="shared" ref="AL177:AL240" si="138">AK177*$AL$2</f>
        <v>1.3190332992950156</v>
      </c>
      <c r="AM177" s="354">
        <f t="shared" ref="AM177:AM240" si="139">AK177*$AM$2</f>
        <v>3.1110222803267331</v>
      </c>
      <c r="AN177" s="354">
        <f t="shared" ref="AN177:AN240" si="140">AK177*$AN$2</f>
        <v>0.17379342187310517</v>
      </c>
      <c r="AO177" s="374">
        <f t="shared" si="118"/>
        <v>2.6695196575364188</v>
      </c>
      <c r="AP177" s="354">
        <f t="shared" ref="AP177:AP240" si="141">AO177*$AP$2</f>
        <v>0.61214893646698232</v>
      </c>
      <c r="AQ177" s="354">
        <f t="shared" ref="AQ177:AQ205" si="142">AO177*$AQ$2</f>
        <v>2.0573707210694367</v>
      </c>
      <c r="AR177" s="374">
        <f t="shared" si="120"/>
        <v>4.8699811141098257</v>
      </c>
      <c r="AS177" s="354">
        <f t="shared" ref="AS177:AS205" si="143">AR177*$AS$2</f>
        <v>2.1103281434977759</v>
      </c>
      <c r="AT177" s="354">
        <f t="shared" ref="AT177:AT240" si="144">AR177*$AT$2</f>
        <v>2.7596529706120503</v>
      </c>
      <c r="AU177" s="355" t="s">
        <v>396</v>
      </c>
      <c r="AV177" s="354" t="s">
        <v>404</v>
      </c>
      <c r="AW177" s="355" t="s">
        <v>405</v>
      </c>
      <c r="AX177" s="355">
        <v>0</v>
      </c>
      <c r="AY177" s="350" t="s">
        <v>410</v>
      </c>
      <c r="AZ177" s="351">
        <v>45112</v>
      </c>
      <c r="BA177" s="351">
        <v>45112</v>
      </c>
      <c r="BB177" s="350" t="s">
        <v>407</v>
      </c>
    </row>
    <row r="178" spans="1:54" x14ac:dyDescent="0.25">
      <c r="A178" s="348" t="s">
        <v>622</v>
      </c>
      <c r="B178" s="349">
        <v>4990</v>
      </c>
      <c r="C178" s="350" t="s">
        <v>628</v>
      </c>
      <c r="D178" s="351">
        <v>45103</v>
      </c>
      <c r="E178" s="352">
        <v>3420</v>
      </c>
      <c r="F178" s="352">
        <v>7</v>
      </c>
      <c r="G178" s="427"/>
      <c r="H178" s="350" t="s">
        <v>630</v>
      </c>
      <c r="I178" s="350" t="s">
        <v>393</v>
      </c>
      <c r="J178" s="375">
        <v>50000</v>
      </c>
      <c r="K178" s="350" t="s">
        <v>394</v>
      </c>
      <c r="L178" s="354">
        <v>0</v>
      </c>
      <c r="M178" s="354">
        <v>17.91</v>
      </c>
      <c r="N178" s="354" t="s">
        <v>395</v>
      </c>
      <c r="O178" s="354">
        <v>14.45</v>
      </c>
      <c r="P178" s="374">
        <f t="shared" si="91"/>
        <v>1.1284756951090911</v>
      </c>
      <c r="Q178" s="354">
        <f t="shared" si="92"/>
        <v>0.10643247319208111</v>
      </c>
      <c r="R178" s="354">
        <f t="shared" si="123"/>
        <v>0.17941419416023868</v>
      </c>
      <c r="S178" s="354">
        <f t="shared" si="124"/>
        <v>0.15981976177887192</v>
      </c>
      <c r="T178" s="354">
        <f t="shared" si="125"/>
        <v>0.6820119842390312</v>
      </c>
      <c r="U178" s="374">
        <f t="shared" si="103"/>
        <v>4.5290626071531115</v>
      </c>
      <c r="V178" s="354">
        <f t="shared" si="126"/>
        <v>0.11988753069672906</v>
      </c>
      <c r="W178" s="354">
        <f t="shared" si="127"/>
        <v>4.0896119778786888</v>
      </c>
      <c r="X178" s="354">
        <f t="shared" si="128"/>
        <v>0.3195630985776941</v>
      </c>
      <c r="Y178" s="374">
        <f t="shared" si="106"/>
        <v>0.66395365206696988</v>
      </c>
      <c r="Z178" s="354">
        <f t="shared" si="129"/>
        <v>0.34250714854892633</v>
      </c>
      <c r="AA178" s="354">
        <f t="shared" si="130"/>
        <v>0.32144650351804349</v>
      </c>
      <c r="AB178" s="374">
        <f t="shared" si="108"/>
        <v>3.6274416082837599</v>
      </c>
      <c r="AC178" s="354">
        <f t="shared" si="131"/>
        <v>1.0294410082335097</v>
      </c>
      <c r="AD178" s="354">
        <f t="shared" si="132"/>
        <v>2.2408644025578566</v>
      </c>
      <c r="AE178" s="354">
        <f t="shared" si="133"/>
        <v>0.35713619749239384</v>
      </c>
      <c r="AF178" s="374">
        <f t="shared" si="111"/>
        <v>2.9032200551322513</v>
      </c>
      <c r="AG178" s="354">
        <f t="shared" si="134"/>
        <v>0.18658037875405747</v>
      </c>
      <c r="AH178" s="354">
        <f t="shared" si="135"/>
        <v>0.93876089135777174</v>
      </c>
      <c r="AI178" s="354">
        <f t="shared" si="136"/>
        <v>0</v>
      </c>
      <c r="AJ178" s="354">
        <f t="shared" si="137"/>
        <v>1.7778787850204223</v>
      </c>
      <c r="AK178" s="374">
        <f t="shared" si="115"/>
        <v>1.9175566422505306</v>
      </c>
      <c r="AL178" s="354">
        <f t="shared" si="138"/>
        <v>0.54939270675287732</v>
      </c>
      <c r="AM178" s="354">
        <f t="shared" si="139"/>
        <v>1.2957769544337623</v>
      </c>
      <c r="AN178" s="354">
        <f t="shared" si="140"/>
        <v>7.2386981063891007E-2</v>
      </c>
      <c r="AO178" s="374">
        <f t="shared" si="118"/>
        <v>1.1118859782901689</v>
      </c>
      <c r="AP178" s="354">
        <f t="shared" si="141"/>
        <v>0.2549671500493873</v>
      </c>
      <c r="AQ178" s="354">
        <f t="shared" si="142"/>
        <v>0.85691882824078158</v>
      </c>
      <c r="AR178" s="374">
        <f t="shared" si="120"/>
        <v>2.0284037617141157</v>
      </c>
      <c r="AS178" s="354">
        <f t="shared" si="143"/>
        <v>0.87897621046616659</v>
      </c>
      <c r="AT178" s="354">
        <f t="shared" si="144"/>
        <v>1.1494275512479493</v>
      </c>
      <c r="AU178" s="355" t="s">
        <v>396</v>
      </c>
      <c r="AV178" s="354" t="s">
        <v>404</v>
      </c>
      <c r="AW178" s="355" t="s">
        <v>405</v>
      </c>
      <c r="AX178" s="355">
        <v>0</v>
      </c>
      <c r="AY178" s="350" t="s">
        <v>410</v>
      </c>
      <c r="AZ178" s="351">
        <v>45111</v>
      </c>
      <c r="BA178" s="351">
        <v>45112</v>
      </c>
      <c r="BB178" s="350" t="s">
        <v>407</v>
      </c>
    </row>
    <row r="179" spans="1:54" x14ac:dyDescent="0.25">
      <c r="A179" s="348" t="s">
        <v>623</v>
      </c>
      <c r="B179" s="349">
        <v>5004</v>
      </c>
      <c r="C179" s="350" t="s">
        <v>628</v>
      </c>
      <c r="D179" s="351">
        <v>45079</v>
      </c>
      <c r="E179" s="352">
        <v>3170</v>
      </c>
      <c r="F179" s="352">
        <v>1</v>
      </c>
      <c r="G179" s="427"/>
      <c r="H179" s="350" t="s">
        <v>631</v>
      </c>
      <c r="I179" s="350" t="s">
        <v>393</v>
      </c>
      <c r="J179" s="375">
        <v>80000</v>
      </c>
      <c r="K179" s="350" t="s">
        <v>394</v>
      </c>
      <c r="L179" s="354">
        <v>0</v>
      </c>
      <c r="M179" s="354">
        <v>28.65</v>
      </c>
      <c r="N179" s="354" t="s">
        <v>395</v>
      </c>
      <c r="O179" s="354">
        <v>23.11</v>
      </c>
      <c r="P179" s="374">
        <f t="shared" si="91"/>
        <v>1.8051830633654637</v>
      </c>
      <c r="Q179" s="354">
        <f t="shared" si="92"/>
        <v>0.17025630133741618</v>
      </c>
      <c r="R179" s="354">
        <f t="shared" si="123"/>
        <v>0.28700260539870676</v>
      </c>
      <c r="S179" s="354">
        <f t="shared" si="124"/>
        <v>0.25565807788747513</v>
      </c>
      <c r="T179" s="354">
        <f t="shared" si="125"/>
        <v>1.0909906950557366</v>
      </c>
      <c r="U179" s="374">
        <f t="shared" si="103"/>
        <v>7.2449828975397343</v>
      </c>
      <c r="V179" s="354">
        <f t="shared" si="126"/>
        <v>0.19177988578789992</v>
      </c>
      <c r="W179" s="354">
        <f t="shared" si="127"/>
        <v>6.5420091103419553</v>
      </c>
      <c r="X179" s="354">
        <f t="shared" si="128"/>
        <v>0.51119390140987919</v>
      </c>
      <c r="Y179" s="374">
        <f t="shared" si="106"/>
        <v>1.0621034132729585</v>
      </c>
      <c r="Z179" s="354">
        <f t="shared" si="129"/>
        <v>0.54789669491494919</v>
      </c>
      <c r="AA179" s="354">
        <f t="shared" si="130"/>
        <v>0.51420671835800924</v>
      </c>
      <c r="AB179" s="374">
        <f t="shared" si="108"/>
        <v>5.8026913499346575</v>
      </c>
      <c r="AC179" s="354">
        <f t="shared" si="131"/>
        <v>1.6467607418140731</v>
      </c>
      <c r="AD179" s="354">
        <f t="shared" si="132"/>
        <v>3.5846323357500047</v>
      </c>
      <c r="AE179" s="354">
        <f t="shared" si="133"/>
        <v>0.57129827237057973</v>
      </c>
      <c r="AF179" s="374">
        <f t="shared" si="111"/>
        <v>4.6441794851780571</v>
      </c>
      <c r="AG179" s="354">
        <f t="shared" si="134"/>
        <v>0.29846610001695961</v>
      </c>
      <c r="AH179" s="354">
        <f t="shared" si="135"/>
        <v>1.5017029334115111</v>
      </c>
      <c r="AI179" s="354">
        <f t="shared" si="136"/>
        <v>0</v>
      </c>
      <c r="AJ179" s="354">
        <f t="shared" si="137"/>
        <v>2.844010451749587</v>
      </c>
      <c r="AK179" s="374">
        <f t="shared" si="115"/>
        <v>3.0674482300657564</v>
      </c>
      <c r="AL179" s="354">
        <f t="shared" si="138"/>
        <v>0.87884427964656253</v>
      </c>
      <c r="AM179" s="354">
        <f t="shared" si="139"/>
        <v>2.072809030961881</v>
      </c>
      <c r="AN179" s="354">
        <f t="shared" si="140"/>
        <v>0.11579491945731307</v>
      </c>
      <c r="AO179" s="374">
        <f t="shared" si="118"/>
        <v>1.7786450741492652</v>
      </c>
      <c r="AP179" s="354">
        <f t="shared" si="141"/>
        <v>0.40786202394834986</v>
      </c>
      <c r="AQ179" s="354">
        <f t="shared" si="142"/>
        <v>1.3707830502009153</v>
      </c>
      <c r="AR179" s="374">
        <f t="shared" si="120"/>
        <v>3.2447664864941048</v>
      </c>
      <c r="AS179" s="354">
        <f t="shared" si="143"/>
        <v>1.4060674723537507</v>
      </c>
      <c r="AT179" s="354">
        <f t="shared" si="144"/>
        <v>1.8386990141403543</v>
      </c>
      <c r="AU179" s="355" t="s">
        <v>396</v>
      </c>
      <c r="AV179" s="354" t="s">
        <v>404</v>
      </c>
      <c r="AW179" s="355" t="s">
        <v>405</v>
      </c>
      <c r="AX179" s="355">
        <v>0</v>
      </c>
      <c r="AY179" s="350" t="s">
        <v>410</v>
      </c>
      <c r="AZ179" s="351">
        <v>45112</v>
      </c>
      <c r="BA179" s="351">
        <v>45112</v>
      </c>
      <c r="BB179" s="350" t="s">
        <v>407</v>
      </c>
    </row>
    <row r="180" spans="1:54" x14ac:dyDescent="0.25">
      <c r="A180" s="348" t="s">
        <v>624</v>
      </c>
      <c r="B180" s="349">
        <v>4999</v>
      </c>
      <c r="C180" s="350" t="s">
        <v>628</v>
      </c>
      <c r="D180" s="351">
        <v>45107</v>
      </c>
      <c r="E180" s="352">
        <v>3420</v>
      </c>
      <c r="F180" s="352">
        <v>7</v>
      </c>
      <c r="G180" s="427"/>
      <c r="H180" s="350" t="s">
        <v>632</v>
      </c>
      <c r="I180" s="350" t="s">
        <v>393</v>
      </c>
      <c r="J180" s="375">
        <v>140000</v>
      </c>
      <c r="K180" s="350" t="s">
        <v>394</v>
      </c>
      <c r="L180" s="354">
        <v>0</v>
      </c>
      <c r="M180" s="354">
        <v>50.13</v>
      </c>
      <c r="N180" s="354" t="s">
        <v>395</v>
      </c>
      <c r="O180" s="354">
        <v>40.450000000000003</v>
      </c>
      <c r="P180" s="374">
        <f t="shared" si="91"/>
        <v>3.1585977998782098</v>
      </c>
      <c r="Q180" s="354">
        <f t="shared" si="92"/>
        <v>0.29790395762808636</v>
      </c>
      <c r="R180" s="354">
        <f t="shared" si="123"/>
        <v>0.50217942787564296</v>
      </c>
      <c r="S180" s="354">
        <f t="shared" si="124"/>
        <v>0.44733471010468173</v>
      </c>
      <c r="T180" s="354">
        <f t="shared" si="125"/>
        <v>1.9089481166891478</v>
      </c>
      <c r="U180" s="374">
        <f t="shared" si="103"/>
        <v>12.676823478312981</v>
      </c>
      <c r="V180" s="354">
        <f t="shared" si="126"/>
        <v>0.33556459597024169</v>
      </c>
      <c r="W180" s="354">
        <f t="shared" si="127"/>
        <v>11.446803375268491</v>
      </c>
      <c r="X180" s="354">
        <f t="shared" si="128"/>
        <v>0.89445550707424948</v>
      </c>
      <c r="Y180" s="374">
        <f t="shared" si="106"/>
        <v>1.8584029356849361</v>
      </c>
      <c r="Z180" s="354">
        <f t="shared" si="129"/>
        <v>0.95867578764699501</v>
      </c>
      <c r="AA180" s="354">
        <f t="shared" si="130"/>
        <v>0.89972714803794096</v>
      </c>
      <c r="AB180" s="374">
        <f t="shared" si="108"/>
        <v>10.153190833236454</v>
      </c>
      <c r="AC180" s="354">
        <f t="shared" si="131"/>
        <v>2.8814002089752004</v>
      </c>
      <c r="AD180" s="354">
        <f t="shared" si="132"/>
        <v>6.2721682021343019</v>
      </c>
      <c r="AE180" s="354">
        <f t="shared" si="133"/>
        <v>0.99962242212695163</v>
      </c>
      <c r="AF180" s="374">
        <f t="shared" si="111"/>
        <v>8.1260983452696696</v>
      </c>
      <c r="AG180" s="354">
        <f t="shared" si="134"/>
        <v>0.522237542542764</v>
      </c>
      <c r="AH180" s="354">
        <f t="shared" si="135"/>
        <v>2.6275870175189899</v>
      </c>
      <c r="AI180" s="354">
        <f t="shared" si="136"/>
        <v>0</v>
      </c>
      <c r="AJ180" s="354">
        <f t="shared" si="137"/>
        <v>4.9762737852079164</v>
      </c>
      <c r="AK180" s="374">
        <f t="shared" si="115"/>
        <v>5.3672314056962094</v>
      </c>
      <c r="AL180" s="354">
        <f t="shared" si="138"/>
        <v>1.5377474254339332</v>
      </c>
      <c r="AM180" s="354">
        <f t="shared" si="139"/>
        <v>3.6268731840181192</v>
      </c>
      <c r="AN180" s="354">
        <f t="shared" si="140"/>
        <v>0.20261079624415726</v>
      </c>
      <c r="AO180" s="374">
        <f t="shared" si="118"/>
        <v>3.1121632658674581</v>
      </c>
      <c r="AP180" s="354">
        <f t="shared" si="141"/>
        <v>0.71365177174627514</v>
      </c>
      <c r="AQ180" s="354">
        <f t="shared" si="142"/>
        <v>2.3985114941211831</v>
      </c>
      <c r="AR180" s="374">
        <f t="shared" si="120"/>
        <v>5.677491936054083</v>
      </c>
      <c r="AS180" s="354">
        <f t="shared" si="143"/>
        <v>2.4602499961289186</v>
      </c>
      <c r="AT180" s="354">
        <f t="shared" si="144"/>
        <v>3.2172419399251644</v>
      </c>
      <c r="AU180" s="355" t="s">
        <v>396</v>
      </c>
      <c r="AV180" s="354" t="s">
        <v>404</v>
      </c>
      <c r="AW180" s="355" t="s">
        <v>405</v>
      </c>
      <c r="AX180" s="355">
        <v>0</v>
      </c>
      <c r="AY180" s="350" t="s">
        <v>410</v>
      </c>
      <c r="AZ180" s="351">
        <v>45111</v>
      </c>
      <c r="BA180" s="351">
        <v>45112</v>
      </c>
      <c r="BB180" s="350" t="s">
        <v>407</v>
      </c>
    </row>
    <row r="181" spans="1:54" x14ac:dyDescent="0.25">
      <c r="A181" s="348" t="s">
        <v>625</v>
      </c>
      <c r="B181" s="349">
        <v>4978</v>
      </c>
      <c r="C181" s="350" t="s">
        <v>628</v>
      </c>
      <c r="D181" s="351">
        <v>45097</v>
      </c>
      <c r="E181" s="352">
        <v>3440</v>
      </c>
      <c r="F181" s="352">
        <v>7</v>
      </c>
      <c r="G181" s="427"/>
      <c r="H181" s="350" t="s">
        <v>633</v>
      </c>
      <c r="I181" s="350" t="s">
        <v>393</v>
      </c>
      <c r="J181" s="375">
        <v>500000</v>
      </c>
      <c r="K181" s="350" t="s">
        <v>394</v>
      </c>
      <c r="L181" s="354">
        <v>0</v>
      </c>
      <c r="M181" s="354">
        <v>179.05</v>
      </c>
      <c r="N181" s="354" t="s">
        <v>395</v>
      </c>
      <c r="O181" s="354">
        <v>144.46</v>
      </c>
      <c r="P181" s="374">
        <f t="shared" si="91"/>
        <v>11.281606544348563</v>
      </c>
      <c r="Q181" s="354">
        <f t="shared" si="92"/>
        <v>1.0640276005048646</v>
      </c>
      <c r="R181" s="354">
        <f t="shared" si="123"/>
        <v>1.7936410644550942</v>
      </c>
      <c r="S181" s="354">
        <f t="shared" si="124"/>
        <v>1.59775144313272</v>
      </c>
      <c r="T181" s="354">
        <f t="shared" si="125"/>
        <v>6.8182158446677015</v>
      </c>
      <c r="U181" s="374">
        <f t="shared" si="103"/>
        <v>45.277982122320751</v>
      </c>
      <c r="V181" s="354">
        <f t="shared" si="126"/>
        <v>1.1985406125767359</v>
      </c>
      <c r="W181" s="354">
        <f t="shared" si="127"/>
        <v>40.88470265992067</v>
      </c>
      <c r="X181" s="354">
        <f t="shared" si="128"/>
        <v>3.1947388498233464</v>
      </c>
      <c r="Y181" s="374">
        <f t="shared" si="106"/>
        <v>6.6376829370514221</v>
      </c>
      <c r="Z181" s="354">
        <f t="shared" si="129"/>
        <v>3.4241152957948224</v>
      </c>
      <c r="AA181" s="354">
        <f t="shared" si="130"/>
        <v>3.2135676412565992</v>
      </c>
      <c r="AB181" s="374">
        <f t="shared" si="108"/>
        <v>36.264289221842951</v>
      </c>
      <c r="AC181" s="354">
        <f t="shared" si="131"/>
        <v>10.291536154338912</v>
      </c>
      <c r="AD181" s="354">
        <f t="shared" si="132"/>
        <v>22.402388122723853</v>
      </c>
      <c r="AE181" s="354">
        <f t="shared" si="133"/>
        <v>3.5703649447801853</v>
      </c>
      <c r="AF181" s="374">
        <f t="shared" si="111"/>
        <v>29.024095526042974</v>
      </c>
      <c r="AG181" s="354">
        <f t="shared" si="134"/>
        <v>1.8652829042944721</v>
      </c>
      <c r="AH181" s="354">
        <f t="shared" si="135"/>
        <v>9.3849881405700195</v>
      </c>
      <c r="AI181" s="354">
        <f t="shared" si="136"/>
        <v>0</v>
      </c>
      <c r="AJ181" s="354">
        <f t="shared" si="137"/>
        <v>17.773824481178483</v>
      </c>
      <c r="AK181" s="374">
        <f t="shared" si="115"/>
        <v>19.170213109712872</v>
      </c>
      <c r="AL181" s="354">
        <f t="shared" si="138"/>
        <v>5.4923933078784311</v>
      </c>
      <c r="AM181" s="354">
        <f t="shared" si="139"/>
        <v>12.954152076569803</v>
      </c>
      <c r="AN181" s="354">
        <f t="shared" si="140"/>
        <v>0.72366772526463907</v>
      </c>
      <c r="AO181" s="374">
        <f t="shared" si="118"/>
        <v>11.115755690276648</v>
      </c>
      <c r="AP181" s="354">
        <f t="shared" si="141"/>
        <v>2.5489596994049584</v>
      </c>
      <c r="AQ181" s="354">
        <f t="shared" si="142"/>
        <v>8.5667959908716895</v>
      </c>
      <c r="AR181" s="374">
        <f t="shared" si="120"/>
        <v>20.278374848403821</v>
      </c>
      <c r="AS181" s="354">
        <f t="shared" si="143"/>
        <v>8.7873082347273677</v>
      </c>
      <c r="AT181" s="354">
        <f t="shared" si="144"/>
        <v>11.491066613676455</v>
      </c>
      <c r="AU181" s="355" t="s">
        <v>396</v>
      </c>
      <c r="AV181" s="354" t="s">
        <v>404</v>
      </c>
      <c r="AW181" s="355" t="s">
        <v>405</v>
      </c>
      <c r="AX181" s="355">
        <v>0</v>
      </c>
      <c r="AY181" s="350" t="s">
        <v>410</v>
      </c>
      <c r="AZ181" s="351">
        <v>45111</v>
      </c>
      <c r="BA181" s="351">
        <v>45112</v>
      </c>
      <c r="BB181" s="350" t="s">
        <v>407</v>
      </c>
    </row>
    <row r="182" spans="1:54" x14ac:dyDescent="0.25">
      <c r="A182" s="348" t="s">
        <v>626</v>
      </c>
      <c r="B182" s="349">
        <v>5090</v>
      </c>
      <c r="C182" s="350" t="s">
        <v>628</v>
      </c>
      <c r="D182" s="351">
        <v>45089</v>
      </c>
      <c r="E182" s="352">
        <v>3350</v>
      </c>
      <c r="F182" s="352">
        <v>5</v>
      </c>
      <c r="G182" s="427"/>
      <c r="H182" s="350" t="s">
        <v>634</v>
      </c>
      <c r="I182" s="350" t="s">
        <v>393</v>
      </c>
      <c r="J182" s="375">
        <v>145340</v>
      </c>
      <c r="K182" s="350" t="s">
        <v>394</v>
      </c>
      <c r="L182" s="354">
        <v>0</v>
      </c>
      <c r="M182" s="354">
        <v>52.05</v>
      </c>
      <c r="N182" s="354" t="s">
        <v>395</v>
      </c>
      <c r="O182" s="354">
        <v>41.99</v>
      </c>
      <c r="P182" s="374">
        <f t="shared" si="91"/>
        <v>3.2795734187843766</v>
      </c>
      <c r="Q182" s="354">
        <f t="shared" si="92"/>
        <v>0.30931380400043668</v>
      </c>
      <c r="R182" s="354">
        <f t="shared" si="123"/>
        <v>0.52141311033168192</v>
      </c>
      <c r="S182" s="354">
        <f t="shared" si="124"/>
        <v>0.46446781689504646</v>
      </c>
      <c r="T182" s="354">
        <f t="shared" si="125"/>
        <v>1.9820616292373854</v>
      </c>
      <c r="U182" s="374">
        <f t="shared" si="103"/>
        <v>13.162351127991036</v>
      </c>
      <c r="V182" s="354">
        <f t="shared" si="126"/>
        <v>0.34841686056754595</v>
      </c>
      <c r="W182" s="354">
        <f t="shared" si="127"/>
        <v>11.885220739731198</v>
      </c>
      <c r="X182" s="354">
        <f t="shared" si="128"/>
        <v>0.92871352769229365</v>
      </c>
      <c r="Y182" s="374">
        <f t="shared" si="106"/>
        <v>1.9295805466267886</v>
      </c>
      <c r="Z182" s="354">
        <f t="shared" si="129"/>
        <v>0.99539347191354643</v>
      </c>
      <c r="AA182" s="354">
        <f t="shared" si="130"/>
        <v>0.93418707471324203</v>
      </c>
      <c r="AB182" s="374">
        <f t="shared" si="108"/>
        <v>10.542062295431027</v>
      </c>
      <c r="AC182" s="354">
        <f t="shared" si="131"/>
        <v>2.9917590440287087</v>
      </c>
      <c r="AD182" s="354">
        <f t="shared" si="132"/>
        <v>6.5123948717552445</v>
      </c>
      <c r="AE182" s="354">
        <f t="shared" si="133"/>
        <v>1.0379083796470741</v>
      </c>
      <c r="AF182" s="374">
        <f t="shared" si="111"/>
        <v>8.4373313160041139</v>
      </c>
      <c r="AG182" s="354">
        <f t="shared" si="134"/>
        <v>0.54223945919311511</v>
      </c>
      <c r="AH182" s="354">
        <f t="shared" si="135"/>
        <v>2.7282247010146299</v>
      </c>
      <c r="AI182" s="354">
        <f t="shared" si="136"/>
        <v>0</v>
      </c>
      <c r="AJ182" s="354">
        <f t="shared" si="137"/>
        <v>5.1668671557963695</v>
      </c>
      <c r="AK182" s="374">
        <f t="shared" si="115"/>
        <v>5.5727986169257466</v>
      </c>
      <c r="AL182" s="354">
        <f t="shared" si="138"/>
        <v>1.5966437960071058</v>
      </c>
      <c r="AM182" s="354">
        <f t="shared" si="139"/>
        <v>3.7657839463024754</v>
      </c>
      <c r="AN182" s="354">
        <f t="shared" si="140"/>
        <v>0.21037087461616566</v>
      </c>
      <c r="AO182" s="374">
        <f t="shared" si="118"/>
        <v>3.2313604226690837</v>
      </c>
      <c r="AP182" s="354">
        <f t="shared" si="141"/>
        <v>0.74098493356061468</v>
      </c>
      <c r="AQ182" s="354">
        <f t="shared" si="142"/>
        <v>2.4903754891084691</v>
      </c>
      <c r="AR182" s="374">
        <f t="shared" si="120"/>
        <v>5.8949422555678233</v>
      </c>
      <c r="AS182" s="354">
        <f t="shared" si="143"/>
        <v>2.5544786016060286</v>
      </c>
      <c r="AT182" s="354">
        <f t="shared" si="144"/>
        <v>3.3404636539617951</v>
      </c>
      <c r="AU182" s="355" t="s">
        <v>396</v>
      </c>
      <c r="AV182" s="354" t="s">
        <v>404</v>
      </c>
      <c r="AW182" s="355" t="s">
        <v>405</v>
      </c>
      <c r="AX182" s="355">
        <v>0</v>
      </c>
      <c r="AY182" s="350" t="s">
        <v>410</v>
      </c>
      <c r="AZ182" s="351">
        <v>45112</v>
      </c>
      <c r="BA182" s="351">
        <v>45112</v>
      </c>
      <c r="BB182" s="350" t="s">
        <v>407</v>
      </c>
    </row>
    <row r="183" spans="1:54" x14ac:dyDescent="0.25">
      <c r="A183" s="348" t="s">
        <v>627</v>
      </c>
      <c r="B183" s="349">
        <v>4967</v>
      </c>
      <c r="C183" s="350" t="s">
        <v>628</v>
      </c>
      <c r="D183" s="351">
        <v>45107</v>
      </c>
      <c r="E183" s="352">
        <v>3130</v>
      </c>
      <c r="F183" s="352">
        <v>1</v>
      </c>
      <c r="G183" s="427"/>
      <c r="H183" s="350" t="s">
        <v>439</v>
      </c>
      <c r="I183" s="350" t="s">
        <v>393</v>
      </c>
      <c r="J183" s="375">
        <v>205107.4</v>
      </c>
      <c r="K183" s="350" t="s">
        <v>394</v>
      </c>
      <c r="L183" s="354">
        <v>0</v>
      </c>
      <c r="M183" s="354">
        <v>73.45</v>
      </c>
      <c r="N183" s="354" t="s">
        <v>395</v>
      </c>
      <c r="O183" s="354">
        <v>61.53</v>
      </c>
      <c r="P183" s="374">
        <f t="shared" si="91"/>
        <v>4.6279475045093657</v>
      </c>
      <c r="Q183" s="354">
        <f t="shared" si="92"/>
        <v>0.43648605002559226</v>
      </c>
      <c r="R183" s="354">
        <f t="shared" si="123"/>
        <v>0.73578852937294981</v>
      </c>
      <c r="S183" s="354">
        <f t="shared" si="124"/>
        <v>0.65543056966265445</v>
      </c>
      <c r="T183" s="354">
        <f t="shared" si="125"/>
        <v>2.7969726545146196</v>
      </c>
      <c r="U183" s="374">
        <f t="shared" si="103"/>
        <v>18.573961390027698</v>
      </c>
      <c r="V183" s="354">
        <f t="shared" si="126"/>
        <v>0.49166605972500005</v>
      </c>
      <c r="W183" s="354">
        <f t="shared" si="127"/>
        <v>16.771747614471789</v>
      </c>
      <c r="X183" s="354">
        <f t="shared" si="128"/>
        <v>1.310547715830912</v>
      </c>
      <c r="Y183" s="374">
        <f t="shared" si="106"/>
        <v>2.7229143352495222</v>
      </c>
      <c r="Z183" s="354">
        <f t="shared" si="129"/>
        <v>1.404642661134486</v>
      </c>
      <c r="AA183" s="354">
        <f t="shared" si="130"/>
        <v>1.3182716741150362</v>
      </c>
      <c r="AB183" s="374">
        <f t="shared" si="108"/>
        <v>14.876358801141382</v>
      </c>
      <c r="AC183" s="354">
        <f t="shared" si="131"/>
        <v>4.2218002263959393</v>
      </c>
      <c r="AD183" s="354">
        <f t="shared" si="132"/>
        <v>9.1899212935720023</v>
      </c>
      <c r="AE183" s="354">
        <f t="shared" si="133"/>
        <v>1.4646372811734407</v>
      </c>
      <c r="AF183" s="374">
        <f t="shared" si="111"/>
        <v>11.906282135648459</v>
      </c>
      <c r="AG183" s="354">
        <f t="shared" si="134"/>
        <v>0.76517748852515488</v>
      </c>
      <c r="AH183" s="354">
        <f t="shared" si="135"/>
        <v>3.8499155483097907</v>
      </c>
      <c r="AI183" s="354">
        <f t="shared" si="136"/>
        <v>0</v>
      </c>
      <c r="AJ183" s="354">
        <f t="shared" si="137"/>
        <v>7.291189098813514</v>
      </c>
      <c r="AK183" s="374">
        <f t="shared" si="115"/>
        <v>7.864016492088302</v>
      </c>
      <c r="AL183" s="354">
        <f t="shared" si="138"/>
        <v>2.2530929263539274</v>
      </c>
      <c r="AM183" s="354">
        <f t="shared" si="139"/>
        <v>5.3140601509301986</v>
      </c>
      <c r="AN183" s="354">
        <f t="shared" si="140"/>
        <v>0.29686341480417616</v>
      </c>
      <c r="AO183" s="374">
        <f t="shared" si="118"/>
        <v>4.5599120661872092</v>
      </c>
      <c r="AP183" s="354">
        <f t="shared" si="141"/>
        <v>1.0456357996162757</v>
      </c>
      <c r="AQ183" s="354">
        <f t="shared" si="142"/>
        <v>3.5142762665709335</v>
      </c>
      <c r="AR183" s="374">
        <f t="shared" si="120"/>
        <v>8.3186072751480626</v>
      </c>
      <c r="AS183" s="354">
        <f t="shared" si="143"/>
        <v>3.6047349334863172</v>
      </c>
      <c r="AT183" s="354">
        <f t="shared" si="144"/>
        <v>4.7138723416617463</v>
      </c>
      <c r="AU183" s="355" t="s">
        <v>396</v>
      </c>
      <c r="AV183" s="354" t="s">
        <v>404</v>
      </c>
      <c r="AW183" s="355" t="s">
        <v>405</v>
      </c>
      <c r="AX183" s="355">
        <v>102955</v>
      </c>
      <c r="AY183" s="350" t="s">
        <v>406</v>
      </c>
      <c r="AZ183" s="351">
        <v>45111</v>
      </c>
      <c r="BA183" s="351">
        <v>45111</v>
      </c>
      <c r="BB183" s="350" t="s">
        <v>407</v>
      </c>
    </row>
    <row r="184" spans="1:54" x14ac:dyDescent="0.25">
      <c r="A184" s="348" t="s">
        <v>627</v>
      </c>
      <c r="B184" s="349">
        <v>4967</v>
      </c>
      <c r="C184" s="350" t="s">
        <v>628</v>
      </c>
      <c r="D184" s="351">
        <v>45107</v>
      </c>
      <c r="E184" s="352">
        <v>3130</v>
      </c>
      <c r="F184" s="352">
        <v>1</v>
      </c>
      <c r="G184" s="427"/>
      <c r="H184" s="350" t="s">
        <v>439</v>
      </c>
      <c r="I184" s="350" t="s">
        <v>393</v>
      </c>
      <c r="J184" s="375">
        <v>55502.85</v>
      </c>
      <c r="K184" s="350" t="s">
        <v>394</v>
      </c>
      <c r="L184" s="354">
        <v>0</v>
      </c>
      <c r="M184" s="354">
        <v>19.88</v>
      </c>
      <c r="N184" s="354" t="s">
        <v>395</v>
      </c>
      <c r="O184" s="354">
        <v>16.649999999999999</v>
      </c>
      <c r="P184" s="374">
        <f t="shared" si="91"/>
        <v>1.2526017207576063</v>
      </c>
      <c r="Q184" s="354">
        <f t="shared" si="92"/>
        <v>0.11813945098037813</v>
      </c>
      <c r="R184" s="354">
        <f t="shared" si="123"/>
        <v>0.19914875376357036</v>
      </c>
      <c r="S184" s="354">
        <f t="shared" si="124"/>
        <v>0.17739904322523581</v>
      </c>
      <c r="T184" s="354">
        <f t="shared" si="125"/>
        <v>0.75702949450987933</v>
      </c>
      <c r="U184" s="374">
        <f t="shared" si="103"/>
        <v>5.0272342060415331</v>
      </c>
      <c r="V184" s="354">
        <f t="shared" si="126"/>
        <v>0.13307448968458815</v>
      </c>
      <c r="W184" s="354">
        <f t="shared" si="127"/>
        <v>4.5394464612076124</v>
      </c>
      <c r="X184" s="354">
        <f t="shared" si="128"/>
        <v>0.35471325514933327</v>
      </c>
      <c r="Y184" s="374">
        <f t="shared" si="106"/>
        <v>0.73698484662710007</v>
      </c>
      <c r="Z184" s="354">
        <f t="shared" si="129"/>
        <v>0.38018102250991936</v>
      </c>
      <c r="AA184" s="354">
        <f t="shared" si="130"/>
        <v>0.35680382411718065</v>
      </c>
      <c r="AB184" s="374">
        <f t="shared" si="108"/>
        <v>4.026439931472984</v>
      </c>
      <c r="AC184" s="354">
        <f t="shared" si="131"/>
        <v>1.1426737712832031</v>
      </c>
      <c r="AD184" s="354">
        <f t="shared" si="132"/>
        <v>2.4873469750335109</v>
      </c>
      <c r="AE184" s="354">
        <f t="shared" si="133"/>
        <v>0.39641918515626962</v>
      </c>
      <c r="AF184" s="374">
        <f t="shared" si="111"/>
        <v>3.2225580511462399</v>
      </c>
      <c r="AG184" s="354">
        <f t="shared" si="134"/>
        <v>0.20710317865051159</v>
      </c>
      <c r="AH184" s="354">
        <f t="shared" si="135"/>
        <v>1.0420193478611113</v>
      </c>
      <c r="AI184" s="354">
        <f t="shared" si="136"/>
        <v>0</v>
      </c>
      <c r="AJ184" s="354">
        <f t="shared" si="137"/>
        <v>1.9734355246346174</v>
      </c>
      <c r="AK184" s="374">
        <f t="shared" si="115"/>
        <v>2.1284771662725039</v>
      </c>
      <c r="AL184" s="354">
        <f t="shared" si="138"/>
        <v>0.60982283697639306</v>
      </c>
      <c r="AM184" s="354">
        <f t="shared" si="139"/>
        <v>1.4383051844859405</v>
      </c>
      <c r="AN184" s="354">
        <f t="shared" si="140"/>
        <v>8.034914481017047E-2</v>
      </c>
      <c r="AO184" s="374">
        <f t="shared" si="118"/>
        <v>1.2341872277168373</v>
      </c>
      <c r="AP184" s="354">
        <f t="shared" si="141"/>
        <v>0.28301211295264206</v>
      </c>
      <c r="AQ184" s="354">
        <f t="shared" si="142"/>
        <v>0.95117511476419525</v>
      </c>
      <c r="AR184" s="374">
        <f t="shared" si="120"/>
        <v>2.2515168499651939</v>
      </c>
      <c r="AS184" s="354">
        <f t="shared" si="143"/>
        <v>0.97565868587757643</v>
      </c>
      <c r="AT184" s="354">
        <f t="shared" si="144"/>
        <v>1.2758581640876177</v>
      </c>
      <c r="AU184" s="355" t="s">
        <v>396</v>
      </c>
      <c r="AV184" s="354" t="s">
        <v>404</v>
      </c>
      <c r="AW184" s="355" t="s">
        <v>405</v>
      </c>
      <c r="AX184" s="355">
        <v>103265</v>
      </c>
      <c r="AY184" s="350" t="s">
        <v>406</v>
      </c>
      <c r="AZ184" s="351">
        <v>45111</v>
      </c>
      <c r="BA184" s="351">
        <v>45111</v>
      </c>
      <c r="BB184" s="350" t="s">
        <v>407</v>
      </c>
    </row>
    <row r="185" spans="1:54" x14ac:dyDescent="0.25">
      <c r="A185" s="348" t="s">
        <v>627</v>
      </c>
      <c r="B185" s="349">
        <v>4967</v>
      </c>
      <c r="C185" s="350" t="s">
        <v>628</v>
      </c>
      <c r="D185" s="351">
        <v>45107</v>
      </c>
      <c r="E185" s="352">
        <v>3130</v>
      </c>
      <c r="F185" s="352">
        <v>1</v>
      </c>
      <c r="G185" s="427"/>
      <c r="H185" s="350" t="s">
        <v>439</v>
      </c>
      <c r="I185" s="350" t="s">
        <v>393</v>
      </c>
      <c r="J185" s="375">
        <v>532244</v>
      </c>
      <c r="K185" s="350" t="s">
        <v>394</v>
      </c>
      <c r="L185" s="354">
        <v>0</v>
      </c>
      <c r="M185" s="354">
        <v>190.6</v>
      </c>
      <c r="N185" s="354" t="s">
        <v>395</v>
      </c>
      <c r="O185" s="354">
        <v>159.66999999999999</v>
      </c>
      <c r="P185" s="374">
        <f t="shared" si="91"/>
        <v>12.009350501830975</v>
      </c>
      <c r="Q185" s="354">
        <f t="shared" si="92"/>
        <v>1.1326649575885348</v>
      </c>
      <c r="R185" s="354">
        <f t="shared" si="123"/>
        <v>1.9093436854797037</v>
      </c>
      <c r="S185" s="354">
        <f t="shared" si="124"/>
        <v>1.7008177886685085</v>
      </c>
      <c r="T185" s="354">
        <f t="shared" si="125"/>
        <v>7.2580393185906944</v>
      </c>
      <c r="U185" s="374">
        <f t="shared" si="103"/>
        <v>48.198734389915302</v>
      </c>
      <c r="V185" s="354">
        <f t="shared" si="126"/>
        <v>1.2758550167948943</v>
      </c>
      <c r="W185" s="354">
        <f t="shared" si="127"/>
        <v>43.52205711801664</v>
      </c>
      <c r="X185" s="354">
        <f t="shared" si="128"/>
        <v>3.400822255103769</v>
      </c>
      <c r="Y185" s="374">
        <f t="shared" si="106"/>
        <v>7.0658607528735047</v>
      </c>
      <c r="Z185" s="354">
        <f t="shared" si="129"/>
        <v>3.6449951152107967</v>
      </c>
      <c r="AA185" s="354">
        <f t="shared" si="130"/>
        <v>3.4208656376627076</v>
      </c>
      <c r="AB185" s="374">
        <f t="shared" si="108"/>
        <v>38.60359411160718</v>
      </c>
      <c r="AC185" s="354">
        <f t="shared" si="131"/>
        <v>10.955413521457672</v>
      </c>
      <c r="AD185" s="354">
        <f t="shared" si="132"/>
        <v>23.847501682162335</v>
      </c>
      <c r="AE185" s="354">
        <f t="shared" si="133"/>
        <v>3.8006789079871721</v>
      </c>
      <c r="AF185" s="374">
        <f t="shared" si="111"/>
        <v>30.896356365617372</v>
      </c>
      <c r="AG185" s="354">
        <f t="shared" si="134"/>
        <v>1.9856069341442411</v>
      </c>
      <c r="AH185" s="354">
        <f t="shared" si="135"/>
        <v>9.9903867053484827</v>
      </c>
      <c r="AI185" s="354">
        <f t="shared" si="136"/>
        <v>0</v>
      </c>
      <c r="AJ185" s="354">
        <f t="shared" si="137"/>
        <v>18.920362726124651</v>
      </c>
      <c r="AK185" s="374">
        <f t="shared" si="115"/>
        <v>20.406828364765556</v>
      </c>
      <c r="AL185" s="354">
        <f t="shared" si="138"/>
        <v>5.8466917871076722</v>
      </c>
      <c r="AM185" s="354">
        <f t="shared" si="139"/>
        <v>13.789787130936633</v>
      </c>
      <c r="AN185" s="354">
        <f t="shared" si="140"/>
        <v>0.77034944672125205</v>
      </c>
      <c r="AO185" s="374">
        <f t="shared" si="118"/>
        <v>11.83280108666143</v>
      </c>
      <c r="AP185" s="354">
        <f t="shared" si="141"/>
        <v>2.7133857509443451</v>
      </c>
      <c r="AQ185" s="354">
        <f t="shared" si="142"/>
        <v>9.1194153357170844</v>
      </c>
      <c r="AR185" s="374">
        <f t="shared" si="120"/>
        <v>21.586474426728667</v>
      </c>
      <c r="AS185" s="354">
        <f t="shared" si="143"/>
        <v>9.3541521895506055</v>
      </c>
      <c r="AT185" s="354">
        <f t="shared" si="144"/>
        <v>12.232322237178062</v>
      </c>
      <c r="AU185" s="355" t="s">
        <v>396</v>
      </c>
      <c r="AV185" s="354" t="s">
        <v>404</v>
      </c>
      <c r="AW185" s="355" t="s">
        <v>405</v>
      </c>
      <c r="AX185" s="355">
        <v>117871</v>
      </c>
      <c r="AY185" s="350" t="s">
        <v>406</v>
      </c>
      <c r="AZ185" s="351">
        <v>45111</v>
      </c>
      <c r="BA185" s="351">
        <v>45111</v>
      </c>
      <c r="BB185" s="350" t="s">
        <v>407</v>
      </c>
    </row>
    <row r="186" spans="1:54" x14ac:dyDescent="0.25">
      <c r="A186" s="348" t="s">
        <v>627</v>
      </c>
      <c r="B186" s="349">
        <v>4967</v>
      </c>
      <c r="C186" s="350" t="s">
        <v>628</v>
      </c>
      <c r="D186" s="351">
        <v>45107</v>
      </c>
      <c r="E186" s="352">
        <v>3130</v>
      </c>
      <c r="F186" s="352">
        <v>1</v>
      </c>
      <c r="G186" s="427"/>
      <c r="H186" s="350" t="s">
        <v>439</v>
      </c>
      <c r="I186" s="350" t="s">
        <v>393</v>
      </c>
      <c r="J186" s="375">
        <v>286764.79999999999</v>
      </c>
      <c r="K186" s="350" t="s">
        <v>394</v>
      </c>
      <c r="L186" s="354">
        <v>0</v>
      </c>
      <c r="M186" s="354">
        <v>102.69</v>
      </c>
      <c r="N186" s="354" t="s">
        <v>395</v>
      </c>
      <c r="O186" s="354">
        <v>86.03</v>
      </c>
      <c r="P186" s="374">
        <f t="shared" si="91"/>
        <v>6.4703053674345368</v>
      </c>
      <c r="Q186" s="354">
        <f t="shared" si="92"/>
        <v>0.61024850207117864</v>
      </c>
      <c r="R186" s="354">
        <f t="shared" si="123"/>
        <v>1.0287014851097103</v>
      </c>
      <c r="S186" s="354">
        <f t="shared" si="124"/>
        <v>0.91635350849091879</v>
      </c>
      <c r="T186" s="354">
        <f t="shared" si="125"/>
        <v>3.9104305226971583</v>
      </c>
      <c r="U186" s="374">
        <f t="shared" si="103"/>
        <v>25.968142888249751</v>
      </c>
      <c r="V186" s="354">
        <f t="shared" si="126"/>
        <v>0.68739533932144659</v>
      </c>
      <c r="W186" s="354">
        <f t="shared" si="127"/>
        <v>23.448478727435095</v>
      </c>
      <c r="X186" s="354">
        <f t="shared" si="128"/>
        <v>1.8322688214932112</v>
      </c>
      <c r="Y186" s="374">
        <f t="shared" si="106"/>
        <v>3.8068900352181543</v>
      </c>
      <c r="Z186" s="354">
        <f t="shared" si="129"/>
        <v>1.9638223944438442</v>
      </c>
      <c r="AA186" s="354">
        <f t="shared" si="130"/>
        <v>1.8430676407743098</v>
      </c>
      <c r="AB186" s="374">
        <f t="shared" si="108"/>
        <v>20.798547110812912</v>
      </c>
      <c r="AC186" s="354">
        <f t="shared" si="131"/>
        <v>5.9024733185649962</v>
      </c>
      <c r="AD186" s="354">
        <f t="shared" si="132"/>
        <v>12.848373283007607</v>
      </c>
      <c r="AE186" s="354">
        <f t="shared" si="133"/>
        <v>2.047700509240308</v>
      </c>
      <c r="AF186" s="374">
        <f t="shared" si="111"/>
        <v>16.646100919125121</v>
      </c>
      <c r="AG186" s="354">
        <f t="shared" si="134"/>
        <v>1.0697900108461287</v>
      </c>
      <c r="AH186" s="354">
        <f t="shared" si="135"/>
        <v>5.3825436032121496</v>
      </c>
      <c r="AI186" s="354">
        <f t="shared" si="136"/>
        <v>0</v>
      </c>
      <c r="AJ186" s="354">
        <f t="shared" si="137"/>
        <v>10.193767305066844</v>
      </c>
      <c r="AK186" s="374">
        <f t="shared" si="115"/>
        <v>10.994633813104802</v>
      </c>
      <c r="AL186" s="354">
        <f t="shared" si="138"/>
        <v>3.1500355698745381</v>
      </c>
      <c r="AM186" s="354">
        <f t="shared" si="139"/>
        <v>7.4295553015523765</v>
      </c>
      <c r="AN186" s="354">
        <f t="shared" si="140"/>
        <v>0.41504294167788763</v>
      </c>
      <c r="AO186" s="374">
        <f t="shared" si="118"/>
        <v>6.375185433311974</v>
      </c>
      <c r="AP186" s="354">
        <f t="shared" si="141"/>
        <v>1.4618970764138237</v>
      </c>
      <c r="AQ186" s="354">
        <f t="shared" si="142"/>
        <v>4.9132883568981507</v>
      </c>
      <c r="AR186" s="374">
        <f t="shared" si="120"/>
        <v>11.630194432742744</v>
      </c>
      <c r="AS186" s="354">
        <f t="shared" si="143"/>
        <v>5.0397580710648047</v>
      </c>
      <c r="AT186" s="354">
        <f t="shared" si="144"/>
        <v>6.5904363616779404</v>
      </c>
      <c r="AU186" s="355" t="s">
        <v>396</v>
      </c>
      <c r="AV186" s="354" t="s">
        <v>404</v>
      </c>
      <c r="AW186" s="355" t="s">
        <v>405</v>
      </c>
      <c r="AX186" s="355">
        <v>103321</v>
      </c>
      <c r="AY186" s="350" t="s">
        <v>406</v>
      </c>
      <c r="AZ186" s="351">
        <v>45111</v>
      </c>
      <c r="BA186" s="351">
        <v>45111</v>
      </c>
      <c r="BB186" s="350" t="s">
        <v>407</v>
      </c>
    </row>
    <row r="187" spans="1:54" x14ac:dyDescent="0.25">
      <c r="A187" s="348" t="s">
        <v>627</v>
      </c>
      <c r="B187" s="349">
        <v>4967</v>
      </c>
      <c r="C187" s="350" t="s">
        <v>628</v>
      </c>
      <c r="D187" s="351">
        <v>45107</v>
      </c>
      <c r="E187" s="352">
        <v>3130</v>
      </c>
      <c r="F187" s="352">
        <v>1</v>
      </c>
      <c r="G187" s="427"/>
      <c r="H187" s="350" t="s">
        <v>439</v>
      </c>
      <c r="I187" s="350" t="s">
        <v>393</v>
      </c>
      <c r="J187" s="375">
        <v>55848.3</v>
      </c>
      <c r="K187" s="350" t="s">
        <v>394</v>
      </c>
      <c r="L187" s="354">
        <v>0</v>
      </c>
      <c r="M187" s="354">
        <v>20</v>
      </c>
      <c r="N187" s="354" t="s">
        <v>395</v>
      </c>
      <c r="O187" s="354">
        <v>16.75</v>
      </c>
      <c r="P187" s="374">
        <f t="shared" si="91"/>
        <v>1.2601626969392419</v>
      </c>
      <c r="Q187" s="354">
        <f t="shared" si="92"/>
        <v>0.11885256637865005</v>
      </c>
      <c r="R187" s="354">
        <f t="shared" si="123"/>
        <v>0.2003508589170728</v>
      </c>
      <c r="S187" s="354">
        <f t="shared" si="124"/>
        <v>0.17846986239963364</v>
      </c>
      <c r="T187" s="354">
        <f t="shared" si="125"/>
        <v>0.76159908904414431</v>
      </c>
      <c r="U187" s="374">
        <f t="shared" si="103"/>
        <v>5.0575796841464111</v>
      </c>
      <c r="V187" s="354">
        <f t="shared" si="126"/>
        <v>0.13387775622191966</v>
      </c>
      <c r="W187" s="354">
        <f t="shared" si="127"/>
        <v>4.5668475464865308</v>
      </c>
      <c r="X187" s="354">
        <f t="shared" si="128"/>
        <v>0.35685438143796105</v>
      </c>
      <c r="Y187" s="374">
        <f t="shared" si="106"/>
        <v>0.74143344731096583</v>
      </c>
      <c r="Z187" s="354">
        <f t="shared" si="129"/>
        <v>0.38247587777657882</v>
      </c>
      <c r="AA187" s="354">
        <f t="shared" si="130"/>
        <v>0.35895756953438696</v>
      </c>
      <c r="AB187" s="374">
        <f t="shared" si="108"/>
        <v>4.0507443978601447</v>
      </c>
      <c r="AC187" s="354">
        <f t="shared" si="131"/>
        <v>1.1495711984740475</v>
      </c>
      <c r="AD187" s="354">
        <f t="shared" si="132"/>
        <v>2.50236114188482</v>
      </c>
      <c r="AE187" s="354">
        <f t="shared" si="133"/>
        <v>0.39881205750127724</v>
      </c>
      <c r="AF187" s="374">
        <f t="shared" si="111"/>
        <v>3.2420101118171427</v>
      </c>
      <c r="AG187" s="354">
        <f t="shared" si="134"/>
        <v>0.20835329844115855</v>
      </c>
      <c r="AH187" s="354">
        <f t="shared" si="135"/>
        <v>1.0483092030795889</v>
      </c>
      <c r="AI187" s="354">
        <f t="shared" si="136"/>
        <v>0</v>
      </c>
      <c r="AJ187" s="354">
        <f t="shared" si="137"/>
        <v>1.9853476102963956</v>
      </c>
      <c r="AK187" s="374">
        <f t="shared" si="115"/>
        <v>2.1413251169743504</v>
      </c>
      <c r="AL187" s="354">
        <f t="shared" si="138"/>
        <v>0.61350386013721647</v>
      </c>
      <c r="AM187" s="354">
        <f t="shared" si="139"/>
        <v>1.4469871071287128</v>
      </c>
      <c r="AN187" s="354">
        <f t="shared" si="140"/>
        <v>8.0834149708420996E-2</v>
      </c>
      <c r="AO187" s="374">
        <f t="shared" si="118"/>
        <v>1.2416370500169391</v>
      </c>
      <c r="AP187" s="354">
        <f t="shared" si="141"/>
        <v>0.28472043556603832</v>
      </c>
      <c r="AQ187" s="354">
        <f t="shared" si="142"/>
        <v>0.95691661445090082</v>
      </c>
      <c r="AR187" s="374">
        <f t="shared" si="120"/>
        <v>2.2651074949348029</v>
      </c>
      <c r="AS187" s="354">
        <f t="shared" si="143"/>
        <v>0.98154797371989588</v>
      </c>
      <c r="AT187" s="354">
        <f t="shared" si="144"/>
        <v>1.2835595212149071</v>
      </c>
      <c r="AU187" s="355" t="s">
        <v>396</v>
      </c>
      <c r="AV187" s="354" t="s">
        <v>404</v>
      </c>
      <c r="AW187" s="355" t="s">
        <v>405</v>
      </c>
      <c r="AX187" s="355">
        <v>117427</v>
      </c>
      <c r="AY187" s="350" t="s">
        <v>406</v>
      </c>
      <c r="AZ187" s="351">
        <v>45111</v>
      </c>
      <c r="BA187" s="351">
        <v>45111</v>
      </c>
      <c r="BB187" s="350" t="s">
        <v>407</v>
      </c>
    </row>
    <row r="188" spans="1:54" x14ac:dyDescent="0.25">
      <c r="A188" s="348" t="s">
        <v>627</v>
      </c>
      <c r="B188" s="349">
        <v>4967</v>
      </c>
      <c r="C188" s="350" t="s">
        <v>628</v>
      </c>
      <c r="D188" s="351">
        <v>45107</v>
      </c>
      <c r="E188" s="352">
        <v>3130</v>
      </c>
      <c r="F188" s="352">
        <v>1</v>
      </c>
      <c r="G188" s="427"/>
      <c r="H188" s="350" t="s">
        <v>439</v>
      </c>
      <c r="I188" s="350" t="s">
        <v>393</v>
      </c>
      <c r="J188" s="375">
        <v>297857.59999999998</v>
      </c>
      <c r="K188" s="350" t="s">
        <v>394</v>
      </c>
      <c r="L188" s="354">
        <v>0</v>
      </c>
      <c r="M188" s="354">
        <v>106.66</v>
      </c>
      <c r="N188" s="354" t="s">
        <v>395</v>
      </c>
      <c r="O188" s="354">
        <v>89.36</v>
      </c>
      <c r="P188" s="374">
        <f t="shared" si="91"/>
        <v>6.7204476627769765</v>
      </c>
      <c r="Q188" s="354">
        <f t="shared" si="92"/>
        <v>0.63384073649734063</v>
      </c>
      <c r="R188" s="354">
        <f t="shared" si="123"/>
        <v>1.0684711306047492</v>
      </c>
      <c r="S188" s="354">
        <f t="shared" si="124"/>
        <v>0.95177977617724607</v>
      </c>
      <c r="T188" s="354">
        <f t="shared" si="125"/>
        <v>4.0616079418724214</v>
      </c>
      <c r="U188" s="374">
        <f t="shared" si="103"/>
        <v>26.972072455552812</v>
      </c>
      <c r="V188" s="354">
        <f t="shared" si="126"/>
        <v>0.71397007393149758</v>
      </c>
      <c r="W188" s="354">
        <f t="shared" si="127"/>
        <v>24.354997965412672</v>
      </c>
      <c r="X188" s="354">
        <f t="shared" si="128"/>
        <v>1.9031044162086463</v>
      </c>
      <c r="Y188" s="374">
        <f t="shared" si="106"/>
        <v>3.9540645745093808</v>
      </c>
      <c r="Z188" s="354">
        <f t="shared" si="129"/>
        <v>2.0397438561824952</v>
      </c>
      <c r="AA188" s="354">
        <f t="shared" si="130"/>
        <v>1.9143207183268856</v>
      </c>
      <c r="AB188" s="374">
        <f t="shared" si="108"/>
        <v>21.60261987378815</v>
      </c>
      <c r="AC188" s="354">
        <f t="shared" si="131"/>
        <v>6.1306632014620943</v>
      </c>
      <c r="AD188" s="354">
        <f t="shared" si="132"/>
        <v>13.345091969671744</v>
      </c>
      <c r="AE188" s="354">
        <f t="shared" si="133"/>
        <v>2.1268647026543115</v>
      </c>
      <c r="AF188" s="374">
        <f t="shared" si="111"/>
        <v>17.289639926320824</v>
      </c>
      <c r="AG188" s="354">
        <f t="shared" si="134"/>
        <v>1.1111481405866985</v>
      </c>
      <c r="AH188" s="354">
        <f t="shared" si="135"/>
        <v>5.5906329800234476</v>
      </c>
      <c r="AI188" s="354">
        <f t="shared" si="136"/>
        <v>0</v>
      </c>
      <c r="AJ188" s="354">
        <f t="shared" si="137"/>
        <v>10.587858805710679</v>
      </c>
      <c r="AK188" s="374">
        <f t="shared" si="115"/>
        <v>11.41968684882421</v>
      </c>
      <c r="AL188" s="354">
        <f t="shared" si="138"/>
        <v>3.2718160861117753</v>
      </c>
      <c r="AM188" s="354">
        <f t="shared" si="139"/>
        <v>7.716782242317425</v>
      </c>
      <c r="AN188" s="354">
        <f t="shared" si="140"/>
        <v>0.43108852039500917</v>
      </c>
      <c r="AO188" s="374">
        <f t="shared" si="118"/>
        <v>6.6216503877403357</v>
      </c>
      <c r="AP188" s="354">
        <f t="shared" si="141"/>
        <v>1.5184140828736823</v>
      </c>
      <c r="AQ188" s="354">
        <f t="shared" si="142"/>
        <v>5.1032363048666536</v>
      </c>
      <c r="AR188" s="374">
        <f t="shared" si="120"/>
        <v>12.079818270487303</v>
      </c>
      <c r="AS188" s="354">
        <f t="shared" si="143"/>
        <v>5.2345953438482047</v>
      </c>
      <c r="AT188" s="354">
        <f t="shared" si="144"/>
        <v>6.8452229266390994</v>
      </c>
      <c r="AU188" s="355" t="s">
        <v>396</v>
      </c>
      <c r="AV188" s="354" t="s">
        <v>404</v>
      </c>
      <c r="AW188" s="355" t="s">
        <v>405</v>
      </c>
      <c r="AX188" s="355">
        <v>117872</v>
      </c>
      <c r="AY188" s="350" t="s">
        <v>406</v>
      </c>
      <c r="AZ188" s="351">
        <v>45111</v>
      </c>
      <c r="BA188" s="351">
        <v>45111</v>
      </c>
      <c r="BB188" s="350" t="s">
        <v>407</v>
      </c>
    </row>
    <row r="189" spans="1:54" x14ac:dyDescent="0.25">
      <c r="A189" s="348" t="s">
        <v>627</v>
      </c>
      <c r="B189" s="349">
        <v>4967</v>
      </c>
      <c r="C189" s="350" t="s">
        <v>628</v>
      </c>
      <c r="D189" s="351">
        <v>45107</v>
      </c>
      <c r="E189" s="352">
        <v>3130</v>
      </c>
      <c r="F189" s="352">
        <v>1</v>
      </c>
      <c r="G189" s="427"/>
      <c r="H189" s="350" t="s">
        <v>439</v>
      </c>
      <c r="I189" s="350" t="s">
        <v>393</v>
      </c>
      <c r="J189" s="375">
        <v>40032.9</v>
      </c>
      <c r="K189" s="350" t="s">
        <v>394</v>
      </c>
      <c r="L189" s="354">
        <v>0</v>
      </c>
      <c r="M189" s="354">
        <v>14.34</v>
      </c>
      <c r="N189" s="354" t="s">
        <v>395</v>
      </c>
      <c r="O189" s="354">
        <v>12.01</v>
      </c>
      <c r="P189" s="374">
        <f t="shared" si="91"/>
        <v>0.90353665370543634</v>
      </c>
      <c r="Q189" s="354">
        <f t="shared" si="92"/>
        <v>8.5217290093492076E-2</v>
      </c>
      <c r="R189" s="354">
        <f t="shared" si="123"/>
        <v>0.14365156584354119</v>
      </c>
      <c r="S189" s="354">
        <f t="shared" si="124"/>
        <v>0.12796289134053732</v>
      </c>
      <c r="T189" s="354">
        <f t="shared" si="125"/>
        <v>0.54606654684465139</v>
      </c>
      <c r="U189" s="374">
        <f t="shared" si="103"/>
        <v>3.6262846335329773</v>
      </c>
      <c r="V189" s="354">
        <f t="shared" si="126"/>
        <v>9.5990351211116404E-2</v>
      </c>
      <c r="W189" s="354">
        <f t="shared" si="127"/>
        <v>3.2744296908308428</v>
      </c>
      <c r="X189" s="354">
        <f t="shared" si="128"/>
        <v>0.25586459149101809</v>
      </c>
      <c r="Y189" s="374">
        <f t="shared" si="106"/>
        <v>0.53160778172196255</v>
      </c>
      <c r="Z189" s="354">
        <f t="shared" si="129"/>
        <v>0.27423520436580706</v>
      </c>
      <c r="AA189" s="354">
        <f t="shared" si="130"/>
        <v>0.25737257735615549</v>
      </c>
      <c r="AB189" s="374">
        <f t="shared" si="108"/>
        <v>2.9043837332657239</v>
      </c>
      <c r="AC189" s="354">
        <f t="shared" si="131"/>
        <v>0.82424254930589202</v>
      </c>
      <c r="AD189" s="354">
        <f t="shared" si="132"/>
        <v>1.7941929387314159</v>
      </c>
      <c r="AE189" s="354">
        <f t="shared" si="133"/>
        <v>0.28594824522841578</v>
      </c>
      <c r="AF189" s="374">
        <f t="shared" si="111"/>
        <v>2.3245212501728916</v>
      </c>
      <c r="AG189" s="354">
        <f t="shared" si="134"/>
        <v>0.1493893149823107</v>
      </c>
      <c r="AH189" s="354">
        <f t="shared" si="135"/>
        <v>0.75163769860806529</v>
      </c>
      <c r="AI189" s="354">
        <f t="shared" si="136"/>
        <v>0</v>
      </c>
      <c r="AJ189" s="354">
        <f t="shared" si="137"/>
        <v>1.4234942365825158</v>
      </c>
      <c r="AK189" s="374">
        <f t="shared" si="115"/>
        <v>1.5353301088706091</v>
      </c>
      <c r="AL189" s="354">
        <f t="shared" si="138"/>
        <v>0.43988226771838418</v>
      </c>
      <c r="AM189" s="354">
        <f t="shared" si="139"/>
        <v>1.037489755811287</v>
      </c>
      <c r="AN189" s="354">
        <f t="shared" si="140"/>
        <v>5.7958085340937854E-2</v>
      </c>
      <c r="AO189" s="374">
        <f t="shared" si="118"/>
        <v>0.89025376486214536</v>
      </c>
      <c r="AP189" s="354">
        <f t="shared" si="141"/>
        <v>0.20414455230084949</v>
      </c>
      <c r="AQ189" s="354">
        <f t="shared" si="142"/>
        <v>0.68610921256129587</v>
      </c>
      <c r="AR189" s="374">
        <f t="shared" si="120"/>
        <v>1.6240820738682535</v>
      </c>
      <c r="AS189" s="354">
        <f t="shared" si="143"/>
        <v>0.70376989715716531</v>
      </c>
      <c r="AT189" s="354">
        <f t="shared" si="144"/>
        <v>0.92031217671108834</v>
      </c>
      <c r="AU189" s="355" t="s">
        <v>396</v>
      </c>
      <c r="AV189" s="354" t="s">
        <v>404</v>
      </c>
      <c r="AW189" s="355" t="s">
        <v>405</v>
      </c>
      <c r="AX189" s="355">
        <v>103328</v>
      </c>
      <c r="AY189" s="350" t="s">
        <v>406</v>
      </c>
      <c r="AZ189" s="351">
        <v>45111</v>
      </c>
      <c r="BA189" s="351">
        <v>45111</v>
      </c>
      <c r="BB189" s="350" t="s">
        <v>407</v>
      </c>
    </row>
    <row r="190" spans="1:54" x14ac:dyDescent="0.25">
      <c r="A190" s="348" t="s">
        <v>627</v>
      </c>
      <c r="B190" s="349">
        <v>4967</v>
      </c>
      <c r="C190" s="350" t="s">
        <v>628</v>
      </c>
      <c r="D190" s="351">
        <v>45107</v>
      </c>
      <c r="E190" s="352">
        <v>3130</v>
      </c>
      <c r="F190" s="352">
        <v>1</v>
      </c>
      <c r="G190" s="427"/>
      <c r="H190" s="350" t="s">
        <v>439</v>
      </c>
      <c r="I190" s="350" t="s">
        <v>393</v>
      </c>
      <c r="J190" s="375">
        <v>65749.600000000006</v>
      </c>
      <c r="K190" s="350" t="s">
        <v>394</v>
      </c>
      <c r="L190" s="354">
        <v>0</v>
      </c>
      <c r="M190" s="354">
        <v>23.55</v>
      </c>
      <c r="N190" s="354" t="s">
        <v>395</v>
      </c>
      <c r="O190" s="354">
        <v>19.72</v>
      </c>
      <c r="P190" s="374">
        <f t="shared" si="91"/>
        <v>1.4838415756459573</v>
      </c>
      <c r="Q190" s="354">
        <f t="shared" si="92"/>
        <v>0.13994889691086043</v>
      </c>
      <c r="R190" s="354">
        <f t="shared" si="123"/>
        <v>0.23591313637485323</v>
      </c>
      <c r="S190" s="354">
        <f t="shared" si="124"/>
        <v>0.2101482629755686</v>
      </c>
      <c r="T190" s="354">
        <f t="shared" si="125"/>
        <v>0.89678292734947995</v>
      </c>
      <c r="U190" s="374">
        <f t="shared" si="103"/>
        <v>5.9553000780823995</v>
      </c>
      <c r="V190" s="354">
        <f t="shared" si="126"/>
        <v>0.15764105795131039</v>
      </c>
      <c r="W190" s="354">
        <f t="shared" si="127"/>
        <v>5.37746298598789</v>
      </c>
      <c r="X190" s="354">
        <f t="shared" si="128"/>
        <v>0.42019603414319912</v>
      </c>
      <c r="Y190" s="374">
        <f t="shared" si="106"/>
        <v>0.87303788420866235</v>
      </c>
      <c r="Z190" s="354">
        <f t="shared" si="129"/>
        <v>0.45036534608192164</v>
      </c>
      <c r="AA190" s="354">
        <f t="shared" si="130"/>
        <v>0.42267253812674066</v>
      </c>
      <c r="AB190" s="374">
        <f t="shared" si="108"/>
        <v>4.7697515284803211</v>
      </c>
      <c r="AC190" s="354">
        <f t="shared" si="131"/>
        <v>1.3536200862031911</v>
      </c>
      <c r="AD190" s="354">
        <f t="shared" si="132"/>
        <v>2.946530244569376</v>
      </c>
      <c r="AE190" s="354">
        <f t="shared" si="133"/>
        <v>0.46960119770775405</v>
      </c>
      <c r="AF190" s="374">
        <f t="shared" si="111"/>
        <v>3.817466906664686</v>
      </c>
      <c r="AG190" s="354">
        <f t="shared" si="134"/>
        <v>0.24533600891446422</v>
      </c>
      <c r="AH190" s="354">
        <f t="shared" si="135"/>
        <v>1.2343840866262159</v>
      </c>
      <c r="AI190" s="354">
        <f t="shared" si="136"/>
        <v>0</v>
      </c>
      <c r="AJ190" s="354">
        <f t="shared" si="137"/>
        <v>2.3377468111240063</v>
      </c>
      <c r="AK190" s="374">
        <f t="shared" si="115"/>
        <v>2.5214103252372975</v>
      </c>
      <c r="AL190" s="354">
        <f t="shared" si="138"/>
        <v>0.72240079531157242</v>
      </c>
      <c r="AM190" s="354">
        <f t="shared" si="139"/>
        <v>1.7038273186440593</v>
      </c>
      <c r="AN190" s="354">
        <f t="shared" si="140"/>
        <v>9.5182211281665735E-2</v>
      </c>
      <c r="AO190" s="374">
        <f t="shared" si="118"/>
        <v>1.4620276263949459</v>
      </c>
      <c r="AP190" s="354">
        <f t="shared" si="141"/>
        <v>0.33525831287901015</v>
      </c>
      <c r="AQ190" s="354">
        <f t="shared" si="142"/>
        <v>1.1267693135159358</v>
      </c>
      <c r="AR190" s="374">
        <f t="shared" si="120"/>
        <v>2.6671640752857302</v>
      </c>
      <c r="AS190" s="354">
        <f t="shared" si="143"/>
        <v>1.1557727390551773</v>
      </c>
      <c r="AT190" s="354">
        <f t="shared" si="144"/>
        <v>1.5113913362305531</v>
      </c>
      <c r="AU190" s="355" t="s">
        <v>396</v>
      </c>
      <c r="AV190" s="354" t="s">
        <v>404</v>
      </c>
      <c r="AW190" s="355" t="s">
        <v>405</v>
      </c>
      <c r="AX190" s="355">
        <v>117293</v>
      </c>
      <c r="AY190" s="350" t="s">
        <v>406</v>
      </c>
      <c r="AZ190" s="351">
        <v>45111</v>
      </c>
      <c r="BA190" s="351">
        <v>45111</v>
      </c>
      <c r="BB190" s="350" t="s">
        <v>407</v>
      </c>
    </row>
    <row r="191" spans="1:54" x14ac:dyDescent="0.25">
      <c r="A191" s="348" t="s">
        <v>627</v>
      </c>
      <c r="B191" s="349">
        <v>4967</v>
      </c>
      <c r="C191" s="350" t="s">
        <v>628</v>
      </c>
      <c r="D191" s="351">
        <v>45107</v>
      </c>
      <c r="E191" s="352">
        <v>3120</v>
      </c>
      <c r="F191" s="352">
        <v>1</v>
      </c>
      <c r="G191" s="427"/>
      <c r="H191" s="350" t="s">
        <v>438</v>
      </c>
      <c r="I191" s="350" t="s">
        <v>393</v>
      </c>
      <c r="J191" s="375">
        <v>4410</v>
      </c>
      <c r="K191" s="350" t="s">
        <v>394</v>
      </c>
      <c r="L191" s="354">
        <v>0</v>
      </c>
      <c r="M191" s="354">
        <v>1.58</v>
      </c>
      <c r="N191" s="354" t="s">
        <v>395</v>
      </c>
      <c r="O191" s="354">
        <v>1.32</v>
      </c>
      <c r="P191" s="374">
        <f t="shared" si="91"/>
        <v>9.9552853058200108E-2</v>
      </c>
      <c r="Q191" s="354">
        <f t="shared" si="92"/>
        <v>9.3893527439133529E-3</v>
      </c>
      <c r="R191" s="354">
        <f t="shared" si="123"/>
        <v>1.5827717854448753E-2</v>
      </c>
      <c r="S191" s="354">
        <f t="shared" si="124"/>
        <v>1.4099119129571057E-2</v>
      </c>
      <c r="T191" s="354">
        <f t="shared" si="125"/>
        <v>6.0166328034487397E-2</v>
      </c>
      <c r="U191" s="374">
        <f t="shared" si="103"/>
        <v>0.39954879504756652</v>
      </c>
      <c r="V191" s="354">
        <f t="shared" si="126"/>
        <v>1.0576342741531655E-2</v>
      </c>
      <c r="W191" s="354">
        <f t="shared" si="127"/>
        <v>0.36078095617243594</v>
      </c>
      <c r="X191" s="354">
        <f t="shared" si="128"/>
        <v>2.8191496133598924E-2</v>
      </c>
      <c r="Y191" s="374">
        <f t="shared" si="106"/>
        <v>5.8573242337566306E-2</v>
      </c>
      <c r="Z191" s="354">
        <f t="shared" si="129"/>
        <v>3.0215594344349731E-2</v>
      </c>
      <c r="AA191" s="354">
        <f t="shared" si="130"/>
        <v>2.8357647993216571E-2</v>
      </c>
      <c r="AB191" s="374">
        <f t="shared" si="108"/>
        <v>0.32000880743095145</v>
      </c>
      <c r="AC191" s="354">
        <f t="shared" si="131"/>
        <v>9.0816124679449758E-2</v>
      </c>
      <c r="AD191" s="354">
        <f t="shared" si="132"/>
        <v>0.19768653020890078</v>
      </c>
      <c r="AE191" s="354">
        <f t="shared" si="133"/>
        <v>3.1506152542600904E-2</v>
      </c>
      <c r="AF191" s="374">
        <f t="shared" si="111"/>
        <v>0.25611879883355432</v>
      </c>
      <c r="AG191" s="354">
        <f t="shared" si="134"/>
        <v>1.6459910576851526E-2</v>
      </c>
      <c r="AH191" s="354">
        <f t="shared" si="135"/>
        <v>8.2816427043287524E-2</v>
      </c>
      <c r="AI191" s="354">
        <f t="shared" si="136"/>
        <v>0</v>
      </c>
      <c r="AJ191" s="354">
        <f t="shared" si="137"/>
        <v>0.15684246121341527</v>
      </c>
      <c r="AK191" s="374">
        <f t="shared" si="115"/>
        <v>0.16916468424097367</v>
      </c>
      <c r="AL191" s="354">
        <f t="shared" si="138"/>
        <v>4.8466804950840096E-2</v>
      </c>
      <c r="AM191" s="354">
        <f t="shared" si="139"/>
        <v>0.11431198146316832</v>
      </c>
      <c r="AN191" s="354">
        <f t="shared" si="140"/>
        <v>6.385897826965259E-3</v>
      </c>
      <c r="AO191" s="374">
        <f t="shared" si="118"/>
        <v>9.8089326951338193E-2</v>
      </c>
      <c r="AP191" s="354">
        <f t="shared" si="141"/>
        <v>2.2492914409717027E-2</v>
      </c>
      <c r="AQ191" s="354">
        <f t="shared" si="142"/>
        <v>7.5596412541621166E-2</v>
      </c>
      <c r="AR191" s="374">
        <f t="shared" si="120"/>
        <v>0.17894349209984942</v>
      </c>
      <c r="AS191" s="354">
        <f t="shared" si="143"/>
        <v>7.7542289923871771E-2</v>
      </c>
      <c r="AT191" s="354">
        <f t="shared" si="144"/>
        <v>0.10140120217597766</v>
      </c>
      <c r="AU191" s="355" t="s">
        <v>396</v>
      </c>
      <c r="AV191" s="354" t="s">
        <v>404</v>
      </c>
      <c r="AW191" s="355" t="s">
        <v>405</v>
      </c>
      <c r="AX191" s="355">
        <v>103265</v>
      </c>
      <c r="AY191" s="350" t="s">
        <v>406</v>
      </c>
      <c r="AZ191" s="351">
        <v>45111</v>
      </c>
      <c r="BA191" s="351">
        <v>45111</v>
      </c>
      <c r="BB191" s="350" t="s">
        <v>407</v>
      </c>
    </row>
    <row r="192" spans="1:54" x14ac:dyDescent="0.25">
      <c r="A192" s="348" t="s">
        <v>627</v>
      </c>
      <c r="B192" s="349">
        <v>4967</v>
      </c>
      <c r="C192" s="350" t="s">
        <v>628</v>
      </c>
      <c r="D192" s="351">
        <v>45107</v>
      </c>
      <c r="E192" s="352">
        <v>3120</v>
      </c>
      <c r="F192" s="352">
        <v>1</v>
      </c>
      <c r="G192" s="427"/>
      <c r="H192" s="350" t="s">
        <v>438</v>
      </c>
      <c r="I192" s="350" t="s">
        <v>393</v>
      </c>
      <c r="J192" s="375">
        <v>29400</v>
      </c>
      <c r="K192" s="350" t="s">
        <v>394</v>
      </c>
      <c r="L192" s="354">
        <v>0</v>
      </c>
      <c r="M192" s="354">
        <v>10.53</v>
      </c>
      <c r="N192" s="354" t="s">
        <v>395</v>
      </c>
      <c r="O192" s="354">
        <v>8.82</v>
      </c>
      <c r="P192" s="374">
        <f t="shared" si="91"/>
        <v>0.66347565993851076</v>
      </c>
      <c r="Q192" s="354">
        <f t="shared" si="92"/>
        <v>6.2575876198359234E-2</v>
      </c>
      <c r="R192" s="354">
        <f t="shared" si="123"/>
        <v>0.10548472721983881</v>
      </c>
      <c r="S192" s="354">
        <f t="shared" si="124"/>
        <v>9.3964382553407097E-2</v>
      </c>
      <c r="T192" s="354">
        <f t="shared" si="125"/>
        <v>0.40098192038174191</v>
      </c>
      <c r="U192" s="374">
        <f t="shared" si="103"/>
        <v>2.6628157037030857</v>
      </c>
      <c r="V192" s="354">
        <f t="shared" si="126"/>
        <v>7.0486638650840705E-2</v>
      </c>
      <c r="W192" s="354">
        <f t="shared" si="127"/>
        <v>2.4044452332251587</v>
      </c>
      <c r="X192" s="354">
        <f t="shared" si="128"/>
        <v>0.18788383182708651</v>
      </c>
      <c r="Y192" s="374">
        <f t="shared" si="106"/>
        <v>0.39036471000922351</v>
      </c>
      <c r="Z192" s="354">
        <f t="shared" si="129"/>
        <v>0.20137354964936877</v>
      </c>
      <c r="AA192" s="354">
        <f t="shared" si="130"/>
        <v>0.18899116035985472</v>
      </c>
      <c r="AB192" s="374">
        <f t="shared" si="108"/>
        <v>2.1327169254733662</v>
      </c>
      <c r="AC192" s="354">
        <f t="shared" si="131"/>
        <v>0.60524923599658598</v>
      </c>
      <c r="AD192" s="354">
        <f t="shared" si="132"/>
        <v>1.3174931412023578</v>
      </c>
      <c r="AE192" s="354">
        <f t="shared" si="133"/>
        <v>0.20997454827442247</v>
      </c>
      <c r="AF192" s="374">
        <f t="shared" si="111"/>
        <v>1.7069183238717256</v>
      </c>
      <c r="AG192" s="354">
        <f t="shared" si="134"/>
        <v>0.10969801162926997</v>
      </c>
      <c r="AH192" s="354">
        <f t="shared" si="135"/>
        <v>0.55193479542140345</v>
      </c>
      <c r="AI192" s="354">
        <f t="shared" si="136"/>
        <v>0</v>
      </c>
      <c r="AJ192" s="354">
        <f t="shared" si="137"/>
        <v>1.0452855168210522</v>
      </c>
      <c r="AK192" s="374">
        <f t="shared" si="115"/>
        <v>1.1274076740869954</v>
      </c>
      <c r="AL192" s="354">
        <f t="shared" si="138"/>
        <v>0.32300978236224448</v>
      </c>
      <c r="AM192" s="354">
        <f t="shared" si="139"/>
        <v>0.76183871190326735</v>
      </c>
      <c r="AN192" s="354">
        <f t="shared" si="140"/>
        <v>4.2559179821483654E-2</v>
      </c>
      <c r="AO192" s="374">
        <f t="shared" si="118"/>
        <v>0.6537219068339184</v>
      </c>
      <c r="AP192" s="354">
        <f t="shared" si="141"/>
        <v>0.14990530932551915</v>
      </c>
      <c r="AQ192" s="354">
        <f t="shared" si="142"/>
        <v>0.50381659750839924</v>
      </c>
      <c r="AR192" s="374">
        <f t="shared" si="120"/>
        <v>1.1925790960831735</v>
      </c>
      <c r="AS192" s="354">
        <f t="shared" si="143"/>
        <v>0.51678500816352502</v>
      </c>
      <c r="AT192" s="354">
        <f t="shared" si="144"/>
        <v>0.67579408791964846</v>
      </c>
      <c r="AU192" s="355" t="s">
        <v>396</v>
      </c>
      <c r="AV192" s="354" t="s">
        <v>404</v>
      </c>
      <c r="AW192" s="355" t="s">
        <v>405</v>
      </c>
      <c r="AX192" s="355">
        <v>117871</v>
      </c>
      <c r="AY192" s="350" t="s">
        <v>406</v>
      </c>
      <c r="AZ192" s="351">
        <v>45111</v>
      </c>
      <c r="BA192" s="351">
        <v>45111</v>
      </c>
      <c r="BB192" s="350" t="s">
        <v>407</v>
      </c>
    </row>
    <row r="193" spans="1:54" x14ac:dyDescent="0.25">
      <c r="A193" s="348" t="s">
        <v>627</v>
      </c>
      <c r="B193" s="349">
        <v>4967</v>
      </c>
      <c r="C193" s="350" t="s">
        <v>628</v>
      </c>
      <c r="D193" s="351">
        <v>45107</v>
      </c>
      <c r="E193" s="352">
        <v>3120</v>
      </c>
      <c r="F193" s="352">
        <v>1</v>
      </c>
      <c r="G193" s="427"/>
      <c r="H193" s="350" t="s">
        <v>438</v>
      </c>
      <c r="I193" s="350" t="s">
        <v>393</v>
      </c>
      <c r="J193" s="375">
        <v>23520</v>
      </c>
      <c r="K193" s="350" t="s">
        <v>394</v>
      </c>
      <c r="L193" s="354">
        <v>0</v>
      </c>
      <c r="M193" s="354">
        <v>8.42</v>
      </c>
      <c r="N193" s="354" t="s">
        <v>395</v>
      </c>
      <c r="O193" s="354">
        <v>7.06</v>
      </c>
      <c r="P193" s="374">
        <f t="shared" si="91"/>
        <v>0.53052849541142078</v>
      </c>
      <c r="Q193" s="354">
        <f t="shared" si="92"/>
        <v>5.0036930445411666E-2</v>
      </c>
      <c r="R193" s="354">
        <f t="shared" si="123"/>
        <v>8.4347711604087647E-2</v>
      </c>
      <c r="S193" s="354">
        <f t="shared" si="124"/>
        <v>7.513581207024575E-2</v>
      </c>
      <c r="T193" s="354">
        <f t="shared" si="125"/>
        <v>0.32063321648758469</v>
      </c>
      <c r="U193" s="374">
        <f t="shared" si="103"/>
        <v>2.1292410470256393</v>
      </c>
      <c r="V193" s="354">
        <f t="shared" si="126"/>
        <v>5.6362535369428181E-2</v>
      </c>
      <c r="W193" s="354">
        <f t="shared" si="127"/>
        <v>1.9226428170708296</v>
      </c>
      <c r="X193" s="354">
        <f t="shared" si="128"/>
        <v>0.15023569458538161</v>
      </c>
      <c r="Y193" s="374">
        <f t="shared" si="106"/>
        <v>0.31214348131791664</v>
      </c>
      <c r="Z193" s="354">
        <f t="shared" si="129"/>
        <v>0.16102234454393971</v>
      </c>
      <c r="AA193" s="354">
        <f t="shared" si="130"/>
        <v>0.15112113677397693</v>
      </c>
      <c r="AB193" s="374">
        <f t="shared" si="108"/>
        <v>1.7053633914991209</v>
      </c>
      <c r="AC193" s="354">
        <f t="shared" si="131"/>
        <v>0.48396947455757394</v>
      </c>
      <c r="AD193" s="354">
        <f t="shared" si="132"/>
        <v>1.0534940407335092</v>
      </c>
      <c r="AE193" s="354">
        <f t="shared" si="133"/>
        <v>0.16789987620803773</v>
      </c>
      <c r="AF193" s="374">
        <f t="shared" si="111"/>
        <v>1.3648862570750171</v>
      </c>
      <c r="AG193" s="354">
        <f t="shared" si="134"/>
        <v>8.771673864372774E-2</v>
      </c>
      <c r="AH193" s="354">
        <f t="shared" si="135"/>
        <v>0.44133817449650692</v>
      </c>
      <c r="AI193" s="354">
        <f t="shared" si="136"/>
        <v>0</v>
      </c>
      <c r="AJ193" s="354">
        <f t="shared" si="137"/>
        <v>0.83583134393478253</v>
      </c>
      <c r="AK193" s="374">
        <f t="shared" si="115"/>
        <v>0.90149787424620142</v>
      </c>
      <c r="AL193" s="354">
        <f t="shared" si="138"/>
        <v>0.25828512511776813</v>
      </c>
      <c r="AM193" s="354">
        <f t="shared" si="139"/>
        <v>0.60918157210118806</v>
      </c>
      <c r="AN193" s="354">
        <f t="shared" si="140"/>
        <v>3.4031177027245237E-2</v>
      </c>
      <c r="AO193" s="374">
        <f t="shared" si="118"/>
        <v>0.52272919805713136</v>
      </c>
      <c r="AP193" s="354">
        <f t="shared" si="141"/>
        <v>0.11986730337330213</v>
      </c>
      <c r="AQ193" s="354">
        <f t="shared" si="142"/>
        <v>0.40286189468382927</v>
      </c>
      <c r="AR193" s="374">
        <f t="shared" si="120"/>
        <v>0.95361025536755195</v>
      </c>
      <c r="AS193" s="354">
        <f t="shared" si="143"/>
        <v>0.41323169693607614</v>
      </c>
      <c r="AT193" s="354">
        <f t="shared" si="144"/>
        <v>0.54037855843147586</v>
      </c>
      <c r="AU193" s="355" t="s">
        <v>396</v>
      </c>
      <c r="AV193" s="354" t="s">
        <v>404</v>
      </c>
      <c r="AW193" s="355" t="s">
        <v>405</v>
      </c>
      <c r="AX193" s="355">
        <v>103321</v>
      </c>
      <c r="AY193" s="350" t="s">
        <v>406</v>
      </c>
      <c r="AZ193" s="351">
        <v>45111</v>
      </c>
      <c r="BA193" s="351">
        <v>45111</v>
      </c>
      <c r="BB193" s="350" t="s">
        <v>407</v>
      </c>
    </row>
    <row r="194" spans="1:54" x14ac:dyDescent="0.25">
      <c r="A194" s="348" t="s">
        <v>627</v>
      </c>
      <c r="B194" s="349">
        <v>4967</v>
      </c>
      <c r="C194" s="350" t="s">
        <v>628</v>
      </c>
      <c r="D194" s="351">
        <v>45107</v>
      </c>
      <c r="E194" s="352">
        <v>3120</v>
      </c>
      <c r="F194" s="352">
        <v>1</v>
      </c>
      <c r="G194" s="427"/>
      <c r="H194" s="350" t="s">
        <v>438</v>
      </c>
      <c r="I194" s="350" t="s">
        <v>393</v>
      </c>
      <c r="J194" s="375">
        <v>4410</v>
      </c>
      <c r="K194" s="350" t="s">
        <v>394</v>
      </c>
      <c r="L194" s="354">
        <v>0</v>
      </c>
      <c r="M194" s="354">
        <v>1.58</v>
      </c>
      <c r="N194" s="354" t="s">
        <v>395</v>
      </c>
      <c r="O194" s="354">
        <v>1.32</v>
      </c>
      <c r="P194" s="374">
        <f t="shared" si="91"/>
        <v>9.9552853058200108E-2</v>
      </c>
      <c r="Q194" s="354">
        <f t="shared" si="92"/>
        <v>9.3893527439133529E-3</v>
      </c>
      <c r="R194" s="354">
        <f t="shared" si="123"/>
        <v>1.5827717854448753E-2</v>
      </c>
      <c r="S194" s="354">
        <f t="shared" si="124"/>
        <v>1.4099119129571057E-2</v>
      </c>
      <c r="T194" s="354">
        <f t="shared" si="125"/>
        <v>6.0166328034487397E-2</v>
      </c>
      <c r="U194" s="374">
        <f t="shared" si="103"/>
        <v>0.39954879504756652</v>
      </c>
      <c r="V194" s="354">
        <f t="shared" si="126"/>
        <v>1.0576342741531655E-2</v>
      </c>
      <c r="W194" s="354">
        <f t="shared" si="127"/>
        <v>0.36078095617243594</v>
      </c>
      <c r="X194" s="354">
        <f t="shared" si="128"/>
        <v>2.8191496133598924E-2</v>
      </c>
      <c r="Y194" s="374">
        <f t="shared" si="106"/>
        <v>5.8573242337566306E-2</v>
      </c>
      <c r="Z194" s="354">
        <f t="shared" si="129"/>
        <v>3.0215594344349731E-2</v>
      </c>
      <c r="AA194" s="354">
        <f t="shared" si="130"/>
        <v>2.8357647993216571E-2</v>
      </c>
      <c r="AB194" s="374">
        <f t="shared" si="108"/>
        <v>0.32000880743095145</v>
      </c>
      <c r="AC194" s="354">
        <f t="shared" si="131"/>
        <v>9.0816124679449758E-2</v>
      </c>
      <c r="AD194" s="354">
        <f t="shared" si="132"/>
        <v>0.19768653020890078</v>
      </c>
      <c r="AE194" s="354">
        <f t="shared" si="133"/>
        <v>3.1506152542600904E-2</v>
      </c>
      <c r="AF194" s="374">
        <f t="shared" si="111"/>
        <v>0.25611879883355432</v>
      </c>
      <c r="AG194" s="354">
        <f t="shared" si="134"/>
        <v>1.6459910576851526E-2</v>
      </c>
      <c r="AH194" s="354">
        <f t="shared" si="135"/>
        <v>8.2816427043287524E-2</v>
      </c>
      <c r="AI194" s="354">
        <f t="shared" si="136"/>
        <v>0</v>
      </c>
      <c r="AJ194" s="354">
        <f t="shared" si="137"/>
        <v>0.15684246121341527</v>
      </c>
      <c r="AK194" s="374">
        <f t="shared" si="115"/>
        <v>0.16916468424097367</v>
      </c>
      <c r="AL194" s="354">
        <f t="shared" si="138"/>
        <v>4.8466804950840096E-2</v>
      </c>
      <c r="AM194" s="354">
        <f t="shared" si="139"/>
        <v>0.11431198146316832</v>
      </c>
      <c r="AN194" s="354">
        <f t="shared" si="140"/>
        <v>6.385897826965259E-3</v>
      </c>
      <c r="AO194" s="374">
        <f t="shared" si="118"/>
        <v>9.8089326951338193E-2</v>
      </c>
      <c r="AP194" s="354">
        <f t="shared" si="141"/>
        <v>2.2492914409717027E-2</v>
      </c>
      <c r="AQ194" s="354">
        <f t="shared" si="142"/>
        <v>7.5596412541621166E-2</v>
      </c>
      <c r="AR194" s="374">
        <f t="shared" si="120"/>
        <v>0.17894349209984942</v>
      </c>
      <c r="AS194" s="354">
        <f t="shared" si="143"/>
        <v>7.7542289923871771E-2</v>
      </c>
      <c r="AT194" s="354">
        <f t="shared" si="144"/>
        <v>0.10140120217597766</v>
      </c>
      <c r="AU194" s="355" t="s">
        <v>396</v>
      </c>
      <c r="AV194" s="354" t="s">
        <v>404</v>
      </c>
      <c r="AW194" s="355" t="s">
        <v>405</v>
      </c>
      <c r="AX194" s="355">
        <v>117427</v>
      </c>
      <c r="AY194" s="350" t="s">
        <v>406</v>
      </c>
      <c r="AZ194" s="351">
        <v>45111</v>
      </c>
      <c r="BA194" s="351">
        <v>45111</v>
      </c>
      <c r="BB194" s="350" t="s">
        <v>407</v>
      </c>
    </row>
    <row r="195" spans="1:54" x14ac:dyDescent="0.25">
      <c r="A195" s="348" t="s">
        <v>627</v>
      </c>
      <c r="B195" s="349">
        <v>4967</v>
      </c>
      <c r="C195" s="350" t="s">
        <v>628</v>
      </c>
      <c r="D195" s="351">
        <v>45107</v>
      </c>
      <c r="E195" s="352">
        <v>3120</v>
      </c>
      <c r="F195" s="352">
        <v>1</v>
      </c>
      <c r="G195" s="427"/>
      <c r="H195" s="350" t="s">
        <v>438</v>
      </c>
      <c r="I195" s="350" t="s">
        <v>393</v>
      </c>
      <c r="J195" s="375">
        <v>23520</v>
      </c>
      <c r="K195" s="350" t="s">
        <v>394</v>
      </c>
      <c r="L195" s="354">
        <v>0</v>
      </c>
      <c r="M195" s="354">
        <v>8.42</v>
      </c>
      <c r="N195" s="354" t="s">
        <v>395</v>
      </c>
      <c r="O195" s="354">
        <v>7.06</v>
      </c>
      <c r="P195" s="374">
        <f t="shared" si="91"/>
        <v>0.53052849541142078</v>
      </c>
      <c r="Q195" s="354">
        <f t="shared" si="92"/>
        <v>5.0036930445411666E-2</v>
      </c>
      <c r="R195" s="354">
        <f t="shared" si="123"/>
        <v>8.4347711604087647E-2</v>
      </c>
      <c r="S195" s="354">
        <f t="shared" si="124"/>
        <v>7.513581207024575E-2</v>
      </c>
      <c r="T195" s="354">
        <f t="shared" si="125"/>
        <v>0.32063321648758469</v>
      </c>
      <c r="U195" s="374">
        <f t="shared" si="103"/>
        <v>2.1292410470256393</v>
      </c>
      <c r="V195" s="354">
        <f t="shared" si="126"/>
        <v>5.6362535369428181E-2</v>
      </c>
      <c r="W195" s="354">
        <f t="shared" si="127"/>
        <v>1.9226428170708296</v>
      </c>
      <c r="X195" s="354">
        <f t="shared" si="128"/>
        <v>0.15023569458538161</v>
      </c>
      <c r="Y195" s="374">
        <f t="shared" si="106"/>
        <v>0.31214348131791664</v>
      </c>
      <c r="Z195" s="354">
        <f t="shared" si="129"/>
        <v>0.16102234454393971</v>
      </c>
      <c r="AA195" s="354">
        <f t="shared" si="130"/>
        <v>0.15112113677397693</v>
      </c>
      <c r="AB195" s="374">
        <f t="shared" si="108"/>
        <v>1.7053633914991209</v>
      </c>
      <c r="AC195" s="354">
        <f t="shared" si="131"/>
        <v>0.48396947455757394</v>
      </c>
      <c r="AD195" s="354">
        <f t="shared" si="132"/>
        <v>1.0534940407335092</v>
      </c>
      <c r="AE195" s="354">
        <f t="shared" si="133"/>
        <v>0.16789987620803773</v>
      </c>
      <c r="AF195" s="374">
        <f t="shared" si="111"/>
        <v>1.3648862570750171</v>
      </c>
      <c r="AG195" s="354">
        <f t="shared" si="134"/>
        <v>8.771673864372774E-2</v>
      </c>
      <c r="AH195" s="354">
        <f t="shared" si="135"/>
        <v>0.44133817449650692</v>
      </c>
      <c r="AI195" s="354">
        <f t="shared" si="136"/>
        <v>0</v>
      </c>
      <c r="AJ195" s="354">
        <f t="shared" si="137"/>
        <v>0.83583134393478253</v>
      </c>
      <c r="AK195" s="374">
        <f t="shared" si="115"/>
        <v>0.90149787424620142</v>
      </c>
      <c r="AL195" s="354">
        <f t="shared" si="138"/>
        <v>0.25828512511776813</v>
      </c>
      <c r="AM195" s="354">
        <f t="shared" si="139"/>
        <v>0.60918157210118806</v>
      </c>
      <c r="AN195" s="354">
        <f t="shared" si="140"/>
        <v>3.4031177027245237E-2</v>
      </c>
      <c r="AO195" s="374">
        <f t="shared" si="118"/>
        <v>0.52272919805713136</v>
      </c>
      <c r="AP195" s="354">
        <f t="shared" si="141"/>
        <v>0.11986730337330213</v>
      </c>
      <c r="AQ195" s="354">
        <f t="shared" si="142"/>
        <v>0.40286189468382927</v>
      </c>
      <c r="AR195" s="374">
        <f t="shared" si="120"/>
        <v>0.95361025536755195</v>
      </c>
      <c r="AS195" s="354">
        <f t="shared" si="143"/>
        <v>0.41323169693607614</v>
      </c>
      <c r="AT195" s="354">
        <f t="shared" si="144"/>
        <v>0.54037855843147586</v>
      </c>
      <c r="AU195" s="355" t="s">
        <v>396</v>
      </c>
      <c r="AV195" s="354" t="s">
        <v>404</v>
      </c>
      <c r="AW195" s="355" t="s">
        <v>405</v>
      </c>
      <c r="AX195" s="355">
        <v>117872</v>
      </c>
      <c r="AY195" s="350" t="s">
        <v>406</v>
      </c>
      <c r="AZ195" s="351">
        <v>45111</v>
      </c>
      <c r="BA195" s="351">
        <v>45111</v>
      </c>
      <c r="BB195" s="350" t="s">
        <v>407</v>
      </c>
    </row>
    <row r="196" spans="1:54" x14ac:dyDescent="0.25">
      <c r="A196" s="348" t="s">
        <v>627</v>
      </c>
      <c r="B196" s="349">
        <v>4967</v>
      </c>
      <c r="C196" s="350" t="s">
        <v>628</v>
      </c>
      <c r="D196" s="351">
        <v>45107</v>
      </c>
      <c r="E196" s="352">
        <v>3120</v>
      </c>
      <c r="F196" s="352">
        <v>1</v>
      </c>
      <c r="G196" s="427"/>
      <c r="H196" s="350" t="s">
        <v>438</v>
      </c>
      <c r="I196" s="350" t="s">
        <v>393</v>
      </c>
      <c r="J196" s="375">
        <v>8820</v>
      </c>
      <c r="K196" s="350" t="s">
        <v>394</v>
      </c>
      <c r="L196" s="354">
        <v>0</v>
      </c>
      <c r="M196" s="354">
        <v>3.16</v>
      </c>
      <c r="N196" s="354" t="s">
        <v>395</v>
      </c>
      <c r="O196" s="354">
        <v>2.65</v>
      </c>
      <c r="P196" s="374">
        <f t="shared" ref="P196:P259" si="145">M196*$P$2</f>
        <v>0.19910570611640022</v>
      </c>
      <c r="Q196" s="354">
        <f t="shared" ref="Q196:Q205" si="146">P196*$Q$2</f>
        <v>1.8778705487826706E-2</v>
      </c>
      <c r="R196" s="354">
        <f t="shared" si="123"/>
        <v>3.1655435708897506E-2</v>
      </c>
      <c r="S196" s="354">
        <f t="shared" si="124"/>
        <v>2.8198238259142114E-2</v>
      </c>
      <c r="T196" s="354">
        <f t="shared" si="125"/>
        <v>0.12033265606897479</v>
      </c>
      <c r="U196" s="374">
        <f t="shared" si="103"/>
        <v>0.79909759009513304</v>
      </c>
      <c r="V196" s="354">
        <f t="shared" si="126"/>
        <v>2.1152685483063309E-2</v>
      </c>
      <c r="W196" s="354">
        <f t="shared" si="127"/>
        <v>0.72156191234487188</v>
      </c>
      <c r="X196" s="354">
        <f t="shared" si="128"/>
        <v>5.6382992267197847E-2</v>
      </c>
      <c r="Y196" s="374">
        <f t="shared" si="106"/>
        <v>0.11714648467513261</v>
      </c>
      <c r="Z196" s="354">
        <f t="shared" si="129"/>
        <v>6.0431188688699462E-2</v>
      </c>
      <c r="AA196" s="354">
        <f t="shared" si="130"/>
        <v>5.6715295986433142E-2</v>
      </c>
      <c r="AB196" s="374">
        <f t="shared" si="108"/>
        <v>0.64001761486190289</v>
      </c>
      <c r="AC196" s="354">
        <f t="shared" si="131"/>
        <v>0.18163224935889952</v>
      </c>
      <c r="AD196" s="354">
        <f t="shared" si="132"/>
        <v>0.39537306041780157</v>
      </c>
      <c r="AE196" s="354">
        <f t="shared" si="133"/>
        <v>6.3012305085201809E-2</v>
      </c>
      <c r="AF196" s="374">
        <f t="shared" si="111"/>
        <v>0.51223759766710864</v>
      </c>
      <c r="AG196" s="354">
        <f t="shared" si="134"/>
        <v>3.2919821153703052E-2</v>
      </c>
      <c r="AH196" s="354">
        <f t="shared" si="135"/>
        <v>0.16563285408657505</v>
      </c>
      <c r="AI196" s="354">
        <f t="shared" si="136"/>
        <v>0</v>
      </c>
      <c r="AJ196" s="354">
        <f t="shared" si="137"/>
        <v>0.31368492242683055</v>
      </c>
      <c r="AK196" s="374">
        <f t="shared" si="115"/>
        <v>0.33832936848194733</v>
      </c>
      <c r="AL196" s="354">
        <f t="shared" si="138"/>
        <v>9.6933609901680193E-2</v>
      </c>
      <c r="AM196" s="354">
        <f t="shared" si="139"/>
        <v>0.22862396292633663</v>
      </c>
      <c r="AN196" s="354">
        <f t="shared" si="140"/>
        <v>1.2771795653930518E-2</v>
      </c>
      <c r="AO196" s="374">
        <f t="shared" si="118"/>
        <v>0.19617865390267639</v>
      </c>
      <c r="AP196" s="354">
        <f t="shared" si="141"/>
        <v>4.4985828819434054E-2</v>
      </c>
      <c r="AQ196" s="354">
        <f t="shared" si="142"/>
        <v>0.15119282508324233</v>
      </c>
      <c r="AR196" s="374">
        <f t="shared" si="120"/>
        <v>0.35788698419969883</v>
      </c>
      <c r="AS196" s="354">
        <f t="shared" si="143"/>
        <v>0.15508457984774354</v>
      </c>
      <c r="AT196" s="354">
        <f t="shared" si="144"/>
        <v>0.20280240435195532</v>
      </c>
      <c r="AU196" s="355" t="s">
        <v>396</v>
      </c>
      <c r="AV196" s="354" t="s">
        <v>404</v>
      </c>
      <c r="AW196" s="355" t="s">
        <v>405</v>
      </c>
      <c r="AX196" s="355">
        <v>103328</v>
      </c>
      <c r="AY196" s="350" t="s">
        <v>406</v>
      </c>
      <c r="AZ196" s="351">
        <v>45111</v>
      </c>
      <c r="BA196" s="351">
        <v>45111</v>
      </c>
      <c r="BB196" s="350" t="s">
        <v>407</v>
      </c>
    </row>
    <row r="197" spans="1:54" x14ac:dyDescent="0.25">
      <c r="A197" s="348" t="s">
        <v>627</v>
      </c>
      <c r="B197" s="349">
        <v>4967</v>
      </c>
      <c r="C197" s="350" t="s">
        <v>628</v>
      </c>
      <c r="D197" s="351">
        <v>45107</v>
      </c>
      <c r="E197" s="352">
        <v>3120</v>
      </c>
      <c r="F197" s="352">
        <v>1</v>
      </c>
      <c r="G197" s="427"/>
      <c r="H197" s="350" t="s">
        <v>438</v>
      </c>
      <c r="I197" s="350" t="s">
        <v>393</v>
      </c>
      <c r="J197" s="375">
        <v>2940</v>
      </c>
      <c r="K197" s="350" t="s">
        <v>394</v>
      </c>
      <c r="L197" s="354">
        <v>0</v>
      </c>
      <c r="M197" s="354">
        <v>1.05</v>
      </c>
      <c r="N197" s="354" t="s">
        <v>395</v>
      </c>
      <c r="O197" s="354">
        <v>0.88</v>
      </c>
      <c r="P197" s="374">
        <f t="shared" si="145"/>
        <v>6.6158541589310199E-2</v>
      </c>
      <c r="Q197" s="354">
        <f t="shared" si="146"/>
        <v>6.2397597348791273E-3</v>
      </c>
      <c r="R197" s="354">
        <f t="shared" si="123"/>
        <v>1.0518420093146323E-2</v>
      </c>
      <c r="S197" s="354">
        <f t="shared" si="124"/>
        <v>9.3696677759807657E-3</v>
      </c>
      <c r="T197" s="354">
        <f t="shared" si="125"/>
        <v>3.9983952174817573E-2</v>
      </c>
      <c r="U197" s="374">
        <f t="shared" si="103"/>
        <v>0.26552293341768662</v>
      </c>
      <c r="V197" s="354">
        <f t="shared" si="126"/>
        <v>7.0285822016507831E-3</v>
      </c>
      <c r="W197" s="354">
        <f t="shared" si="127"/>
        <v>0.2397594961905429</v>
      </c>
      <c r="X197" s="354">
        <f t="shared" si="128"/>
        <v>1.8734855025492957E-2</v>
      </c>
      <c r="Y197" s="374">
        <f t="shared" si="106"/>
        <v>3.8925255983825707E-2</v>
      </c>
      <c r="Z197" s="354">
        <f t="shared" si="129"/>
        <v>2.0079983583270389E-2</v>
      </c>
      <c r="AA197" s="354">
        <f t="shared" si="130"/>
        <v>1.8845272400555314E-2</v>
      </c>
      <c r="AB197" s="374">
        <f t="shared" si="108"/>
        <v>0.21266408088765762</v>
      </c>
      <c r="AC197" s="354">
        <f t="shared" si="131"/>
        <v>6.0352487919887496E-2</v>
      </c>
      <c r="AD197" s="354">
        <f t="shared" si="132"/>
        <v>0.13137395994895307</v>
      </c>
      <c r="AE197" s="354">
        <f t="shared" si="133"/>
        <v>2.093763301881706E-2</v>
      </c>
      <c r="AF197" s="374">
        <f t="shared" si="111"/>
        <v>0.17020553087040002</v>
      </c>
      <c r="AG197" s="354">
        <f t="shared" si="134"/>
        <v>1.0938548168160825E-2</v>
      </c>
      <c r="AH197" s="354">
        <f t="shared" si="135"/>
        <v>5.5036233161678424E-2</v>
      </c>
      <c r="AI197" s="354">
        <f t="shared" si="136"/>
        <v>0</v>
      </c>
      <c r="AJ197" s="354">
        <f t="shared" si="137"/>
        <v>0.10423074954056079</v>
      </c>
      <c r="AK197" s="374">
        <f t="shared" si="115"/>
        <v>0.11241956864115339</v>
      </c>
      <c r="AL197" s="354">
        <f t="shared" si="138"/>
        <v>3.2208952657203867E-2</v>
      </c>
      <c r="AM197" s="354">
        <f t="shared" si="139"/>
        <v>7.5966823124257427E-2</v>
      </c>
      <c r="AN197" s="354">
        <f t="shared" si="140"/>
        <v>4.2437928596921028E-3</v>
      </c>
      <c r="AO197" s="374">
        <f t="shared" si="118"/>
        <v>6.5185945125889308E-2</v>
      </c>
      <c r="AP197" s="354">
        <f t="shared" si="141"/>
        <v>1.4947822867217013E-2</v>
      </c>
      <c r="AQ197" s="354">
        <f t="shared" si="142"/>
        <v>5.0238122258672295E-2</v>
      </c>
      <c r="AR197" s="374">
        <f t="shared" si="120"/>
        <v>0.11891814348407714</v>
      </c>
      <c r="AS197" s="354">
        <f t="shared" si="143"/>
        <v>5.1531268620294529E-2</v>
      </c>
      <c r="AT197" s="354">
        <f t="shared" si="144"/>
        <v>6.7386874863782614E-2</v>
      </c>
      <c r="AU197" s="355" t="s">
        <v>396</v>
      </c>
      <c r="AV197" s="354" t="s">
        <v>404</v>
      </c>
      <c r="AW197" s="355" t="s">
        <v>405</v>
      </c>
      <c r="AX197" s="355">
        <v>117293</v>
      </c>
      <c r="AY197" s="350" t="s">
        <v>406</v>
      </c>
      <c r="AZ197" s="351">
        <v>45111</v>
      </c>
      <c r="BA197" s="351">
        <v>45111</v>
      </c>
      <c r="BB197" s="350" t="s">
        <v>407</v>
      </c>
    </row>
    <row r="198" spans="1:54" x14ac:dyDescent="0.25">
      <c r="A198" s="348" t="s">
        <v>627</v>
      </c>
      <c r="B198" s="349">
        <v>4967</v>
      </c>
      <c r="C198" s="350" t="s">
        <v>628</v>
      </c>
      <c r="D198" s="351">
        <v>45107</v>
      </c>
      <c r="E198" s="352">
        <v>3110</v>
      </c>
      <c r="F198" s="352">
        <v>1</v>
      </c>
      <c r="G198" s="427"/>
      <c r="H198" s="350" t="s">
        <v>437</v>
      </c>
      <c r="I198" s="350" t="s">
        <v>393</v>
      </c>
      <c r="J198" s="375">
        <v>2051074.3</v>
      </c>
      <c r="K198" s="350" t="s">
        <v>394</v>
      </c>
      <c r="L198" s="354">
        <v>0</v>
      </c>
      <c r="M198" s="354">
        <v>734.5</v>
      </c>
      <c r="N198" s="354" t="s">
        <v>395</v>
      </c>
      <c r="O198" s="354">
        <v>615.32000000000005</v>
      </c>
      <c r="P198" s="374">
        <f t="shared" si="145"/>
        <v>46.279475045093655</v>
      </c>
      <c r="Q198" s="354">
        <f t="shared" si="146"/>
        <v>4.3648605002559222</v>
      </c>
      <c r="R198" s="354">
        <f t="shared" si="123"/>
        <v>7.3578852937294981</v>
      </c>
      <c r="S198" s="354">
        <f t="shared" si="124"/>
        <v>6.5543056966265452</v>
      </c>
      <c r="T198" s="354">
        <f t="shared" si="125"/>
        <v>27.969726545146198</v>
      </c>
      <c r="U198" s="374">
        <f t="shared" si="103"/>
        <v>185.73961390027696</v>
      </c>
      <c r="V198" s="354">
        <f t="shared" si="126"/>
        <v>4.9166605972499999</v>
      </c>
      <c r="W198" s="354">
        <f t="shared" si="127"/>
        <v>167.71747614471786</v>
      </c>
      <c r="X198" s="354">
        <f t="shared" si="128"/>
        <v>13.105477158309119</v>
      </c>
      <c r="Y198" s="374">
        <f t="shared" si="106"/>
        <v>27.229143352495221</v>
      </c>
      <c r="Z198" s="354">
        <f t="shared" si="129"/>
        <v>14.046426611344859</v>
      </c>
      <c r="AA198" s="354">
        <f t="shared" si="130"/>
        <v>13.182716741150362</v>
      </c>
      <c r="AB198" s="374">
        <f t="shared" si="108"/>
        <v>148.76358801141382</v>
      </c>
      <c r="AC198" s="354">
        <f t="shared" si="131"/>
        <v>42.218002263959391</v>
      </c>
      <c r="AD198" s="354">
        <f t="shared" si="132"/>
        <v>91.899212935720016</v>
      </c>
      <c r="AE198" s="354">
        <f t="shared" si="133"/>
        <v>14.646372811734407</v>
      </c>
      <c r="AF198" s="374">
        <f t="shared" si="111"/>
        <v>119.06282135648458</v>
      </c>
      <c r="AG198" s="354">
        <f t="shared" si="134"/>
        <v>7.6517748852515481</v>
      </c>
      <c r="AH198" s="354">
        <f t="shared" si="135"/>
        <v>38.499155483097901</v>
      </c>
      <c r="AI198" s="354">
        <f t="shared" si="136"/>
        <v>0</v>
      </c>
      <c r="AJ198" s="354">
        <f t="shared" si="137"/>
        <v>72.911890988135127</v>
      </c>
      <c r="AK198" s="374">
        <f t="shared" si="115"/>
        <v>78.640164920883009</v>
      </c>
      <c r="AL198" s="354">
        <f t="shared" si="138"/>
        <v>22.530929263539274</v>
      </c>
      <c r="AM198" s="354">
        <f t="shared" si="139"/>
        <v>53.14060150930198</v>
      </c>
      <c r="AN198" s="354">
        <f t="shared" si="140"/>
        <v>2.9686341480417613</v>
      </c>
      <c r="AO198" s="374">
        <f t="shared" si="118"/>
        <v>45.599120661872085</v>
      </c>
      <c r="AP198" s="354">
        <f t="shared" si="141"/>
        <v>10.456357996162756</v>
      </c>
      <c r="AQ198" s="354">
        <f t="shared" si="142"/>
        <v>35.142762665709327</v>
      </c>
      <c r="AR198" s="374">
        <f t="shared" si="120"/>
        <v>83.186072751480623</v>
      </c>
      <c r="AS198" s="354">
        <f t="shared" si="143"/>
        <v>36.047349334863171</v>
      </c>
      <c r="AT198" s="354">
        <f t="shared" si="144"/>
        <v>47.138723416617459</v>
      </c>
      <c r="AU198" s="355" t="s">
        <v>396</v>
      </c>
      <c r="AV198" s="354" t="s">
        <v>404</v>
      </c>
      <c r="AW198" s="355" t="s">
        <v>405</v>
      </c>
      <c r="AX198" s="355">
        <v>102955</v>
      </c>
      <c r="AY198" s="350" t="s">
        <v>406</v>
      </c>
      <c r="AZ198" s="351">
        <v>45111</v>
      </c>
      <c r="BA198" s="351">
        <v>45111</v>
      </c>
      <c r="BB198" s="350" t="s">
        <v>407</v>
      </c>
    </row>
    <row r="199" spans="1:54" x14ac:dyDescent="0.25">
      <c r="A199" s="348" t="s">
        <v>627</v>
      </c>
      <c r="B199" s="349">
        <v>4967</v>
      </c>
      <c r="C199" s="350" t="s">
        <v>628</v>
      </c>
      <c r="D199" s="351">
        <v>45107</v>
      </c>
      <c r="E199" s="352">
        <v>3110</v>
      </c>
      <c r="F199" s="352">
        <v>1</v>
      </c>
      <c r="G199" s="427"/>
      <c r="H199" s="350" t="s">
        <v>437</v>
      </c>
      <c r="I199" s="350" t="s">
        <v>393</v>
      </c>
      <c r="J199" s="375">
        <v>595528.80000000005</v>
      </c>
      <c r="K199" s="350" t="s">
        <v>394</v>
      </c>
      <c r="L199" s="354">
        <v>0</v>
      </c>
      <c r="M199" s="354">
        <v>213.26</v>
      </c>
      <c r="N199" s="354" t="s">
        <v>395</v>
      </c>
      <c r="O199" s="354">
        <v>178.66</v>
      </c>
      <c r="P199" s="374">
        <f t="shared" si="145"/>
        <v>13.437114837463135</v>
      </c>
      <c r="Q199" s="354">
        <f t="shared" si="146"/>
        <v>1.2673249152955453</v>
      </c>
      <c r="R199" s="354">
        <f t="shared" si="123"/>
        <v>2.1363412086327469</v>
      </c>
      <c r="S199" s="354">
        <f t="shared" si="124"/>
        <v>1.9030241427672931</v>
      </c>
      <c r="T199" s="354">
        <f t="shared" si="125"/>
        <v>8.1209310864777091</v>
      </c>
      <c r="U199" s="374">
        <f t="shared" si="103"/>
        <v>53.928972172053186</v>
      </c>
      <c r="V199" s="354">
        <f t="shared" si="126"/>
        <v>1.4275385145943293</v>
      </c>
      <c r="W199" s="354">
        <f t="shared" si="127"/>
        <v>48.696295388185881</v>
      </c>
      <c r="X199" s="354">
        <f t="shared" si="128"/>
        <v>3.8051382692729789</v>
      </c>
      <c r="Y199" s="374">
        <f t="shared" si="106"/>
        <v>7.9059048486768289</v>
      </c>
      <c r="Z199" s="354">
        <f t="shared" si="129"/>
        <v>4.0783402847316603</v>
      </c>
      <c r="AA199" s="354">
        <f t="shared" si="130"/>
        <v>3.8275645639451681</v>
      </c>
      <c r="AB199" s="374">
        <f t="shared" si="108"/>
        <v>43.193087514382725</v>
      </c>
      <c r="AC199" s="354">
        <f t="shared" si="131"/>
        <v>12.257877689328769</v>
      </c>
      <c r="AD199" s="354">
        <f t="shared" si="132"/>
        <v>26.682676855917837</v>
      </c>
      <c r="AE199" s="354">
        <f t="shared" si="133"/>
        <v>4.2525329691361193</v>
      </c>
      <c r="AF199" s="374">
        <f t="shared" si="111"/>
        <v>34.56955382230619</v>
      </c>
      <c r="AG199" s="354">
        <f t="shared" si="134"/>
        <v>2.2216712212780734</v>
      </c>
      <c r="AH199" s="354">
        <f t="shared" si="135"/>
        <v>11.178121032437655</v>
      </c>
      <c r="AI199" s="354">
        <f t="shared" si="136"/>
        <v>0</v>
      </c>
      <c r="AJ199" s="354">
        <f t="shared" si="137"/>
        <v>21.169761568590463</v>
      </c>
      <c r="AK199" s="374">
        <f t="shared" si="115"/>
        <v>22.832949722297496</v>
      </c>
      <c r="AL199" s="354">
        <f t="shared" si="138"/>
        <v>6.5417916606431392</v>
      </c>
      <c r="AM199" s="354">
        <f t="shared" si="139"/>
        <v>15.429223523313464</v>
      </c>
      <c r="AN199" s="354">
        <f t="shared" si="140"/>
        <v>0.86193453834089306</v>
      </c>
      <c r="AO199" s="374">
        <f t="shared" si="118"/>
        <v>13.239575864330622</v>
      </c>
      <c r="AP199" s="354">
        <f t="shared" si="141"/>
        <v>3.0359740044406665</v>
      </c>
      <c r="AQ199" s="354">
        <f t="shared" si="142"/>
        <v>10.203601859889956</v>
      </c>
      <c r="AR199" s="374">
        <f t="shared" si="120"/>
        <v>24.152841218489801</v>
      </c>
      <c r="AS199" s="354">
        <f t="shared" si="143"/>
        <v>10.466246043775248</v>
      </c>
      <c r="AT199" s="354">
        <f t="shared" si="144"/>
        <v>13.686595174714554</v>
      </c>
      <c r="AU199" s="355" t="s">
        <v>396</v>
      </c>
      <c r="AV199" s="354" t="s">
        <v>404</v>
      </c>
      <c r="AW199" s="355" t="s">
        <v>405</v>
      </c>
      <c r="AX199" s="355">
        <v>103265</v>
      </c>
      <c r="AY199" s="350" t="s">
        <v>406</v>
      </c>
      <c r="AZ199" s="351">
        <v>45111</v>
      </c>
      <c r="BA199" s="351">
        <v>45111</v>
      </c>
      <c r="BB199" s="350" t="s">
        <v>407</v>
      </c>
    </row>
    <row r="200" spans="1:54" x14ac:dyDescent="0.25">
      <c r="A200" s="348" t="s">
        <v>627</v>
      </c>
      <c r="B200" s="349">
        <v>4967</v>
      </c>
      <c r="C200" s="350" t="s">
        <v>628</v>
      </c>
      <c r="D200" s="351">
        <v>45107</v>
      </c>
      <c r="E200" s="352">
        <v>3110</v>
      </c>
      <c r="F200" s="352">
        <v>1</v>
      </c>
      <c r="G200" s="427"/>
      <c r="H200" s="350" t="s">
        <v>437</v>
      </c>
      <c r="I200" s="350" t="s">
        <v>393</v>
      </c>
      <c r="J200" s="375">
        <v>5592445</v>
      </c>
      <c r="K200" s="350" t="s">
        <v>394</v>
      </c>
      <c r="L200" s="354">
        <v>0</v>
      </c>
      <c r="M200" s="354">
        <v>2002.68</v>
      </c>
      <c r="N200" s="354" t="s">
        <v>395</v>
      </c>
      <c r="O200" s="354">
        <v>1677.73</v>
      </c>
      <c r="P200" s="374">
        <f t="shared" si="145"/>
        <v>126.18513149531404</v>
      </c>
      <c r="Q200" s="354">
        <f t="shared" si="146"/>
        <v>11.901182881759743</v>
      </c>
      <c r="R200" s="354">
        <f t="shared" si="123"/>
        <v>20.061932906802166</v>
      </c>
      <c r="S200" s="354">
        <f t="shared" si="124"/>
        <v>17.870901201524912</v>
      </c>
      <c r="T200" s="354">
        <f t="shared" si="125"/>
        <v>76.261963182346335</v>
      </c>
      <c r="U200" s="374">
        <f t="shared" ref="U200:U205" si="147">M200*$U$2</f>
        <v>506.43568409231682</v>
      </c>
      <c r="V200" s="354">
        <f t="shared" si="126"/>
        <v>13.405715241525705</v>
      </c>
      <c r="W200" s="354">
        <f t="shared" si="127"/>
        <v>457.29671221988235</v>
      </c>
      <c r="X200" s="354">
        <f t="shared" si="128"/>
        <v>35.733256630908798</v>
      </c>
      <c r="Y200" s="374">
        <f t="shared" ref="Y200:Y263" si="148">M200*$Y$2</f>
        <v>74.242696813036261</v>
      </c>
      <c r="Z200" s="354">
        <f t="shared" si="129"/>
        <v>38.298839545279954</v>
      </c>
      <c r="AA200" s="354">
        <f t="shared" si="130"/>
        <v>35.943857267756307</v>
      </c>
      <c r="AB200" s="374">
        <f t="shared" ref="AB200:AB263" si="149">M200*$AB$2</f>
        <v>405.61723953532777</v>
      </c>
      <c r="AC200" s="354">
        <f t="shared" si="131"/>
        <v>115.11116238800028</v>
      </c>
      <c r="AD200" s="354">
        <f t="shared" si="132"/>
        <v>250.57143058149458</v>
      </c>
      <c r="AE200" s="354">
        <f t="shared" si="133"/>
        <v>39.9346465658329</v>
      </c>
      <c r="AF200" s="374">
        <f t="shared" ref="AF200:AF263" si="150">M200*$AF$2</f>
        <v>324.63544053669779</v>
      </c>
      <c r="AG200" s="354">
        <f t="shared" si="134"/>
        <v>20.86324918610697</v>
      </c>
      <c r="AH200" s="354">
        <f t="shared" si="135"/>
        <v>104.97139374117155</v>
      </c>
      <c r="AI200" s="354">
        <f t="shared" si="136"/>
        <v>0</v>
      </c>
      <c r="AJ200" s="354">
        <f t="shared" si="137"/>
        <v>198.80079760941928</v>
      </c>
      <c r="AK200" s="374">
        <f t="shared" ref="AK200:AK263" si="151">M200*$AK$2</f>
        <v>214.41944926310958</v>
      </c>
      <c r="AL200" s="354">
        <f t="shared" si="138"/>
        <v>61.432595530980031</v>
      </c>
      <c r="AM200" s="354">
        <f t="shared" si="139"/>
        <v>144.89260698522654</v>
      </c>
      <c r="AN200" s="354">
        <f t="shared" si="140"/>
        <v>8.0942467469030284</v>
      </c>
      <c r="AO200" s="374">
        <f t="shared" ref="AO200:AO263" si="152">M200*$AO$2</f>
        <v>124.33008436639618</v>
      </c>
      <c r="AP200" s="354">
        <f t="shared" si="141"/>
        <v>28.510196094969682</v>
      </c>
      <c r="AQ200" s="354">
        <f t="shared" si="142"/>
        <v>95.819888271426507</v>
      </c>
      <c r="AR200" s="374">
        <f t="shared" ref="AR200:AR205" si="153">M200*$AR$2</f>
        <v>226.81427389780154</v>
      </c>
      <c r="AS200" s="354">
        <f t="shared" si="143"/>
        <v>98.286324800468051</v>
      </c>
      <c r="AT200" s="354">
        <f t="shared" si="144"/>
        <v>128.5279490973335</v>
      </c>
      <c r="AU200" s="355" t="s">
        <v>396</v>
      </c>
      <c r="AV200" s="354" t="s">
        <v>404</v>
      </c>
      <c r="AW200" s="355" t="s">
        <v>405</v>
      </c>
      <c r="AX200" s="355">
        <v>117871</v>
      </c>
      <c r="AY200" s="350" t="s">
        <v>406</v>
      </c>
      <c r="AZ200" s="351">
        <v>45111</v>
      </c>
      <c r="BA200" s="351">
        <v>45111</v>
      </c>
      <c r="BB200" s="350" t="s">
        <v>407</v>
      </c>
    </row>
    <row r="201" spans="1:54" x14ac:dyDescent="0.25">
      <c r="A201" s="348" t="s">
        <v>627</v>
      </c>
      <c r="B201" s="349">
        <v>4967</v>
      </c>
      <c r="C201" s="350" t="s">
        <v>628</v>
      </c>
      <c r="D201" s="351">
        <v>45107</v>
      </c>
      <c r="E201" s="352">
        <v>3110</v>
      </c>
      <c r="F201" s="352">
        <v>1</v>
      </c>
      <c r="G201" s="427"/>
      <c r="H201" s="350" t="s">
        <v>437</v>
      </c>
      <c r="I201" s="350" t="s">
        <v>393</v>
      </c>
      <c r="J201" s="375">
        <v>3083644.8</v>
      </c>
      <c r="K201" s="350" t="s">
        <v>394</v>
      </c>
      <c r="L201" s="354">
        <v>0</v>
      </c>
      <c r="M201" s="354">
        <v>1104.27</v>
      </c>
      <c r="N201" s="354" t="s">
        <v>395</v>
      </c>
      <c r="O201" s="354">
        <v>925.09</v>
      </c>
      <c r="P201" s="374">
        <f t="shared" si="145"/>
        <v>69.577993067454827</v>
      </c>
      <c r="Q201" s="354">
        <f t="shared" si="146"/>
        <v>6.5622661737475942</v>
      </c>
      <c r="R201" s="354">
        <f t="shared" si="123"/>
        <v>11.062072148817798</v>
      </c>
      <c r="S201" s="354">
        <f t="shared" si="124"/>
        <v>9.8539457476021717</v>
      </c>
      <c r="T201" s="354">
        <f t="shared" si="125"/>
        <v>42.050551302938857</v>
      </c>
      <c r="U201" s="374">
        <f t="shared" si="147"/>
        <v>279.24667589061789</v>
      </c>
      <c r="V201" s="354">
        <f t="shared" si="126"/>
        <v>7.3918594931589618</v>
      </c>
      <c r="W201" s="354">
        <f t="shared" si="127"/>
        <v>252.15163700793408</v>
      </c>
      <c r="X201" s="354">
        <f t="shared" si="128"/>
        <v>19.703179389524863</v>
      </c>
      <c r="Y201" s="374">
        <f t="shared" si="148"/>
        <v>40.937135643104014</v>
      </c>
      <c r="Z201" s="354">
        <f t="shared" si="129"/>
        <v>21.117831877617139</v>
      </c>
      <c r="AA201" s="354">
        <f t="shared" si="130"/>
        <v>19.819303765486875</v>
      </c>
      <c r="AB201" s="374">
        <f t="shared" si="149"/>
        <v>223.65577581125109</v>
      </c>
      <c r="AC201" s="354">
        <f t="shared" si="131"/>
        <v>63.471849366946813</v>
      </c>
      <c r="AD201" s="354">
        <f t="shared" si="132"/>
        <v>138.1641169074575</v>
      </c>
      <c r="AE201" s="354">
        <f t="shared" si="133"/>
        <v>22.019809536846772</v>
      </c>
      <c r="AF201" s="374">
        <f t="shared" si="150"/>
        <v>179.00272530881583</v>
      </c>
      <c r="AG201" s="354">
        <f t="shared" si="134"/>
        <v>11.503914843480908</v>
      </c>
      <c r="AH201" s="354">
        <f t="shared" si="135"/>
        <v>57.880820184234885</v>
      </c>
      <c r="AI201" s="354">
        <f t="shared" si="136"/>
        <v>0</v>
      </c>
      <c r="AJ201" s="354">
        <f t="shared" si="137"/>
        <v>109.61799028110005</v>
      </c>
      <c r="AK201" s="374">
        <f t="shared" si="151"/>
        <v>118.23005434606328</v>
      </c>
      <c r="AL201" s="354">
        <f t="shared" si="138"/>
        <v>33.873695381686197</v>
      </c>
      <c r="AM201" s="354">
        <f t="shared" si="139"/>
        <v>79.893222639451182</v>
      </c>
      <c r="AN201" s="354">
        <f t="shared" si="140"/>
        <v>4.4631363249259026</v>
      </c>
      <c r="AO201" s="374">
        <f t="shared" si="152"/>
        <v>68.555127261110272</v>
      </c>
      <c r="AP201" s="354">
        <f t="shared" si="141"/>
        <v>15.720411769125459</v>
      </c>
      <c r="AQ201" s="354">
        <f t="shared" si="142"/>
        <v>52.834715491984817</v>
      </c>
      <c r="AR201" s="374">
        <f t="shared" si="153"/>
        <v>125.06451267158272</v>
      </c>
      <c r="AS201" s="354">
        <f t="shared" si="143"/>
        <v>54.194699046983459</v>
      </c>
      <c r="AT201" s="354">
        <f t="shared" si="144"/>
        <v>70.86981362459926</v>
      </c>
      <c r="AU201" s="355" t="s">
        <v>396</v>
      </c>
      <c r="AV201" s="354" t="s">
        <v>404</v>
      </c>
      <c r="AW201" s="355" t="s">
        <v>405</v>
      </c>
      <c r="AX201" s="355">
        <v>103321</v>
      </c>
      <c r="AY201" s="350" t="s">
        <v>406</v>
      </c>
      <c r="AZ201" s="351">
        <v>45111</v>
      </c>
      <c r="BA201" s="351">
        <v>45111</v>
      </c>
      <c r="BB201" s="350" t="s">
        <v>407</v>
      </c>
    </row>
    <row r="202" spans="1:54" x14ac:dyDescent="0.25">
      <c r="A202" s="348" t="s">
        <v>627</v>
      </c>
      <c r="B202" s="349">
        <v>4967</v>
      </c>
      <c r="C202" s="350" t="s">
        <v>628</v>
      </c>
      <c r="D202" s="351">
        <v>45107</v>
      </c>
      <c r="E202" s="352">
        <v>3110</v>
      </c>
      <c r="F202" s="352">
        <v>1</v>
      </c>
      <c r="G202" s="427"/>
      <c r="H202" s="350" t="s">
        <v>437</v>
      </c>
      <c r="I202" s="350" t="s">
        <v>393</v>
      </c>
      <c r="J202" s="375">
        <v>598983.44999999995</v>
      </c>
      <c r="K202" s="350" t="s">
        <v>394</v>
      </c>
      <c r="L202" s="354">
        <v>0</v>
      </c>
      <c r="M202" s="354">
        <v>214.5</v>
      </c>
      <c r="N202" s="354" t="s">
        <v>395</v>
      </c>
      <c r="O202" s="354">
        <v>179.7</v>
      </c>
      <c r="P202" s="374">
        <f t="shared" si="145"/>
        <v>13.515244924673368</v>
      </c>
      <c r="Q202" s="354">
        <f t="shared" si="146"/>
        <v>1.2746937744110216</v>
      </c>
      <c r="R202" s="354">
        <f t="shared" si="123"/>
        <v>2.1487629618856054</v>
      </c>
      <c r="S202" s="354">
        <f t="shared" si="124"/>
        <v>1.9140892742360707</v>
      </c>
      <c r="T202" s="354">
        <f t="shared" si="125"/>
        <v>8.1681502299984476</v>
      </c>
      <c r="U202" s="374">
        <f t="shared" si="147"/>
        <v>54.242542112470261</v>
      </c>
      <c r="V202" s="354">
        <f t="shared" si="126"/>
        <v>1.4358389354800885</v>
      </c>
      <c r="W202" s="354">
        <f t="shared" si="127"/>
        <v>48.97943993606804</v>
      </c>
      <c r="X202" s="354">
        <f t="shared" si="128"/>
        <v>3.8272632409221323</v>
      </c>
      <c r="Y202" s="374">
        <f t="shared" si="148"/>
        <v>7.9518737224101086</v>
      </c>
      <c r="Z202" s="354">
        <f t="shared" si="129"/>
        <v>4.1020537891538078</v>
      </c>
      <c r="AA202" s="354">
        <f t="shared" si="130"/>
        <v>3.8498199332562999</v>
      </c>
      <c r="AB202" s="374">
        <f t="shared" si="149"/>
        <v>43.444233667050057</v>
      </c>
      <c r="AC202" s="354">
        <f t="shared" si="131"/>
        <v>12.32915110363416</v>
      </c>
      <c r="AD202" s="354">
        <f t="shared" si="132"/>
        <v>26.837823246714695</v>
      </c>
      <c r="AE202" s="354">
        <f t="shared" si="133"/>
        <v>4.2772593167011994</v>
      </c>
      <c r="AF202" s="374">
        <f t="shared" si="150"/>
        <v>34.770558449238855</v>
      </c>
      <c r="AG202" s="354">
        <f t="shared" si="134"/>
        <v>2.2345891257814254</v>
      </c>
      <c r="AH202" s="354">
        <f t="shared" si="135"/>
        <v>11.24311620302859</v>
      </c>
      <c r="AI202" s="354">
        <f t="shared" si="136"/>
        <v>0</v>
      </c>
      <c r="AJ202" s="354">
        <f t="shared" si="137"/>
        <v>21.292853120428841</v>
      </c>
      <c r="AK202" s="374">
        <f t="shared" si="151"/>
        <v>22.965711879549907</v>
      </c>
      <c r="AL202" s="354">
        <f t="shared" si="138"/>
        <v>6.5798288999716465</v>
      </c>
      <c r="AM202" s="354">
        <f t="shared" si="139"/>
        <v>15.518936723955447</v>
      </c>
      <c r="AN202" s="354">
        <f t="shared" si="140"/>
        <v>0.86694625562281524</v>
      </c>
      <c r="AO202" s="374">
        <f t="shared" si="152"/>
        <v>13.316557361431672</v>
      </c>
      <c r="AP202" s="354">
        <f t="shared" si="141"/>
        <v>3.0536266714457612</v>
      </c>
      <c r="AQ202" s="354">
        <f t="shared" si="142"/>
        <v>10.262930689985911</v>
      </c>
      <c r="AR202" s="374">
        <f t="shared" si="153"/>
        <v>24.293277883175758</v>
      </c>
      <c r="AS202" s="354">
        <f t="shared" si="143"/>
        <v>10.527102018145882</v>
      </c>
      <c r="AT202" s="354">
        <f t="shared" si="144"/>
        <v>13.766175865029878</v>
      </c>
      <c r="AU202" s="355" t="s">
        <v>396</v>
      </c>
      <c r="AV202" s="354" t="s">
        <v>404</v>
      </c>
      <c r="AW202" s="355" t="s">
        <v>405</v>
      </c>
      <c r="AX202" s="355">
        <v>117427</v>
      </c>
      <c r="AY202" s="350" t="s">
        <v>406</v>
      </c>
      <c r="AZ202" s="351">
        <v>45111</v>
      </c>
      <c r="BA202" s="351">
        <v>45111</v>
      </c>
      <c r="BB202" s="350" t="s">
        <v>407</v>
      </c>
    </row>
    <row r="203" spans="1:54" x14ac:dyDescent="0.25">
      <c r="A203" s="348" t="s">
        <v>627</v>
      </c>
      <c r="B203" s="349">
        <v>4967</v>
      </c>
      <c r="C203" s="350" t="s">
        <v>628</v>
      </c>
      <c r="D203" s="351">
        <v>45107</v>
      </c>
      <c r="E203" s="352">
        <v>3110</v>
      </c>
      <c r="F203" s="352">
        <v>1</v>
      </c>
      <c r="G203" s="427"/>
      <c r="H203" s="350" t="s">
        <v>437</v>
      </c>
      <c r="I203" s="350" t="s">
        <v>393</v>
      </c>
      <c r="J203" s="375">
        <v>3194579.2</v>
      </c>
      <c r="K203" s="350" t="s">
        <v>394</v>
      </c>
      <c r="L203" s="354">
        <v>0</v>
      </c>
      <c r="M203" s="354">
        <v>1143.99</v>
      </c>
      <c r="N203" s="354" t="s">
        <v>395</v>
      </c>
      <c r="O203" s="354">
        <v>958.37</v>
      </c>
      <c r="P203" s="374">
        <f t="shared" si="145"/>
        <v>72.080676183576159</v>
      </c>
      <c r="Q203" s="354">
        <f t="shared" si="146"/>
        <v>6.7983073705755928</v>
      </c>
      <c r="R203" s="354">
        <f t="shared" si="123"/>
        <v>11.459968954627104</v>
      </c>
      <c r="S203" s="354">
        <f t="shared" si="124"/>
        <v>10.208386894327843</v>
      </c>
      <c r="T203" s="354">
        <f t="shared" si="125"/>
        <v>43.563087093780524</v>
      </c>
      <c r="U203" s="374">
        <f t="shared" si="147"/>
        <v>289.29102914333265</v>
      </c>
      <c r="V203" s="354">
        <f t="shared" si="126"/>
        <v>7.6577407170156935</v>
      </c>
      <c r="W203" s="354">
        <f t="shared" si="127"/>
        <v>261.22139623525629</v>
      </c>
      <c r="X203" s="354">
        <f t="shared" si="128"/>
        <v>20.411892191060652</v>
      </c>
      <c r="Y203" s="374">
        <f t="shared" si="148"/>
        <v>42.409622469463592</v>
      </c>
      <c r="Z203" s="354">
        <f t="shared" si="129"/>
        <v>21.877428970881422</v>
      </c>
      <c r="AA203" s="354">
        <f t="shared" si="130"/>
        <v>20.532193498582167</v>
      </c>
      <c r="AB203" s="374">
        <f t="shared" si="149"/>
        <v>231.70055418540136</v>
      </c>
      <c r="AC203" s="354">
        <f t="shared" si="131"/>
        <v>65.754897767116276</v>
      </c>
      <c r="AD203" s="354">
        <f t="shared" si="132"/>
        <v>143.13380613524077</v>
      </c>
      <c r="AE203" s="354">
        <f t="shared" si="133"/>
        <v>22.811850283044308</v>
      </c>
      <c r="AF203" s="374">
        <f t="shared" si="150"/>
        <v>185.44135739088466</v>
      </c>
      <c r="AG203" s="354">
        <f t="shared" si="134"/>
        <v>11.917704494185049</v>
      </c>
      <c r="AH203" s="354">
        <f t="shared" si="135"/>
        <v>59.962762261550942</v>
      </c>
      <c r="AI203" s="354">
        <f t="shared" si="136"/>
        <v>0</v>
      </c>
      <c r="AJ203" s="354">
        <f t="shared" si="137"/>
        <v>113.56089063514868</v>
      </c>
      <c r="AK203" s="374">
        <f t="shared" si="151"/>
        <v>122.48272602837434</v>
      </c>
      <c r="AL203" s="354">
        <f t="shared" si="138"/>
        <v>35.092114047918713</v>
      </c>
      <c r="AM203" s="354">
        <f t="shared" si="139"/>
        <v>82.766939034208804</v>
      </c>
      <c r="AN203" s="354">
        <f t="shared" si="140"/>
        <v>4.6236729462468267</v>
      </c>
      <c r="AO203" s="374">
        <f t="shared" si="152"/>
        <v>71.021018442443903</v>
      </c>
      <c r="AP203" s="354">
        <f t="shared" si="141"/>
        <v>16.285866554159607</v>
      </c>
      <c r="AQ203" s="354">
        <f t="shared" si="142"/>
        <v>54.7351518882843</v>
      </c>
      <c r="AR203" s="374">
        <f t="shared" si="153"/>
        <v>129.56301615652325</v>
      </c>
      <c r="AS203" s="354">
        <f t="shared" si="143"/>
        <v>56.14405332279118</v>
      </c>
      <c r="AT203" s="354">
        <f t="shared" si="144"/>
        <v>73.418962833732081</v>
      </c>
      <c r="AU203" s="355" t="s">
        <v>396</v>
      </c>
      <c r="AV203" s="354" t="s">
        <v>404</v>
      </c>
      <c r="AW203" s="355" t="s">
        <v>405</v>
      </c>
      <c r="AX203" s="355">
        <v>117872</v>
      </c>
      <c r="AY203" s="350" t="s">
        <v>406</v>
      </c>
      <c r="AZ203" s="351">
        <v>45111</v>
      </c>
      <c r="BA203" s="351">
        <v>45111</v>
      </c>
      <c r="BB203" s="350" t="s">
        <v>407</v>
      </c>
    </row>
    <row r="204" spans="1:54" x14ac:dyDescent="0.25">
      <c r="A204" s="348" t="s">
        <v>627</v>
      </c>
      <c r="B204" s="349">
        <v>4967</v>
      </c>
      <c r="C204" s="350" t="s">
        <v>628</v>
      </c>
      <c r="D204" s="351">
        <v>45107</v>
      </c>
      <c r="E204" s="352">
        <v>3110</v>
      </c>
      <c r="F204" s="352">
        <v>1</v>
      </c>
      <c r="G204" s="427"/>
      <c r="H204" s="350" t="s">
        <v>437</v>
      </c>
      <c r="I204" s="350" t="s">
        <v>393</v>
      </c>
      <c r="J204" s="375">
        <v>481329.9</v>
      </c>
      <c r="K204" s="350" t="s">
        <v>394</v>
      </c>
      <c r="L204" s="354">
        <v>0</v>
      </c>
      <c r="M204" s="354">
        <v>172.37</v>
      </c>
      <c r="N204" s="354" t="s">
        <v>395</v>
      </c>
      <c r="O204" s="354">
        <v>144.4</v>
      </c>
      <c r="P204" s="374">
        <f t="shared" si="145"/>
        <v>10.860712203570856</v>
      </c>
      <c r="Q204" s="354">
        <f t="shared" si="146"/>
        <v>1.0243308433343954</v>
      </c>
      <c r="R204" s="354">
        <f t="shared" si="123"/>
        <v>1.7267238775767919</v>
      </c>
      <c r="S204" s="354">
        <f t="shared" si="124"/>
        <v>1.5381425090912424</v>
      </c>
      <c r="T204" s="354">
        <f t="shared" si="125"/>
        <v>6.5638417489269569</v>
      </c>
      <c r="U204" s="374">
        <f t="shared" si="147"/>
        <v>43.588750507815853</v>
      </c>
      <c r="V204" s="354">
        <f t="shared" si="126"/>
        <v>1.1538254419986147</v>
      </c>
      <c r="W204" s="354">
        <f t="shared" si="127"/>
        <v>39.359375579394175</v>
      </c>
      <c r="X204" s="354">
        <f t="shared" si="128"/>
        <v>3.0755494864230677</v>
      </c>
      <c r="Y204" s="374">
        <f t="shared" si="148"/>
        <v>6.3900441656495595</v>
      </c>
      <c r="Z204" s="354">
        <f t="shared" si="129"/>
        <v>3.2963683526174452</v>
      </c>
      <c r="AA204" s="354">
        <f t="shared" si="130"/>
        <v>3.0936758130321143</v>
      </c>
      <c r="AB204" s="374">
        <f t="shared" si="149"/>
        <v>34.911340592957657</v>
      </c>
      <c r="AC204" s="354">
        <f t="shared" si="131"/>
        <v>9.9075793740485771</v>
      </c>
      <c r="AD204" s="354">
        <f t="shared" si="132"/>
        <v>21.56659950133432</v>
      </c>
      <c r="AE204" s="354">
        <f t="shared" si="133"/>
        <v>3.437161717574758</v>
      </c>
      <c r="AF204" s="374">
        <f t="shared" si="150"/>
        <v>27.941264148696046</v>
      </c>
      <c r="AG204" s="354">
        <f t="shared" si="134"/>
        <v>1.7956929026151249</v>
      </c>
      <c r="AH204" s="354">
        <f t="shared" si="135"/>
        <v>9.0348528667414367</v>
      </c>
      <c r="AI204" s="354">
        <f t="shared" si="136"/>
        <v>0</v>
      </c>
      <c r="AJ204" s="354">
        <f t="shared" si="137"/>
        <v>17.110718379339485</v>
      </c>
      <c r="AK204" s="374">
        <f t="shared" si="151"/>
        <v>18.455010520643437</v>
      </c>
      <c r="AL204" s="354">
        <f t="shared" si="138"/>
        <v>5.2874830185926003</v>
      </c>
      <c r="AM204" s="354">
        <f t="shared" si="139"/>
        <v>12.470858382788812</v>
      </c>
      <c r="AN204" s="354">
        <f t="shared" si="140"/>
        <v>0.69666911926202635</v>
      </c>
      <c r="AO204" s="374">
        <f t="shared" si="152"/>
        <v>10.70104891557099</v>
      </c>
      <c r="AP204" s="354">
        <f t="shared" si="141"/>
        <v>2.4538630739259011</v>
      </c>
      <c r="AQ204" s="354">
        <f t="shared" si="142"/>
        <v>8.2471858416450896</v>
      </c>
      <c r="AR204" s="374">
        <f t="shared" si="153"/>
        <v>19.521828945095596</v>
      </c>
      <c r="AS204" s="354">
        <f t="shared" si="143"/>
        <v>8.4594712115049209</v>
      </c>
      <c r="AT204" s="354">
        <f t="shared" si="144"/>
        <v>11.062357733590675</v>
      </c>
      <c r="AU204" s="355" t="s">
        <v>396</v>
      </c>
      <c r="AV204" s="354" t="s">
        <v>404</v>
      </c>
      <c r="AW204" s="355" t="s">
        <v>405</v>
      </c>
      <c r="AX204" s="355">
        <v>103328</v>
      </c>
      <c r="AY204" s="350" t="s">
        <v>406</v>
      </c>
      <c r="AZ204" s="351">
        <v>45111</v>
      </c>
      <c r="BA204" s="351">
        <v>45111</v>
      </c>
      <c r="BB204" s="350" t="s">
        <v>407</v>
      </c>
    </row>
    <row r="205" spans="1:54" x14ac:dyDescent="0.25">
      <c r="A205" s="348" t="s">
        <v>627</v>
      </c>
      <c r="B205" s="349">
        <v>4967</v>
      </c>
      <c r="C205" s="350" t="s">
        <v>628</v>
      </c>
      <c r="D205" s="351">
        <v>45107</v>
      </c>
      <c r="E205" s="352">
        <v>3110</v>
      </c>
      <c r="F205" s="352">
        <v>1</v>
      </c>
      <c r="G205" s="427"/>
      <c r="H205" s="350" t="s">
        <v>437</v>
      </c>
      <c r="I205" s="350" t="s">
        <v>393</v>
      </c>
      <c r="J205" s="375">
        <v>684495.8</v>
      </c>
      <c r="K205" s="350" t="s">
        <v>394</v>
      </c>
      <c r="L205" s="354">
        <v>0</v>
      </c>
      <c r="M205" s="354">
        <v>245.12</v>
      </c>
      <c r="N205" s="354" t="s">
        <v>395</v>
      </c>
      <c r="O205" s="354">
        <v>205.35</v>
      </c>
      <c r="P205" s="374">
        <f t="shared" si="145"/>
        <v>15.444554013687348</v>
      </c>
      <c r="Q205" s="354">
        <f t="shared" si="146"/>
        <v>1.4566570535367349</v>
      </c>
      <c r="R205" s="354">
        <f t="shared" si="123"/>
        <v>2.4555001268876442</v>
      </c>
      <c r="S205" s="354">
        <f t="shared" si="124"/>
        <v>2.18732663356991</v>
      </c>
      <c r="T205" s="354">
        <f t="shared" si="125"/>
        <v>9.3341584353250315</v>
      </c>
      <c r="U205" s="374">
        <f t="shared" si="147"/>
        <v>61.985696608898422</v>
      </c>
      <c r="V205" s="354">
        <f t="shared" si="126"/>
        <v>1.6408057802558476</v>
      </c>
      <c r="W205" s="354">
        <f t="shared" si="127"/>
        <v>55.971283529738926</v>
      </c>
      <c r="X205" s="354">
        <f t="shared" si="128"/>
        <v>4.373607298903651</v>
      </c>
      <c r="Y205" s="374">
        <f t="shared" si="148"/>
        <v>9.0870083302431972</v>
      </c>
      <c r="Z205" s="354">
        <f t="shared" si="129"/>
        <v>4.6876243580297503</v>
      </c>
      <c r="AA205" s="354">
        <f t="shared" si="130"/>
        <v>4.399383972213446</v>
      </c>
      <c r="AB205" s="374">
        <f t="shared" si="149"/>
        <v>49.645923340173937</v>
      </c>
      <c r="AC205" s="354">
        <f t="shared" si="131"/>
        <v>14.089144608497927</v>
      </c>
      <c r="AD205" s="354">
        <f t="shared" si="132"/>
        <v>30.668938154940356</v>
      </c>
      <c r="AE205" s="354">
        <f t="shared" si="133"/>
        <v>4.8878405767356545</v>
      </c>
      <c r="AF205" s="374">
        <f t="shared" si="150"/>
        <v>39.734075930430905</v>
      </c>
      <c r="AG205" s="354">
        <f t="shared" si="134"/>
        <v>2.5535780256948395</v>
      </c>
      <c r="AH205" s="354">
        <f t="shared" si="135"/>
        <v>12.848077592943442</v>
      </c>
      <c r="AI205" s="354">
        <f t="shared" si="136"/>
        <v>0</v>
      </c>
      <c r="AJ205" s="354">
        <f t="shared" si="137"/>
        <v>24.332420311792628</v>
      </c>
      <c r="AK205" s="374">
        <f t="shared" si="151"/>
        <v>26.244080633637637</v>
      </c>
      <c r="AL205" s="354">
        <f t="shared" si="138"/>
        <v>7.519103309841725</v>
      </c>
      <c r="AM205" s="354">
        <f t="shared" si="139"/>
        <v>17.734273984969505</v>
      </c>
      <c r="AN205" s="354">
        <f t="shared" si="140"/>
        <v>0.99070333882640782</v>
      </c>
      <c r="AO205" s="374">
        <f t="shared" si="152"/>
        <v>15.217503685007605</v>
      </c>
      <c r="AP205" s="354">
        <f t="shared" si="141"/>
        <v>3.4895336582973657</v>
      </c>
      <c r="AQ205" s="354">
        <f t="shared" si="142"/>
        <v>11.72797002671024</v>
      </c>
      <c r="AR205" s="374">
        <f t="shared" si="153"/>
        <v>27.761157457920941</v>
      </c>
      <c r="AS205" s="354">
        <f t="shared" si="143"/>
        <v>12.029851965911043</v>
      </c>
      <c r="AT205" s="354">
        <f t="shared" si="144"/>
        <v>15.7313054920099</v>
      </c>
      <c r="AU205" s="355" t="s">
        <v>396</v>
      </c>
      <c r="AV205" s="354" t="s">
        <v>404</v>
      </c>
      <c r="AW205" s="355" t="s">
        <v>405</v>
      </c>
      <c r="AX205" s="355">
        <v>117293</v>
      </c>
      <c r="AY205" s="350" t="s">
        <v>406</v>
      </c>
      <c r="AZ205" s="351">
        <v>45111</v>
      </c>
      <c r="BA205" s="351">
        <v>45111</v>
      </c>
      <c r="BB205" s="350" t="s">
        <v>407</v>
      </c>
    </row>
    <row r="206" spans="1:54" x14ac:dyDescent="0.25">
      <c r="A206" s="348" t="s">
        <v>638</v>
      </c>
      <c r="B206" s="379">
        <v>1</v>
      </c>
      <c r="C206" s="380">
        <v>45078</v>
      </c>
      <c r="D206" s="351">
        <v>45092</v>
      </c>
      <c r="E206" s="352"/>
      <c r="F206" s="352">
        <v>6</v>
      </c>
      <c r="G206" s="428" t="s">
        <v>321</v>
      </c>
      <c r="H206" s="350" t="s">
        <v>817</v>
      </c>
      <c r="I206" s="350" t="s">
        <v>393</v>
      </c>
      <c r="J206" s="556">
        <f>400000*10/100</f>
        <v>40000</v>
      </c>
      <c r="K206" s="350" t="s">
        <v>394</v>
      </c>
      <c r="L206" s="353">
        <v>2801.6</v>
      </c>
      <c r="M206" s="375">
        <f>+J206/L206</f>
        <v>14.277555682467161</v>
      </c>
      <c r="N206" s="354" t="s">
        <v>395</v>
      </c>
      <c r="O206" s="354">
        <v>0</v>
      </c>
      <c r="P206" s="374">
        <f t="shared" si="145"/>
        <v>0.8996021537259008</v>
      </c>
      <c r="Q206" s="354">
        <f>P206*$Q$2</f>
        <v>8.4846206723765027E-2</v>
      </c>
      <c r="R206" s="354">
        <f t="shared" si="123"/>
        <v>0.14302602721093147</v>
      </c>
      <c r="S206" s="354">
        <f t="shared" si="124"/>
        <v>0.12740566990265106</v>
      </c>
      <c r="T206" s="354">
        <f t="shared" si="125"/>
        <v>0.54368867007720179</v>
      </c>
      <c r="U206" s="374">
        <f>M206*$U$2</f>
        <v>3.6104937779457535</v>
      </c>
      <c r="V206" s="354">
        <f t="shared" si="126"/>
        <v>9.5572355955111127E-2</v>
      </c>
      <c r="W206" s="354">
        <f t="shared" si="127"/>
        <v>3.2601710069149994</v>
      </c>
      <c r="X206" s="354">
        <f>U206*$X$2</f>
        <v>0.25475041507564322</v>
      </c>
      <c r="Y206" s="374">
        <f t="shared" si="148"/>
        <v>0.52929286644129492</v>
      </c>
      <c r="Z206" s="354">
        <f t="shared" si="129"/>
        <v>0.27304103210778047</v>
      </c>
      <c r="AA206" s="354">
        <f>Y206*$AA$2</f>
        <v>0.25625183433351439</v>
      </c>
      <c r="AB206" s="374">
        <f t="shared" si="149"/>
        <v>2.8917364347945065</v>
      </c>
      <c r="AC206" s="354">
        <f t="shared" si="131"/>
        <v>0.82065333985868605</v>
      </c>
      <c r="AD206" s="354">
        <f t="shared" si="132"/>
        <v>1.7863800270451313</v>
      </c>
      <c r="AE206" s="354">
        <f t="shared" si="133"/>
        <v>0.28470306789068905</v>
      </c>
      <c r="AF206" s="374">
        <f t="shared" si="150"/>
        <v>2.3143989947295425</v>
      </c>
      <c r="AG206" s="354">
        <f t="shared" si="134"/>
        <v>0.14873879100596699</v>
      </c>
      <c r="AH206" s="354">
        <f t="shared" si="135"/>
        <v>0.74836465097058036</v>
      </c>
      <c r="AI206" s="354">
        <f>AF206*$AI$2</f>
        <v>0</v>
      </c>
      <c r="AJ206" s="354">
        <f>AF206*$AJ$2</f>
        <v>1.4172955527529953</v>
      </c>
      <c r="AK206" s="374">
        <f t="shared" si="151"/>
        <v>1.5286444295933397</v>
      </c>
      <c r="AL206" s="354">
        <f t="shared" si="138"/>
        <v>0.4379667762258827</v>
      </c>
      <c r="AM206" s="354">
        <f t="shared" si="139"/>
        <v>1.0329719496921137</v>
      </c>
      <c r="AN206" s="354">
        <f t="shared" si="140"/>
        <v>5.7705703675343376E-2</v>
      </c>
      <c r="AO206" s="374">
        <f t="shared" si="152"/>
        <v>0.88637710595155561</v>
      </c>
      <c r="AP206" s="354">
        <f t="shared" si="141"/>
        <v>0.20325559363652079</v>
      </c>
      <c r="AQ206" s="354">
        <f>AO206*$AQ$2</f>
        <v>0.68312151231503482</v>
      </c>
      <c r="AR206" s="374">
        <f>M206*$AR$2</f>
        <v>1.6170099192852674</v>
      </c>
      <c r="AS206" s="354">
        <f>AR206*$AS$2</f>
        <v>0.7007052924899313</v>
      </c>
      <c r="AT206" s="354">
        <f t="shared" si="144"/>
        <v>0.9163046267953362</v>
      </c>
      <c r="AU206" s="355" t="s">
        <v>396</v>
      </c>
      <c r="AV206" s="354" t="s">
        <v>345</v>
      </c>
      <c r="AW206" s="353">
        <v>0</v>
      </c>
      <c r="AX206" s="353">
        <v>0</v>
      </c>
      <c r="AY206" s="353">
        <v>0</v>
      </c>
      <c r="AZ206" s="353">
        <v>0</v>
      </c>
      <c r="BA206" s="353">
        <v>0</v>
      </c>
      <c r="BB206" s="353">
        <v>0</v>
      </c>
    </row>
    <row r="207" spans="1:54" x14ac:dyDescent="0.25">
      <c r="A207" s="348" t="s">
        <v>639</v>
      </c>
      <c r="B207" s="379">
        <v>2</v>
      </c>
      <c r="C207" s="380">
        <v>45078</v>
      </c>
      <c r="D207" s="351">
        <v>45092</v>
      </c>
      <c r="E207" s="352"/>
      <c r="F207" s="352">
        <v>6</v>
      </c>
      <c r="G207" s="428" t="s">
        <v>327</v>
      </c>
      <c r="H207" s="350" t="s">
        <v>640</v>
      </c>
      <c r="I207" s="350" t="s">
        <v>393</v>
      </c>
      <c r="J207" s="556">
        <v>45000</v>
      </c>
      <c r="K207" s="350" t="s">
        <v>394</v>
      </c>
      <c r="L207" s="353">
        <v>2801.6</v>
      </c>
      <c r="M207" s="375">
        <f t="shared" ref="M207:M265" si="154">+J207/L207</f>
        <v>16.062250142775557</v>
      </c>
      <c r="N207" s="354" t="s">
        <v>395</v>
      </c>
      <c r="O207" s="354">
        <v>0</v>
      </c>
      <c r="P207" s="374">
        <f t="shared" si="145"/>
        <v>1.0120524229416383</v>
      </c>
      <c r="Q207" s="354">
        <f t="shared" ref="Q207:Q272" si="155">P207*$Q$2</f>
        <v>9.5451982564235635E-2</v>
      </c>
      <c r="R207" s="354">
        <f t="shared" si="123"/>
        <v>0.16090428061229789</v>
      </c>
      <c r="S207" s="354">
        <f t="shared" si="124"/>
        <v>0.14333137864048245</v>
      </c>
      <c r="T207" s="354">
        <f t="shared" si="125"/>
        <v>0.61164975383685194</v>
      </c>
      <c r="U207" s="374">
        <f t="shared" ref="U207:U272" si="156">M207*$U$2</f>
        <v>4.0618055001889726</v>
      </c>
      <c r="V207" s="354">
        <f t="shared" si="126"/>
        <v>0.10751890044950002</v>
      </c>
      <c r="W207" s="354">
        <f t="shared" si="127"/>
        <v>3.6676923827793741</v>
      </c>
      <c r="X207" s="354">
        <f t="shared" ref="X207:X231" si="157">U207*$X$2</f>
        <v>0.28659421696009862</v>
      </c>
      <c r="Y207" s="374">
        <f t="shared" si="148"/>
        <v>0.59545447474645674</v>
      </c>
      <c r="Z207" s="354">
        <f t="shared" si="129"/>
        <v>0.30717116112125303</v>
      </c>
      <c r="AA207" s="354">
        <f t="shared" ref="AA207:AA231" si="158">Y207*$AA$2</f>
        <v>0.28828331362520371</v>
      </c>
      <c r="AB207" s="374">
        <f t="shared" si="149"/>
        <v>3.2532034891438202</v>
      </c>
      <c r="AC207" s="354">
        <f t="shared" si="131"/>
        <v>0.92323500734102193</v>
      </c>
      <c r="AD207" s="354">
        <f t="shared" si="132"/>
        <v>2.009677530425773</v>
      </c>
      <c r="AE207" s="354">
        <f t="shared" si="133"/>
        <v>0.32029095137702523</v>
      </c>
      <c r="AF207" s="374">
        <f t="shared" si="150"/>
        <v>2.6036988690707354</v>
      </c>
      <c r="AG207" s="354">
        <f t="shared" si="134"/>
        <v>0.16733113988171289</v>
      </c>
      <c r="AH207" s="354">
        <f t="shared" si="135"/>
        <v>0.84191023234190299</v>
      </c>
      <c r="AI207" s="354">
        <f t="shared" ref="AI207:AI272" si="159">AF207*$AI$2</f>
        <v>0</v>
      </c>
      <c r="AJ207" s="354">
        <f t="shared" ref="AJ207:AJ272" si="160">AF207*$AJ$2</f>
        <v>1.5944574968471199</v>
      </c>
      <c r="AK207" s="374">
        <f t="shared" si="151"/>
        <v>1.7197249832925072</v>
      </c>
      <c r="AL207" s="354">
        <f t="shared" si="138"/>
        <v>0.49271262325411802</v>
      </c>
      <c r="AM207" s="354">
        <f t="shared" si="139"/>
        <v>1.1620934434036279</v>
      </c>
      <c r="AN207" s="354">
        <f t="shared" si="140"/>
        <v>6.4918916634761292E-2</v>
      </c>
      <c r="AO207" s="374">
        <f t="shared" si="152"/>
        <v>0.99717424419550005</v>
      </c>
      <c r="AP207" s="354">
        <f t="shared" si="141"/>
        <v>0.22866254284108589</v>
      </c>
      <c r="AQ207" s="354">
        <f t="shared" ref="AQ207:AQ272" si="161">AO207*$AQ$2</f>
        <v>0.76851170135441416</v>
      </c>
      <c r="AR207" s="374">
        <f t="shared" ref="AR207:AR264" si="162">M207*$AR$2</f>
        <v>1.8191361591959259</v>
      </c>
      <c r="AS207" s="354">
        <f t="shared" ref="AS207:AS272" si="163">AR207*$AS$2</f>
        <v>0.78829345405117268</v>
      </c>
      <c r="AT207" s="354">
        <f t="shared" si="144"/>
        <v>1.0308427051447533</v>
      </c>
      <c r="AU207" s="355" t="s">
        <v>396</v>
      </c>
      <c r="AV207" s="354" t="s">
        <v>345</v>
      </c>
      <c r="AW207" s="353">
        <v>0</v>
      </c>
      <c r="AX207" s="353">
        <v>0</v>
      </c>
      <c r="AY207" s="353">
        <v>0</v>
      </c>
      <c r="AZ207" s="353">
        <v>0</v>
      </c>
      <c r="BA207" s="353">
        <v>0</v>
      </c>
      <c r="BB207" s="353">
        <v>0</v>
      </c>
    </row>
    <row r="208" spans="1:54" x14ac:dyDescent="0.25">
      <c r="A208" s="348" t="s">
        <v>639</v>
      </c>
      <c r="B208" s="379">
        <v>2</v>
      </c>
      <c r="C208" s="380">
        <v>45078</v>
      </c>
      <c r="D208" s="351">
        <v>45092</v>
      </c>
      <c r="E208" s="352"/>
      <c r="F208" s="352">
        <v>6</v>
      </c>
      <c r="G208" s="428" t="s">
        <v>327</v>
      </c>
      <c r="H208" s="350" t="s">
        <v>641</v>
      </c>
      <c r="I208" s="350" t="s">
        <v>393</v>
      </c>
      <c r="J208" s="556">
        <v>45000</v>
      </c>
      <c r="K208" s="350" t="s">
        <v>394</v>
      </c>
      <c r="L208" s="353">
        <v>2801.6</v>
      </c>
      <c r="M208" s="375">
        <f t="shared" si="154"/>
        <v>16.062250142775557</v>
      </c>
      <c r="N208" s="354" t="s">
        <v>395</v>
      </c>
      <c r="O208" s="354">
        <v>0</v>
      </c>
      <c r="P208" s="374">
        <f t="shared" si="145"/>
        <v>1.0120524229416383</v>
      </c>
      <c r="Q208" s="354">
        <f t="shared" si="155"/>
        <v>9.5451982564235635E-2</v>
      </c>
      <c r="R208" s="354">
        <f t="shared" si="123"/>
        <v>0.16090428061229789</v>
      </c>
      <c r="S208" s="354">
        <f t="shared" si="124"/>
        <v>0.14333137864048245</v>
      </c>
      <c r="T208" s="354">
        <f t="shared" si="125"/>
        <v>0.61164975383685194</v>
      </c>
      <c r="U208" s="374">
        <f t="shared" si="156"/>
        <v>4.0618055001889726</v>
      </c>
      <c r="V208" s="354">
        <f t="shared" si="126"/>
        <v>0.10751890044950002</v>
      </c>
      <c r="W208" s="354">
        <f t="shared" si="127"/>
        <v>3.6676923827793741</v>
      </c>
      <c r="X208" s="354">
        <f t="shared" si="157"/>
        <v>0.28659421696009862</v>
      </c>
      <c r="Y208" s="374">
        <f t="shared" si="148"/>
        <v>0.59545447474645674</v>
      </c>
      <c r="Z208" s="354">
        <f t="shared" si="129"/>
        <v>0.30717116112125303</v>
      </c>
      <c r="AA208" s="354">
        <f t="shared" si="158"/>
        <v>0.28828331362520371</v>
      </c>
      <c r="AB208" s="374">
        <f t="shared" si="149"/>
        <v>3.2532034891438202</v>
      </c>
      <c r="AC208" s="354">
        <f t="shared" si="131"/>
        <v>0.92323500734102193</v>
      </c>
      <c r="AD208" s="354">
        <f t="shared" si="132"/>
        <v>2.009677530425773</v>
      </c>
      <c r="AE208" s="354">
        <f t="shared" si="133"/>
        <v>0.32029095137702523</v>
      </c>
      <c r="AF208" s="374">
        <f t="shared" si="150"/>
        <v>2.6036988690707354</v>
      </c>
      <c r="AG208" s="354">
        <f t="shared" si="134"/>
        <v>0.16733113988171289</v>
      </c>
      <c r="AH208" s="354">
        <f t="shared" si="135"/>
        <v>0.84191023234190299</v>
      </c>
      <c r="AI208" s="354">
        <f t="shared" si="159"/>
        <v>0</v>
      </c>
      <c r="AJ208" s="354">
        <f t="shared" si="160"/>
        <v>1.5944574968471199</v>
      </c>
      <c r="AK208" s="374">
        <f t="shared" si="151"/>
        <v>1.7197249832925072</v>
      </c>
      <c r="AL208" s="354">
        <f t="shared" si="138"/>
        <v>0.49271262325411802</v>
      </c>
      <c r="AM208" s="354">
        <f t="shared" si="139"/>
        <v>1.1620934434036279</v>
      </c>
      <c r="AN208" s="354">
        <f t="shared" si="140"/>
        <v>6.4918916634761292E-2</v>
      </c>
      <c r="AO208" s="374">
        <f t="shared" si="152"/>
        <v>0.99717424419550005</v>
      </c>
      <c r="AP208" s="354">
        <f t="shared" si="141"/>
        <v>0.22866254284108589</v>
      </c>
      <c r="AQ208" s="354">
        <f t="shared" si="161"/>
        <v>0.76851170135441416</v>
      </c>
      <c r="AR208" s="374">
        <f t="shared" si="162"/>
        <v>1.8191361591959259</v>
      </c>
      <c r="AS208" s="354">
        <f t="shared" si="163"/>
        <v>0.78829345405117268</v>
      </c>
      <c r="AT208" s="354">
        <f t="shared" si="144"/>
        <v>1.0308427051447533</v>
      </c>
      <c r="AU208" s="355" t="s">
        <v>396</v>
      </c>
      <c r="AV208" s="354" t="s">
        <v>345</v>
      </c>
      <c r="AW208" s="353">
        <v>0</v>
      </c>
      <c r="AX208" s="353">
        <v>0</v>
      </c>
      <c r="AY208" s="353">
        <v>0</v>
      </c>
      <c r="AZ208" s="353">
        <v>0</v>
      </c>
      <c r="BA208" s="353">
        <v>0</v>
      </c>
      <c r="BB208" s="353">
        <v>0</v>
      </c>
    </row>
    <row r="209" spans="1:54" x14ac:dyDescent="0.25">
      <c r="A209" s="348" t="s">
        <v>639</v>
      </c>
      <c r="B209" s="379">
        <v>2</v>
      </c>
      <c r="C209" s="380">
        <v>45078</v>
      </c>
      <c r="D209" s="351">
        <v>45092</v>
      </c>
      <c r="E209" s="352"/>
      <c r="F209" s="352">
        <v>6</v>
      </c>
      <c r="G209" s="428" t="s">
        <v>327</v>
      </c>
      <c r="H209" s="350" t="s">
        <v>642</v>
      </c>
      <c r="I209" s="350" t="s">
        <v>393</v>
      </c>
      <c r="J209" s="556">
        <v>45000</v>
      </c>
      <c r="K209" s="350" t="s">
        <v>394</v>
      </c>
      <c r="L209" s="353">
        <v>2801.6</v>
      </c>
      <c r="M209" s="375">
        <f t="shared" si="154"/>
        <v>16.062250142775557</v>
      </c>
      <c r="N209" s="354" t="s">
        <v>395</v>
      </c>
      <c r="O209" s="354">
        <v>0</v>
      </c>
      <c r="P209" s="374">
        <f t="shared" si="145"/>
        <v>1.0120524229416383</v>
      </c>
      <c r="Q209" s="354">
        <f t="shared" si="155"/>
        <v>9.5451982564235635E-2</v>
      </c>
      <c r="R209" s="354">
        <f t="shared" si="123"/>
        <v>0.16090428061229789</v>
      </c>
      <c r="S209" s="354">
        <f t="shared" si="124"/>
        <v>0.14333137864048245</v>
      </c>
      <c r="T209" s="354">
        <f t="shared" si="125"/>
        <v>0.61164975383685194</v>
      </c>
      <c r="U209" s="374">
        <f t="shared" si="156"/>
        <v>4.0618055001889726</v>
      </c>
      <c r="V209" s="354">
        <f t="shared" si="126"/>
        <v>0.10751890044950002</v>
      </c>
      <c r="W209" s="354">
        <f t="shared" si="127"/>
        <v>3.6676923827793741</v>
      </c>
      <c r="X209" s="354">
        <f t="shared" si="157"/>
        <v>0.28659421696009862</v>
      </c>
      <c r="Y209" s="374">
        <f t="shared" si="148"/>
        <v>0.59545447474645674</v>
      </c>
      <c r="Z209" s="354">
        <f t="shared" si="129"/>
        <v>0.30717116112125303</v>
      </c>
      <c r="AA209" s="354">
        <f t="shared" si="158"/>
        <v>0.28828331362520371</v>
      </c>
      <c r="AB209" s="374">
        <f t="shared" si="149"/>
        <v>3.2532034891438202</v>
      </c>
      <c r="AC209" s="354">
        <f t="shared" si="131"/>
        <v>0.92323500734102193</v>
      </c>
      <c r="AD209" s="354">
        <f t="shared" si="132"/>
        <v>2.009677530425773</v>
      </c>
      <c r="AE209" s="354">
        <f t="shared" si="133"/>
        <v>0.32029095137702523</v>
      </c>
      <c r="AF209" s="374">
        <f t="shared" si="150"/>
        <v>2.6036988690707354</v>
      </c>
      <c r="AG209" s="354">
        <f t="shared" si="134"/>
        <v>0.16733113988171289</v>
      </c>
      <c r="AH209" s="354">
        <f t="shared" si="135"/>
        <v>0.84191023234190299</v>
      </c>
      <c r="AI209" s="354">
        <f t="shared" si="159"/>
        <v>0</v>
      </c>
      <c r="AJ209" s="354">
        <f t="shared" si="160"/>
        <v>1.5944574968471199</v>
      </c>
      <c r="AK209" s="374">
        <f t="shared" si="151"/>
        <v>1.7197249832925072</v>
      </c>
      <c r="AL209" s="354">
        <f t="shared" si="138"/>
        <v>0.49271262325411802</v>
      </c>
      <c r="AM209" s="354">
        <f t="shared" si="139"/>
        <v>1.1620934434036279</v>
      </c>
      <c r="AN209" s="354">
        <f t="shared" si="140"/>
        <v>6.4918916634761292E-2</v>
      </c>
      <c r="AO209" s="374">
        <f t="shared" si="152"/>
        <v>0.99717424419550005</v>
      </c>
      <c r="AP209" s="354">
        <f t="shared" si="141"/>
        <v>0.22866254284108589</v>
      </c>
      <c r="AQ209" s="354">
        <f t="shared" si="161"/>
        <v>0.76851170135441416</v>
      </c>
      <c r="AR209" s="374">
        <f t="shared" si="162"/>
        <v>1.8191361591959259</v>
      </c>
      <c r="AS209" s="354">
        <f t="shared" si="163"/>
        <v>0.78829345405117268</v>
      </c>
      <c r="AT209" s="354">
        <f t="shared" si="144"/>
        <v>1.0308427051447533</v>
      </c>
      <c r="AU209" s="355" t="s">
        <v>396</v>
      </c>
      <c r="AV209" s="354" t="s">
        <v>345</v>
      </c>
      <c r="AW209" s="353">
        <v>0</v>
      </c>
      <c r="AX209" s="353">
        <v>0</v>
      </c>
      <c r="AY209" s="353">
        <v>0</v>
      </c>
      <c r="AZ209" s="353">
        <v>0</v>
      </c>
      <c r="BA209" s="353">
        <v>0</v>
      </c>
      <c r="BB209" s="353">
        <v>0</v>
      </c>
    </row>
    <row r="210" spans="1:54" x14ac:dyDescent="0.25">
      <c r="A210" s="348" t="s">
        <v>639</v>
      </c>
      <c r="B210" s="379">
        <v>2</v>
      </c>
      <c r="C210" s="380">
        <v>45078</v>
      </c>
      <c r="D210" s="351">
        <v>45092</v>
      </c>
      <c r="E210" s="352"/>
      <c r="F210" s="352">
        <v>6</v>
      </c>
      <c r="G210" s="428" t="s">
        <v>327</v>
      </c>
      <c r="H210" s="350" t="s">
        <v>643</v>
      </c>
      <c r="I210" s="350" t="s">
        <v>393</v>
      </c>
      <c r="J210" s="556">
        <v>45000</v>
      </c>
      <c r="K210" s="350" t="s">
        <v>394</v>
      </c>
      <c r="L210" s="353">
        <v>2801.6</v>
      </c>
      <c r="M210" s="375">
        <f t="shared" si="154"/>
        <v>16.062250142775557</v>
      </c>
      <c r="N210" s="354" t="s">
        <v>395</v>
      </c>
      <c r="O210" s="354">
        <v>0</v>
      </c>
      <c r="P210" s="374">
        <f t="shared" si="145"/>
        <v>1.0120524229416383</v>
      </c>
      <c r="Q210" s="354">
        <f t="shared" si="155"/>
        <v>9.5451982564235635E-2</v>
      </c>
      <c r="R210" s="354">
        <f t="shared" si="123"/>
        <v>0.16090428061229789</v>
      </c>
      <c r="S210" s="354">
        <f t="shared" si="124"/>
        <v>0.14333137864048245</v>
      </c>
      <c r="T210" s="354">
        <f t="shared" si="125"/>
        <v>0.61164975383685194</v>
      </c>
      <c r="U210" s="374">
        <f t="shared" si="156"/>
        <v>4.0618055001889726</v>
      </c>
      <c r="V210" s="354">
        <f t="shared" si="126"/>
        <v>0.10751890044950002</v>
      </c>
      <c r="W210" s="354">
        <f t="shared" si="127"/>
        <v>3.6676923827793741</v>
      </c>
      <c r="X210" s="354">
        <f t="shared" si="157"/>
        <v>0.28659421696009862</v>
      </c>
      <c r="Y210" s="374">
        <f t="shared" si="148"/>
        <v>0.59545447474645674</v>
      </c>
      <c r="Z210" s="354">
        <f t="shared" si="129"/>
        <v>0.30717116112125303</v>
      </c>
      <c r="AA210" s="354">
        <f t="shared" si="158"/>
        <v>0.28828331362520371</v>
      </c>
      <c r="AB210" s="374">
        <f t="shared" si="149"/>
        <v>3.2532034891438202</v>
      </c>
      <c r="AC210" s="354">
        <f t="shared" si="131"/>
        <v>0.92323500734102193</v>
      </c>
      <c r="AD210" s="354">
        <f t="shared" si="132"/>
        <v>2.009677530425773</v>
      </c>
      <c r="AE210" s="354">
        <f t="shared" si="133"/>
        <v>0.32029095137702523</v>
      </c>
      <c r="AF210" s="374">
        <f t="shared" si="150"/>
        <v>2.6036988690707354</v>
      </c>
      <c r="AG210" s="354">
        <f t="shared" si="134"/>
        <v>0.16733113988171289</v>
      </c>
      <c r="AH210" s="354">
        <f t="shared" si="135"/>
        <v>0.84191023234190299</v>
      </c>
      <c r="AI210" s="354">
        <f t="shared" si="159"/>
        <v>0</v>
      </c>
      <c r="AJ210" s="354">
        <f t="shared" si="160"/>
        <v>1.5944574968471199</v>
      </c>
      <c r="AK210" s="374">
        <f t="shared" si="151"/>
        <v>1.7197249832925072</v>
      </c>
      <c r="AL210" s="354">
        <f t="shared" si="138"/>
        <v>0.49271262325411802</v>
      </c>
      <c r="AM210" s="354">
        <f t="shared" si="139"/>
        <v>1.1620934434036279</v>
      </c>
      <c r="AN210" s="354">
        <f t="shared" si="140"/>
        <v>6.4918916634761292E-2</v>
      </c>
      <c r="AO210" s="374">
        <f t="shared" si="152"/>
        <v>0.99717424419550005</v>
      </c>
      <c r="AP210" s="354">
        <f t="shared" si="141"/>
        <v>0.22866254284108589</v>
      </c>
      <c r="AQ210" s="354">
        <f t="shared" si="161"/>
        <v>0.76851170135441416</v>
      </c>
      <c r="AR210" s="374">
        <f t="shared" si="162"/>
        <v>1.8191361591959259</v>
      </c>
      <c r="AS210" s="354">
        <f t="shared" si="163"/>
        <v>0.78829345405117268</v>
      </c>
      <c r="AT210" s="354">
        <f t="shared" si="144"/>
        <v>1.0308427051447533</v>
      </c>
      <c r="AU210" s="355" t="s">
        <v>396</v>
      </c>
      <c r="AV210" s="354" t="s">
        <v>345</v>
      </c>
      <c r="AW210" s="353">
        <v>0</v>
      </c>
      <c r="AX210" s="353">
        <v>0</v>
      </c>
      <c r="AY210" s="353">
        <v>0</v>
      </c>
      <c r="AZ210" s="353">
        <v>0</v>
      </c>
      <c r="BA210" s="353">
        <v>0</v>
      </c>
      <c r="BB210" s="353">
        <v>0</v>
      </c>
    </row>
    <row r="211" spans="1:54" x14ac:dyDescent="0.25">
      <c r="A211" s="348" t="s">
        <v>639</v>
      </c>
      <c r="B211" s="379">
        <v>2</v>
      </c>
      <c r="C211" s="380">
        <v>45078</v>
      </c>
      <c r="D211" s="351">
        <v>45092</v>
      </c>
      <c r="E211" s="352"/>
      <c r="F211" s="352">
        <v>6</v>
      </c>
      <c r="G211" s="428" t="s">
        <v>327</v>
      </c>
      <c r="H211" s="350" t="s">
        <v>644</v>
      </c>
      <c r="I211" s="350" t="s">
        <v>393</v>
      </c>
      <c r="J211" s="556">
        <v>45000</v>
      </c>
      <c r="K211" s="350" t="s">
        <v>394</v>
      </c>
      <c r="L211" s="353">
        <v>2801.6</v>
      </c>
      <c r="M211" s="375">
        <f t="shared" si="154"/>
        <v>16.062250142775557</v>
      </c>
      <c r="N211" s="354" t="s">
        <v>395</v>
      </c>
      <c r="O211" s="354">
        <v>0</v>
      </c>
      <c r="P211" s="374">
        <f t="shared" si="145"/>
        <v>1.0120524229416383</v>
      </c>
      <c r="Q211" s="354">
        <f t="shared" si="155"/>
        <v>9.5451982564235635E-2</v>
      </c>
      <c r="R211" s="354">
        <f t="shared" si="123"/>
        <v>0.16090428061229789</v>
      </c>
      <c r="S211" s="354">
        <f t="shared" si="124"/>
        <v>0.14333137864048245</v>
      </c>
      <c r="T211" s="354">
        <f t="shared" si="125"/>
        <v>0.61164975383685194</v>
      </c>
      <c r="U211" s="374">
        <f t="shared" si="156"/>
        <v>4.0618055001889726</v>
      </c>
      <c r="V211" s="354">
        <f t="shared" si="126"/>
        <v>0.10751890044950002</v>
      </c>
      <c r="W211" s="354">
        <f t="shared" si="127"/>
        <v>3.6676923827793741</v>
      </c>
      <c r="X211" s="354">
        <f t="shared" si="157"/>
        <v>0.28659421696009862</v>
      </c>
      <c r="Y211" s="374">
        <f t="shared" si="148"/>
        <v>0.59545447474645674</v>
      </c>
      <c r="Z211" s="354">
        <f t="shared" si="129"/>
        <v>0.30717116112125303</v>
      </c>
      <c r="AA211" s="354">
        <f t="shared" si="158"/>
        <v>0.28828331362520371</v>
      </c>
      <c r="AB211" s="374">
        <f t="shared" si="149"/>
        <v>3.2532034891438202</v>
      </c>
      <c r="AC211" s="354">
        <f t="shared" si="131"/>
        <v>0.92323500734102193</v>
      </c>
      <c r="AD211" s="354">
        <f t="shared" si="132"/>
        <v>2.009677530425773</v>
      </c>
      <c r="AE211" s="354">
        <f t="shared" si="133"/>
        <v>0.32029095137702523</v>
      </c>
      <c r="AF211" s="374">
        <f t="shared" si="150"/>
        <v>2.6036988690707354</v>
      </c>
      <c r="AG211" s="354">
        <f t="shared" si="134"/>
        <v>0.16733113988171289</v>
      </c>
      <c r="AH211" s="354">
        <f t="shared" si="135"/>
        <v>0.84191023234190299</v>
      </c>
      <c r="AI211" s="354">
        <f t="shared" si="159"/>
        <v>0</v>
      </c>
      <c r="AJ211" s="354">
        <f t="shared" si="160"/>
        <v>1.5944574968471199</v>
      </c>
      <c r="AK211" s="374">
        <f t="shared" si="151"/>
        <v>1.7197249832925072</v>
      </c>
      <c r="AL211" s="354">
        <f t="shared" si="138"/>
        <v>0.49271262325411802</v>
      </c>
      <c r="AM211" s="354">
        <f t="shared" si="139"/>
        <v>1.1620934434036279</v>
      </c>
      <c r="AN211" s="354">
        <f t="shared" si="140"/>
        <v>6.4918916634761292E-2</v>
      </c>
      <c r="AO211" s="374">
        <f t="shared" si="152"/>
        <v>0.99717424419550005</v>
      </c>
      <c r="AP211" s="354">
        <f t="shared" si="141"/>
        <v>0.22866254284108589</v>
      </c>
      <c r="AQ211" s="354">
        <f t="shared" si="161"/>
        <v>0.76851170135441416</v>
      </c>
      <c r="AR211" s="374">
        <f t="shared" si="162"/>
        <v>1.8191361591959259</v>
      </c>
      <c r="AS211" s="354">
        <f t="shared" si="163"/>
        <v>0.78829345405117268</v>
      </c>
      <c r="AT211" s="354">
        <f t="shared" si="144"/>
        <v>1.0308427051447533</v>
      </c>
      <c r="AU211" s="355" t="s">
        <v>396</v>
      </c>
      <c r="AV211" s="354" t="s">
        <v>345</v>
      </c>
      <c r="AW211" s="353">
        <v>0</v>
      </c>
      <c r="AX211" s="353">
        <v>0</v>
      </c>
      <c r="AY211" s="353">
        <v>0</v>
      </c>
      <c r="AZ211" s="353">
        <v>0</v>
      </c>
      <c r="BA211" s="353">
        <v>0</v>
      </c>
      <c r="BB211" s="353">
        <v>0</v>
      </c>
    </row>
    <row r="212" spans="1:54" x14ac:dyDescent="0.25">
      <c r="A212" s="348" t="s">
        <v>645</v>
      </c>
      <c r="B212" s="379">
        <v>3</v>
      </c>
      <c r="C212" s="380">
        <v>45078</v>
      </c>
      <c r="D212" s="351">
        <v>45096</v>
      </c>
      <c r="E212" s="352"/>
      <c r="F212" s="352">
        <v>6</v>
      </c>
      <c r="G212" s="428" t="s">
        <v>301</v>
      </c>
      <c r="H212" s="350" t="s">
        <v>646</v>
      </c>
      <c r="I212" s="350" t="s">
        <v>393</v>
      </c>
      <c r="J212" s="556">
        <v>1318589</v>
      </c>
      <c r="K212" s="350" t="s">
        <v>394</v>
      </c>
      <c r="L212" s="353">
        <v>2801.6</v>
      </c>
      <c r="M212" s="375">
        <f t="shared" si="154"/>
        <v>470.65569674471732</v>
      </c>
      <c r="N212" s="354" t="s">
        <v>395</v>
      </c>
      <c r="O212" s="354">
        <v>0</v>
      </c>
      <c r="P212" s="374">
        <f t="shared" si="145"/>
        <v>29.655137606982045</v>
      </c>
      <c r="Q212" s="354">
        <f t="shared" si="155"/>
        <v>2.7969318719420651</v>
      </c>
      <c r="R212" s="354">
        <f t="shared" si="123"/>
        <v>4.7148136548508726</v>
      </c>
      <c r="S212" s="354">
        <f t="shared" si="124"/>
        <v>4.1998928717816693</v>
      </c>
      <c r="T212" s="354">
        <f t="shared" si="125"/>
        <v>17.922547494710685</v>
      </c>
      <c r="U212" s="374">
        <f t="shared" si="156"/>
        <v>119.01893450419283</v>
      </c>
      <c r="V212" s="354">
        <f t="shared" si="126"/>
        <v>3.1505164316623508</v>
      </c>
      <c r="W212" s="354">
        <f t="shared" si="127"/>
        <v>107.47064069592605</v>
      </c>
      <c r="X212" s="354">
        <f t="shared" si="157"/>
        <v>8.3977773766044344</v>
      </c>
      <c r="Y212" s="374">
        <f t="shared" si="148"/>
        <v>17.447993786699016</v>
      </c>
      <c r="Z212" s="354">
        <f t="shared" si="129"/>
        <v>9.0007225371491533</v>
      </c>
      <c r="AA212" s="354">
        <f t="shared" si="158"/>
        <v>8.4472712495498605</v>
      </c>
      <c r="AB212" s="374">
        <f t="shared" si="149"/>
        <v>95.325296345481348</v>
      </c>
      <c r="AC212" s="354">
        <f t="shared" si="131"/>
        <v>27.052611668773128</v>
      </c>
      <c r="AD212" s="354">
        <f t="shared" si="132"/>
        <v>58.887526337035325</v>
      </c>
      <c r="AE212" s="354">
        <f t="shared" si="133"/>
        <v>9.3851583396728966</v>
      </c>
      <c r="AF212" s="374">
        <f t="shared" si="150"/>
        <v>76.293526401535814</v>
      </c>
      <c r="AG212" s="354">
        <f t="shared" si="134"/>
        <v>4.9031333423441747</v>
      </c>
      <c r="AH212" s="354">
        <f t="shared" si="135"/>
        <v>24.669634918966164</v>
      </c>
      <c r="AI212" s="354">
        <f t="shared" si="159"/>
        <v>0</v>
      </c>
      <c r="AJ212" s="354">
        <f t="shared" si="160"/>
        <v>46.720758140225485</v>
      </c>
      <c r="AK212" s="374">
        <f t="shared" si="151"/>
        <v>50.391343244326308</v>
      </c>
      <c r="AL212" s="354">
        <f t="shared" si="138"/>
        <v>14.437454337422761</v>
      </c>
      <c r="AM212" s="354">
        <f t="shared" si="139"/>
        <v>34.051636254314367</v>
      </c>
      <c r="AN212" s="354">
        <f t="shared" si="140"/>
        <v>1.9022526525891836</v>
      </c>
      <c r="AO212" s="374">
        <f t="shared" si="152"/>
        <v>29.219177543988895</v>
      </c>
      <c r="AP212" s="354">
        <f t="shared" si="141"/>
        <v>6.7002647489396576</v>
      </c>
      <c r="AQ212" s="354">
        <f t="shared" si="161"/>
        <v>22.518912795049239</v>
      </c>
      <c r="AR212" s="374">
        <f t="shared" si="162"/>
        <v>53.30428731151104</v>
      </c>
      <c r="AS212" s="354">
        <f t="shared" si="163"/>
        <v>23.09855727297515</v>
      </c>
      <c r="AT212" s="354">
        <f t="shared" si="144"/>
        <v>30.20573003853589</v>
      </c>
      <c r="AU212" s="355" t="s">
        <v>396</v>
      </c>
      <c r="AV212" s="354" t="s">
        <v>345</v>
      </c>
      <c r="AW212" s="353">
        <v>0</v>
      </c>
      <c r="AX212" s="353">
        <v>0</v>
      </c>
      <c r="AY212" s="353">
        <v>0</v>
      </c>
      <c r="AZ212" s="353">
        <v>0</v>
      </c>
      <c r="BA212" s="353">
        <v>0</v>
      </c>
      <c r="BB212" s="353">
        <v>0</v>
      </c>
    </row>
    <row r="213" spans="1:54" x14ac:dyDescent="0.25">
      <c r="A213" s="348" t="s">
        <v>645</v>
      </c>
      <c r="B213" s="379">
        <v>3</v>
      </c>
      <c r="C213" s="380">
        <v>45078</v>
      </c>
      <c r="D213" s="351">
        <v>45096</v>
      </c>
      <c r="E213" s="352"/>
      <c r="F213" s="352">
        <v>6</v>
      </c>
      <c r="G213" s="428" t="s">
        <v>301</v>
      </c>
      <c r="H213" s="350" t="s">
        <v>647</v>
      </c>
      <c r="I213" s="350" t="s">
        <v>393</v>
      </c>
      <c r="J213" s="556">
        <v>1318589</v>
      </c>
      <c r="K213" s="350" t="s">
        <v>394</v>
      </c>
      <c r="L213" s="353">
        <v>2801.6</v>
      </c>
      <c r="M213" s="375">
        <f t="shared" si="154"/>
        <v>470.65569674471732</v>
      </c>
      <c r="N213" s="354" t="s">
        <v>395</v>
      </c>
      <c r="O213" s="354">
        <v>0</v>
      </c>
      <c r="P213" s="374">
        <f t="shared" si="145"/>
        <v>29.655137606982045</v>
      </c>
      <c r="Q213" s="354">
        <f t="shared" si="155"/>
        <v>2.7969318719420651</v>
      </c>
      <c r="R213" s="354">
        <f t="shared" si="123"/>
        <v>4.7148136548508726</v>
      </c>
      <c r="S213" s="354">
        <f t="shared" si="124"/>
        <v>4.1998928717816693</v>
      </c>
      <c r="T213" s="354">
        <f t="shared" si="125"/>
        <v>17.922547494710685</v>
      </c>
      <c r="U213" s="374">
        <f t="shared" si="156"/>
        <v>119.01893450419283</v>
      </c>
      <c r="V213" s="354">
        <f t="shared" si="126"/>
        <v>3.1505164316623508</v>
      </c>
      <c r="W213" s="354">
        <f t="shared" si="127"/>
        <v>107.47064069592605</v>
      </c>
      <c r="X213" s="354">
        <f t="shared" si="157"/>
        <v>8.3977773766044344</v>
      </c>
      <c r="Y213" s="374">
        <f t="shared" si="148"/>
        <v>17.447993786699016</v>
      </c>
      <c r="Z213" s="354">
        <f t="shared" si="129"/>
        <v>9.0007225371491533</v>
      </c>
      <c r="AA213" s="354">
        <f t="shared" si="158"/>
        <v>8.4472712495498605</v>
      </c>
      <c r="AB213" s="374">
        <f t="shared" si="149"/>
        <v>95.325296345481348</v>
      </c>
      <c r="AC213" s="354">
        <f t="shared" si="131"/>
        <v>27.052611668773128</v>
      </c>
      <c r="AD213" s="354">
        <f t="shared" si="132"/>
        <v>58.887526337035325</v>
      </c>
      <c r="AE213" s="354">
        <f t="shared" si="133"/>
        <v>9.3851583396728966</v>
      </c>
      <c r="AF213" s="374">
        <f t="shared" si="150"/>
        <v>76.293526401535814</v>
      </c>
      <c r="AG213" s="354">
        <f t="shared" si="134"/>
        <v>4.9031333423441747</v>
      </c>
      <c r="AH213" s="354">
        <f t="shared" si="135"/>
        <v>24.669634918966164</v>
      </c>
      <c r="AI213" s="354">
        <f t="shared" si="159"/>
        <v>0</v>
      </c>
      <c r="AJ213" s="354">
        <f t="shared" si="160"/>
        <v>46.720758140225485</v>
      </c>
      <c r="AK213" s="374">
        <f t="shared" si="151"/>
        <v>50.391343244326308</v>
      </c>
      <c r="AL213" s="354">
        <f t="shared" si="138"/>
        <v>14.437454337422761</v>
      </c>
      <c r="AM213" s="354">
        <f t="shared" si="139"/>
        <v>34.051636254314367</v>
      </c>
      <c r="AN213" s="354">
        <f t="shared" si="140"/>
        <v>1.9022526525891836</v>
      </c>
      <c r="AO213" s="374">
        <f t="shared" si="152"/>
        <v>29.219177543988895</v>
      </c>
      <c r="AP213" s="354">
        <f t="shared" si="141"/>
        <v>6.7002647489396576</v>
      </c>
      <c r="AQ213" s="354">
        <f t="shared" si="161"/>
        <v>22.518912795049239</v>
      </c>
      <c r="AR213" s="374">
        <f t="shared" si="162"/>
        <v>53.30428731151104</v>
      </c>
      <c r="AS213" s="354">
        <f t="shared" si="163"/>
        <v>23.09855727297515</v>
      </c>
      <c r="AT213" s="354">
        <f t="shared" si="144"/>
        <v>30.20573003853589</v>
      </c>
      <c r="AU213" s="355" t="s">
        <v>396</v>
      </c>
      <c r="AV213" s="354" t="s">
        <v>345</v>
      </c>
      <c r="AW213" s="353">
        <v>0</v>
      </c>
      <c r="AX213" s="353">
        <v>0</v>
      </c>
      <c r="AY213" s="353">
        <v>0</v>
      </c>
      <c r="AZ213" s="353">
        <v>0</v>
      </c>
      <c r="BA213" s="353">
        <v>0</v>
      </c>
      <c r="BB213" s="353">
        <v>0</v>
      </c>
    </row>
    <row r="214" spans="1:54" x14ac:dyDescent="0.25">
      <c r="A214" s="348" t="s">
        <v>645</v>
      </c>
      <c r="B214" s="379">
        <v>3</v>
      </c>
      <c r="C214" s="380">
        <v>45078</v>
      </c>
      <c r="D214" s="351">
        <v>45096</v>
      </c>
      <c r="E214" s="352"/>
      <c r="F214" s="352">
        <v>6</v>
      </c>
      <c r="G214" s="428" t="s">
        <v>301</v>
      </c>
      <c r="H214" s="350" t="s">
        <v>648</v>
      </c>
      <c r="I214" s="350" t="s">
        <v>393</v>
      </c>
      <c r="J214" s="556">
        <v>1318589</v>
      </c>
      <c r="K214" s="350" t="s">
        <v>394</v>
      </c>
      <c r="L214" s="353">
        <v>2801.6</v>
      </c>
      <c r="M214" s="375">
        <f t="shared" si="154"/>
        <v>470.65569674471732</v>
      </c>
      <c r="N214" s="354" t="s">
        <v>395</v>
      </c>
      <c r="O214" s="354">
        <v>0</v>
      </c>
      <c r="P214" s="374">
        <f t="shared" si="145"/>
        <v>29.655137606982045</v>
      </c>
      <c r="Q214" s="354">
        <f t="shared" si="155"/>
        <v>2.7969318719420651</v>
      </c>
      <c r="R214" s="354">
        <f t="shared" si="123"/>
        <v>4.7148136548508726</v>
      </c>
      <c r="S214" s="354">
        <f t="shared" si="124"/>
        <v>4.1998928717816693</v>
      </c>
      <c r="T214" s="354">
        <f t="shared" si="125"/>
        <v>17.922547494710685</v>
      </c>
      <c r="U214" s="374">
        <f t="shared" si="156"/>
        <v>119.01893450419283</v>
      </c>
      <c r="V214" s="354">
        <f t="shared" si="126"/>
        <v>3.1505164316623508</v>
      </c>
      <c r="W214" s="354">
        <f t="shared" si="127"/>
        <v>107.47064069592605</v>
      </c>
      <c r="X214" s="354">
        <f t="shared" si="157"/>
        <v>8.3977773766044344</v>
      </c>
      <c r="Y214" s="374">
        <f t="shared" si="148"/>
        <v>17.447993786699016</v>
      </c>
      <c r="Z214" s="354">
        <f t="shared" si="129"/>
        <v>9.0007225371491533</v>
      </c>
      <c r="AA214" s="354">
        <f t="shared" si="158"/>
        <v>8.4472712495498605</v>
      </c>
      <c r="AB214" s="374">
        <f t="shared" si="149"/>
        <v>95.325296345481348</v>
      </c>
      <c r="AC214" s="354">
        <f t="shared" si="131"/>
        <v>27.052611668773128</v>
      </c>
      <c r="AD214" s="354">
        <f t="shared" si="132"/>
        <v>58.887526337035325</v>
      </c>
      <c r="AE214" s="354">
        <f t="shared" si="133"/>
        <v>9.3851583396728966</v>
      </c>
      <c r="AF214" s="374">
        <f t="shared" si="150"/>
        <v>76.293526401535814</v>
      </c>
      <c r="AG214" s="354">
        <f t="shared" si="134"/>
        <v>4.9031333423441747</v>
      </c>
      <c r="AH214" s="354">
        <f t="shared" si="135"/>
        <v>24.669634918966164</v>
      </c>
      <c r="AI214" s="354">
        <f t="shared" si="159"/>
        <v>0</v>
      </c>
      <c r="AJ214" s="354">
        <f t="shared" si="160"/>
        <v>46.720758140225485</v>
      </c>
      <c r="AK214" s="374">
        <f t="shared" si="151"/>
        <v>50.391343244326308</v>
      </c>
      <c r="AL214" s="354">
        <f t="shared" si="138"/>
        <v>14.437454337422761</v>
      </c>
      <c r="AM214" s="354">
        <f t="shared" si="139"/>
        <v>34.051636254314367</v>
      </c>
      <c r="AN214" s="354">
        <f t="shared" si="140"/>
        <v>1.9022526525891836</v>
      </c>
      <c r="AO214" s="374">
        <f t="shared" si="152"/>
        <v>29.219177543988895</v>
      </c>
      <c r="AP214" s="354">
        <f t="shared" si="141"/>
        <v>6.7002647489396576</v>
      </c>
      <c r="AQ214" s="354">
        <f t="shared" si="161"/>
        <v>22.518912795049239</v>
      </c>
      <c r="AR214" s="374">
        <f t="shared" si="162"/>
        <v>53.30428731151104</v>
      </c>
      <c r="AS214" s="354">
        <f t="shared" si="163"/>
        <v>23.09855727297515</v>
      </c>
      <c r="AT214" s="354">
        <f t="shared" si="144"/>
        <v>30.20573003853589</v>
      </c>
      <c r="AU214" s="355" t="s">
        <v>396</v>
      </c>
      <c r="AV214" s="354" t="s">
        <v>345</v>
      </c>
      <c r="AW214" s="353">
        <v>0</v>
      </c>
      <c r="AX214" s="353">
        <v>0</v>
      </c>
      <c r="AY214" s="353">
        <v>0</v>
      </c>
      <c r="AZ214" s="353">
        <v>0</v>
      </c>
      <c r="BA214" s="353">
        <v>0</v>
      </c>
      <c r="BB214" s="353">
        <v>0</v>
      </c>
    </row>
    <row r="215" spans="1:54" x14ac:dyDescent="0.25">
      <c r="A215" s="348" t="s">
        <v>645</v>
      </c>
      <c r="B215" s="379">
        <v>3</v>
      </c>
      <c r="C215" s="380">
        <v>45078</v>
      </c>
      <c r="D215" s="351">
        <v>45096</v>
      </c>
      <c r="E215" s="352"/>
      <c r="F215" s="352">
        <v>6</v>
      </c>
      <c r="G215" s="428" t="s">
        <v>301</v>
      </c>
      <c r="H215" s="350" t="s">
        <v>649</v>
      </c>
      <c r="I215" s="350" t="s">
        <v>393</v>
      </c>
      <c r="J215" s="556">
        <v>1318589</v>
      </c>
      <c r="K215" s="350" t="s">
        <v>394</v>
      </c>
      <c r="L215" s="353">
        <v>2801.6</v>
      </c>
      <c r="M215" s="375">
        <f t="shared" si="154"/>
        <v>470.65569674471732</v>
      </c>
      <c r="N215" s="354" t="s">
        <v>395</v>
      </c>
      <c r="O215" s="354">
        <v>0</v>
      </c>
      <c r="P215" s="374">
        <f t="shared" si="145"/>
        <v>29.655137606982045</v>
      </c>
      <c r="Q215" s="354">
        <f t="shared" si="155"/>
        <v>2.7969318719420651</v>
      </c>
      <c r="R215" s="354">
        <f t="shared" si="123"/>
        <v>4.7148136548508726</v>
      </c>
      <c r="S215" s="354">
        <f t="shared" si="124"/>
        <v>4.1998928717816693</v>
      </c>
      <c r="T215" s="354">
        <f t="shared" si="125"/>
        <v>17.922547494710685</v>
      </c>
      <c r="U215" s="374">
        <f t="shared" si="156"/>
        <v>119.01893450419283</v>
      </c>
      <c r="V215" s="354">
        <f t="shared" si="126"/>
        <v>3.1505164316623508</v>
      </c>
      <c r="W215" s="354">
        <f t="shared" si="127"/>
        <v>107.47064069592605</v>
      </c>
      <c r="X215" s="354">
        <f t="shared" si="157"/>
        <v>8.3977773766044344</v>
      </c>
      <c r="Y215" s="374">
        <f t="shared" si="148"/>
        <v>17.447993786699016</v>
      </c>
      <c r="Z215" s="354">
        <f t="shared" si="129"/>
        <v>9.0007225371491533</v>
      </c>
      <c r="AA215" s="354">
        <f t="shared" si="158"/>
        <v>8.4472712495498605</v>
      </c>
      <c r="AB215" s="374">
        <f t="shared" si="149"/>
        <v>95.325296345481348</v>
      </c>
      <c r="AC215" s="354">
        <f t="shared" si="131"/>
        <v>27.052611668773128</v>
      </c>
      <c r="AD215" s="354">
        <f t="shared" si="132"/>
        <v>58.887526337035325</v>
      </c>
      <c r="AE215" s="354">
        <f t="shared" si="133"/>
        <v>9.3851583396728966</v>
      </c>
      <c r="AF215" s="374">
        <f t="shared" si="150"/>
        <v>76.293526401535814</v>
      </c>
      <c r="AG215" s="354">
        <f t="shared" si="134"/>
        <v>4.9031333423441747</v>
      </c>
      <c r="AH215" s="354">
        <f t="shared" si="135"/>
        <v>24.669634918966164</v>
      </c>
      <c r="AI215" s="354">
        <f t="shared" si="159"/>
        <v>0</v>
      </c>
      <c r="AJ215" s="354">
        <f t="shared" si="160"/>
        <v>46.720758140225485</v>
      </c>
      <c r="AK215" s="374">
        <f t="shared" si="151"/>
        <v>50.391343244326308</v>
      </c>
      <c r="AL215" s="354">
        <f t="shared" si="138"/>
        <v>14.437454337422761</v>
      </c>
      <c r="AM215" s="354">
        <f t="shared" si="139"/>
        <v>34.051636254314367</v>
      </c>
      <c r="AN215" s="354">
        <f t="shared" si="140"/>
        <v>1.9022526525891836</v>
      </c>
      <c r="AO215" s="374">
        <f t="shared" si="152"/>
        <v>29.219177543988895</v>
      </c>
      <c r="AP215" s="354">
        <f t="shared" si="141"/>
        <v>6.7002647489396576</v>
      </c>
      <c r="AQ215" s="354">
        <f t="shared" si="161"/>
        <v>22.518912795049239</v>
      </c>
      <c r="AR215" s="374">
        <f t="shared" si="162"/>
        <v>53.30428731151104</v>
      </c>
      <c r="AS215" s="354">
        <f t="shared" si="163"/>
        <v>23.09855727297515</v>
      </c>
      <c r="AT215" s="354">
        <f t="shared" si="144"/>
        <v>30.20573003853589</v>
      </c>
      <c r="AU215" s="355" t="s">
        <v>396</v>
      </c>
      <c r="AV215" s="354" t="s">
        <v>345</v>
      </c>
      <c r="AW215" s="353">
        <v>0</v>
      </c>
      <c r="AX215" s="353">
        <v>0</v>
      </c>
      <c r="AY215" s="353">
        <v>0</v>
      </c>
      <c r="AZ215" s="353">
        <v>0</v>
      </c>
      <c r="BA215" s="353">
        <v>0</v>
      </c>
      <c r="BB215" s="353">
        <v>0</v>
      </c>
    </row>
    <row r="216" spans="1:54" x14ac:dyDescent="0.25">
      <c r="A216" s="348" t="s">
        <v>645</v>
      </c>
      <c r="B216" s="379">
        <v>3</v>
      </c>
      <c r="C216" s="380">
        <v>45078</v>
      </c>
      <c r="D216" s="351">
        <v>45096</v>
      </c>
      <c r="E216" s="352"/>
      <c r="F216" s="352">
        <v>6</v>
      </c>
      <c r="G216" s="428" t="s">
        <v>301</v>
      </c>
      <c r="H216" s="350" t="s">
        <v>650</v>
      </c>
      <c r="I216" s="350" t="s">
        <v>393</v>
      </c>
      <c r="J216" s="556">
        <v>1318589</v>
      </c>
      <c r="K216" s="350" t="s">
        <v>394</v>
      </c>
      <c r="L216" s="353">
        <v>2801.6</v>
      </c>
      <c r="M216" s="375">
        <f t="shared" si="154"/>
        <v>470.65569674471732</v>
      </c>
      <c r="N216" s="354" t="s">
        <v>395</v>
      </c>
      <c r="O216" s="354">
        <v>0</v>
      </c>
      <c r="P216" s="374">
        <f t="shared" si="145"/>
        <v>29.655137606982045</v>
      </c>
      <c r="Q216" s="354">
        <f t="shared" si="155"/>
        <v>2.7969318719420651</v>
      </c>
      <c r="R216" s="354">
        <f t="shared" si="123"/>
        <v>4.7148136548508726</v>
      </c>
      <c r="S216" s="354">
        <f t="shared" si="124"/>
        <v>4.1998928717816693</v>
      </c>
      <c r="T216" s="354">
        <f t="shared" si="125"/>
        <v>17.922547494710685</v>
      </c>
      <c r="U216" s="374">
        <f t="shared" si="156"/>
        <v>119.01893450419283</v>
      </c>
      <c r="V216" s="354">
        <f t="shared" si="126"/>
        <v>3.1505164316623508</v>
      </c>
      <c r="W216" s="354">
        <f t="shared" si="127"/>
        <v>107.47064069592605</v>
      </c>
      <c r="X216" s="354">
        <f t="shared" si="157"/>
        <v>8.3977773766044344</v>
      </c>
      <c r="Y216" s="374">
        <f t="shared" si="148"/>
        <v>17.447993786699016</v>
      </c>
      <c r="Z216" s="354">
        <f t="shared" si="129"/>
        <v>9.0007225371491533</v>
      </c>
      <c r="AA216" s="354">
        <f t="shared" si="158"/>
        <v>8.4472712495498605</v>
      </c>
      <c r="AB216" s="374">
        <f t="shared" si="149"/>
        <v>95.325296345481348</v>
      </c>
      <c r="AC216" s="354">
        <f t="shared" si="131"/>
        <v>27.052611668773128</v>
      </c>
      <c r="AD216" s="354">
        <f t="shared" si="132"/>
        <v>58.887526337035325</v>
      </c>
      <c r="AE216" s="354">
        <f t="shared" si="133"/>
        <v>9.3851583396728966</v>
      </c>
      <c r="AF216" s="374">
        <f t="shared" si="150"/>
        <v>76.293526401535814</v>
      </c>
      <c r="AG216" s="354">
        <f t="shared" si="134"/>
        <v>4.9031333423441747</v>
      </c>
      <c r="AH216" s="354">
        <f t="shared" si="135"/>
        <v>24.669634918966164</v>
      </c>
      <c r="AI216" s="354">
        <f t="shared" si="159"/>
        <v>0</v>
      </c>
      <c r="AJ216" s="354">
        <f t="shared" si="160"/>
        <v>46.720758140225485</v>
      </c>
      <c r="AK216" s="374">
        <f t="shared" si="151"/>
        <v>50.391343244326308</v>
      </c>
      <c r="AL216" s="354">
        <f t="shared" si="138"/>
        <v>14.437454337422761</v>
      </c>
      <c r="AM216" s="354">
        <f t="shared" si="139"/>
        <v>34.051636254314367</v>
      </c>
      <c r="AN216" s="354">
        <f t="shared" si="140"/>
        <v>1.9022526525891836</v>
      </c>
      <c r="AO216" s="374">
        <f t="shared" si="152"/>
        <v>29.219177543988895</v>
      </c>
      <c r="AP216" s="354">
        <f t="shared" si="141"/>
        <v>6.7002647489396576</v>
      </c>
      <c r="AQ216" s="354">
        <f t="shared" si="161"/>
        <v>22.518912795049239</v>
      </c>
      <c r="AR216" s="374">
        <f t="shared" si="162"/>
        <v>53.30428731151104</v>
      </c>
      <c r="AS216" s="354">
        <f t="shared" si="163"/>
        <v>23.09855727297515</v>
      </c>
      <c r="AT216" s="354">
        <f t="shared" si="144"/>
        <v>30.20573003853589</v>
      </c>
      <c r="AU216" s="355" t="s">
        <v>396</v>
      </c>
      <c r="AV216" s="354" t="s">
        <v>345</v>
      </c>
      <c r="AW216" s="353">
        <v>0</v>
      </c>
      <c r="AX216" s="353">
        <v>0</v>
      </c>
      <c r="AY216" s="353">
        <v>0</v>
      </c>
      <c r="AZ216" s="353">
        <v>0</v>
      </c>
      <c r="BA216" s="353">
        <v>0</v>
      </c>
      <c r="BB216" s="353">
        <v>0</v>
      </c>
    </row>
    <row r="217" spans="1:54" x14ac:dyDescent="0.25">
      <c r="A217" s="348" t="s">
        <v>651</v>
      </c>
      <c r="B217" s="379">
        <v>4</v>
      </c>
      <c r="C217" s="380">
        <v>45078</v>
      </c>
      <c r="D217" s="351">
        <v>45100</v>
      </c>
      <c r="E217" s="352"/>
      <c r="F217" s="352">
        <v>6</v>
      </c>
      <c r="G217" s="428" t="s">
        <v>323</v>
      </c>
      <c r="H217" s="350" t="s">
        <v>652</v>
      </c>
      <c r="I217" s="350" t="s">
        <v>393</v>
      </c>
      <c r="J217" s="556">
        <v>133677</v>
      </c>
      <c r="K217" s="350" t="s">
        <v>394</v>
      </c>
      <c r="L217" s="353">
        <v>2801.6</v>
      </c>
      <c r="M217" s="375">
        <f t="shared" si="154"/>
        <v>47.714520274129072</v>
      </c>
      <c r="N217" s="354" t="s">
        <v>395</v>
      </c>
      <c r="O217" s="354">
        <v>0</v>
      </c>
      <c r="P217" s="374">
        <f t="shared" si="145"/>
        <v>3.0064029275904312</v>
      </c>
      <c r="Q217" s="354">
        <f t="shared" si="155"/>
        <v>0.28354965940531845</v>
      </c>
      <c r="R217" s="354">
        <f t="shared" si="123"/>
        <v>0.47798225598689215</v>
      </c>
      <c r="S217" s="354">
        <f t="shared" si="124"/>
        <v>0.42578019338941719</v>
      </c>
      <c r="T217" s="354">
        <f t="shared" si="125"/>
        <v>1.8169667587477527</v>
      </c>
      <c r="U217" s="374">
        <f t="shared" si="156"/>
        <v>12.065999418861363</v>
      </c>
      <c r="V217" s="354">
        <f t="shared" si="126"/>
        <v>0.31939564567528478</v>
      </c>
      <c r="W217" s="354">
        <f t="shared" si="127"/>
        <v>10.89524699228441</v>
      </c>
      <c r="X217" s="354">
        <f t="shared" si="157"/>
        <v>0.85135678090166911</v>
      </c>
      <c r="Y217" s="374">
        <f t="shared" si="148"/>
        <v>1.7688570626818245</v>
      </c>
      <c r="Z217" s="354">
        <f t="shared" si="129"/>
        <v>0.91248265122679428</v>
      </c>
      <c r="AA217" s="354">
        <f t="shared" si="158"/>
        <v>0.85637441145503013</v>
      </c>
      <c r="AB217" s="374">
        <f t="shared" si="149"/>
        <v>9.6639662848506322</v>
      </c>
      <c r="AC217" s="354">
        <f t="shared" si="131"/>
        <v>2.7425619128072398</v>
      </c>
      <c r="AD217" s="354">
        <f t="shared" si="132"/>
        <v>5.9699480718828015</v>
      </c>
      <c r="AE217" s="354">
        <f t="shared" si="133"/>
        <v>0.95145630016059124</v>
      </c>
      <c r="AF217" s="374">
        <f t="shared" si="150"/>
        <v>7.7345478604615261</v>
      </c>
      <c r="AG217" s="354">
        <f t="shared" si="134"/>
        <v>0.49707388413261622</v>
      </c>
      <c r="AH217" s="354">
        <f t="shared" si="135"/>
        <v>2.5009785361948564</v>
      </c>
      <c r="AI217" s="354">
        <f t="shared" si="159"/>
        <v>0</v>
      </c>
      <c r="AJ217" s="354">
        <f t="shared" si="160"/>
        <v>4.7364954401340533</v>
      </c>
      <c r="AK217" s="374">
        <f t="shared" si="151"/>
        <v>5.1086150353687216</v>
      </c>
      <c r="AL217" s="354">
        <f t="shared" si="138"/>
        <v>1.4636521186386828</v>
      </c>
      <c r="AM217" s="354">
        <f t="shared" si="139"/>
        <v>3.4521147829748169</v>
      </c>
      <c r="AN217" s="354">
        <f t="shared" si="140"/>
        <v>0.19284813375522189</v>
      </c>
      <c r="AO217" s="374">
        <f t="shared" si="152"/>
        <v>2.9622058098071524</v>
      </c>
      <c r="AP217" s="354">
        <f t="shared" si="141"/>
        <v>0.67926494976372975</v>
      </c>
      <c r="AQ217" s="354">
        <f t="shared" si="161"/>
        <v>2.2829408600434227</v>
      </c>
      <c r="AR217" s="374">
        <f t="shared" si="162"/>
        <v>5.4039258745074177</v>
      </c>
      <c r="AS217" s="354">
        <f t="shared" si="163"/>
        <v>2.3417045346044136</v>
      </c>
      <c r="AT217" s="354">
        <f t="shared" si="144"/>
        <v>3.062221339903004</v>
      </c>
      <c r="AU217" s="355" t="s">
        <v>396</v>
      </c>
      <c r="AV217" s="354" t="s">
        <v>345</v>
      </c>
      <c r="AW217" s="353">
        <v>0</v>
      </c>
      <c r="AX217" s="353">
        <v>0</v>
      </c>
      <c r="AY217" s="353">
        <v>0</v>
      </c>
      <c r="AZ217" s="353">
        <v>0</v>
      </c>
      <c r="BA217" s="353">
        <v>0</v>
      </c>
      <c r="BB217" s="353">
        <v>0</v>
      </c>
    </row>
    <row r="218" spans="1:54" x14ac:dyDescent="0.25">
      <c r="A218" s="348" t="s">
        <v>651</v>
      </c>
      <c r="B218" s="379">
        <v>4</v>
      </c>
      <c r="C218" s="380">
        <v>45078</v>
      </c>
      <c r="D218" s="351">
        <v>45100</v>
      </c>
      <c r="E218" s="352"/>
      <c r="F218" s="352">
        <v>6</v>
      </c>
      <c r="G218" s="428" t="s">
        <v>323</v>
      </c>
      <c r="H218" s="350" t="s">
        <v>653</v>
      </c>
      <c r="I218" s="350" t="s">
        <v>393</v>
      </c>
      <c r="J218" s="556">
        <v>133677</v>
      </c>
      <c r="K218" s="350" t="s">
        <v>394</v>
      </c>
      <c r="L218" s="353">
        <v>2801.6</v>
      </c>
      <c r="M218" s="375">
        <f t="shared" si="154"/>
        <v>47.714520274129072</v>
      </c>
      <c r="N218" s="354" t="s">
        <v>395</v>
      </c>
      <c r="O218" s="354">
        <v>0</v>
      </c>
      <c r="P218" s="374">
        <f t="shared" si="145"/>
        <v>3.0064029275904312</v>
      </c>
      <c r="Q218" s="354">
        <f t="shared" si="155"/>
        <v>0.28354965940531845</v>
      </c>
      <c r="R218" s="354">
        <f t="shared" si="123"/>
        <v>0.47798225598689215</v>
      </c>
      <c r="S218" s="354">
        <f t="shared" si="124"/>
        <v>0.42578019338941719</v>
      </c>
      <c r="T218" s="354">
        <f t="shared" si="125"/>
        <v>1.8169667587477527</v>
      </c>
      <c r="U218" s="374">
        <f t="shared" si="156"/>
        <v>12.065999418861363</v>
      </c>
      <c r="V218" s="354">
        <f t="shared" si="126"/>
        <v>0.31939564567528478</v>
      </c>
      <c r="W218" s="354">
        <f t="shared" si="127"/>
        <v>10.89524699228441</v>
      </c>
      <c r="X218" s="354">
        <f t="shared" si="157"/>
        <v>0.85135678090166911</v>
      </c>
      <c r="Y218" s="374">
        <f t="shared" si="148"/>
        <v>1.7688570626818245</v>
      </c>
      <c r="Z218" s="354">
        <f t="shared" si="129"/>
        <v>0.91248265122679428</v>
      </c>
      <c r="AA218" s="354">
        <f t="shared" si="158"/>
        <v>0.85637441145503013</v>
      </c>
      <c r="AB218" s="374">
        <f t="shared" si="149"/>
        <v>9.6639662848506322</v>
      </c>
      <c r="AC218" s="354">
        <f t="shared" si="131"/>
        <v>2.7425619128072398</v>
      </c>
      <c r="AD218" s="354">
        <f t="shared" si="132"/>
        <v>5.9699480718828015</v>
      </c>
      <c r="AE218" s="354">
        <f t="shared" si="133"/>
        <v>0.95145630016059124</v>
      </c>
      <c r="AF218" s="374">
        <f t="shared" si="150"/>
        <v>7.7345478604615261</v>
      </c>
      <c r="AG218" s="354">
        <f t="shared" si="134"/>
        <v>0.49707388413261622</v>
      </c>
      <c r="AH218" s="354">
        <f t="shared" si="135"/>
        <v>2.5009785361948564</v>
      </c>
      <c r="AI218" s="354">
        <f t="shared" si="159"/>
        <v>0</v>
      </c>
      <c r="AJ218" s="354">
        <f t="shared" si="160"/>
        <v>4.7364954401340533</v>
      </c>
      <c r="AK218" s="374">
        <f t="shared" si="151"/>
        <v>5.1086150353687216</v>
      </c>
      <c r="AL218" s="354">
        <f t="shared" si="138"/>
        <v>1.4636521186386828</v>
      </c>
      <c r="AM218" s="354">
        <f t="shared" si="139"/>
        <v>3.4521147829748169</v>
      </c>
      <c r="AN218" s="354">
        <f t="shared" si="140"/>
        <v>0.19284813375522189</v>
      </c>
      <c r="AO218" s="374">
        <f t="shared" si="152"/>
        <v>2.9622058098071524</v>
      </c>
      <c r="AP218" s="354">
        <f t="shared" si="141"/>
        <v>0.67926494976372975</v>
      </c>
      <c r="AQ218" s="354">
        <f t="shared" si="161"/>
        <v>2.2829408600434227</v>
      </c>
      <c r="AR218" s="374">
        <f t="shared" si="162"/>
        <v>5.4039258745074177</v>
      </c>
      <c r="AS218" s="354">
        <f t="shared" si="163"/>
        <v>2.3417045346044136</v>
      </c>
      <c r="AT218" s="354">
        <f t="shared" si="144"/>
        <v>3.062221339903004</v>
      </c>
      <c r="AU218" s="355" t="s">
        <v>396</v>
      </c>
      <c r="AV218" s="354" t="s">
        <v>345</v>
      </c>
      <c r="AW218" s="353">
        <v>0</v>
      </c>
      <c r="AX218" s="353">
        <v>0</v>
      </c>
      <c r="AY218" s="353">
        <v>0</v>
      </c>
      <c r="AZ218" s="353">
        <v>0</v>
      </c>
      <c r="BA218" s="353">
        <v>0</v>
      </c>
      <c r="BB218" s="353">
        <v>0</v>
      </c>
    </row>
    <row r="219" spans="1:54" x14ac:dyDescent="0.25">
      <c r="A219" s="348" t="s">
        <v>651</v>
      </c>
      <c r="B219" s="379">
        <v>4</v>
      </c>
      <c r="C219" s="380">
        <v>45078</v>
      </c>
      <c r="D219" s="351">
        <v>45100</v>
      </c>
      <c r="E219" s="352"/>
      <c r="F219" s="352">
        <v>6</v>
      </c>
      <c r="G219" s="428" t="s">
        <v>323</v>
      </c>
      <c r="H219" s="350" t="s">
        <v>654</v>
      </c>
      <c r="I219" s="350" t="s">
        <v>393</v>
      </c>
      <c r="J219" s="556">
        <v>133677</v>
      </c>
      <c r="K219" s="350" t="s">
        <v>394</v>
      </c>
      <c r="L219" s="353">
        <v>2801.6</v>
      </c>
      <c r="M219" s="375">
        <f t="shared" si="154"/>
        <v>47.714520274129072</v>
      </c>
      <c r="N219" s="354" t="s">
        <v>395</v>
      </c>
      <c r="O219" s="354">
        <v>0</v>
      </c>
      <c r="P219" s="374">
        <f t="shared" si="145"/>
        <v>3.0064029275904312</v>
      </c>
      <c r="Q219" s="354">
        <f t="shared" si="155"/>
        <v>0.28354965940531845</v>
      </c>
      <c r="R219" s="354">
        <f t="shared" si="123"/>
        <v>0.47798225598689215</v>
      </c>
      <c r="S219" s="354">
        <f t="shared" si="124"/>
        <v>0.42578019338941719</v>
      </c>
      <c r="T219" s="354">
        <f t="shared" si="125"/>
        <v>1.8169667587477527</v>
      </c>
      <c r="U219" s="374">
        <f t="shared" si="156"/>
        <v>12.065999418861363</v>
      </c>
      <c r="V219" s="354">
        <f t="shared" si="126"/>
        <v>0.31939564567528478</v>
      </c>
      <c r="W219" s="354">
        <f t="shared" si="127"/>
        <v>10.89524699228441</v>
      </c>
      <c r="X219" s="354">
        <f t="shared" si="157"/>
        <v>0.85135678090166911</v>
      </c>
      <c r="Y219" s="374">
        <f t="shared" si="148"/>
        <v>1.7688570626818245</v>
      </c>
      <c r="Z219" s="354">
        <f t="shared" si="129"/>
        <v>0.91248265122679428</v>
      </c>
      <c r="AA219" s="354">
        <f t="shared" si="158"/>
        <v>0.85637441145503013</v>
      </c>
      <c r="AB219" s="374">
        <f t="shared" si="149"/>
        <v>9.6639662848506322</v>
      </c>
      <c r="AC219" s="354">
        <f t="shared" si="131"/>
        <v>2.7425619128072398</v>
      </c>
      <c r="AD219" s="354">
        <f t="shared" si="132"/>
        <v>5.9699480718828015</v>
      </c>
      <c r="AE219" s="354">
        <f t="shared" si="133"/>
        <v>0.95145630016059124</v>
      </c>
      <c r="AF219" s="374">
        <f t="shared" si="150"/>
        <v>7.7345478604615261</v>
      </c>
      <c r="AG219" s="354">
        <f t="shared" si="134"/>
        <v>0.49707388413261622</v>
      </c>
      <c r="AH219" s="354">
        <f t="shared" si="135"/>
        <v>2.5009785361948564</v>
      </c>
      <c r="AI219" s="354">
        <f t="shared" si="159"/>
        <v>0</v>
      </c>
      <c r="AJ219" s="354">
        <f t="shared" si="160"/>
        <v>4.7364954401340533</v>
      </c>
      <c r="AK219" s="374">
        <f t="shared" si="151"/>
        <v>5.1086150353687216</v>
      </c>
      <c r="AL219" s="354">
        <f t="shared" si="138"/>
        <v>1.4636521186386828</v>
      </c>
      <c r="AM219" s="354">
        <f t="shared" si="139"/>
        <v>3.4521147829748169</v>
      </c>
      <c r="AN219" s="354">
        <f t="shared" si="140"/>
        <v>0.19284813375522189</v>
      </c>
      <c r="AO219" s="374">
        <f t="shared" si="152"/>
        <v>2.9622058098071524</v>
      </c>
      <c r="AP219" s="354">
        <f t="shared" si="141"/>
        <v>0.67926494976372975</v>
      </c>
      <c r="AQ219" s="354">
        <f t="shared" si="161"/>
        <v>2.2829408600434227</v>
      </c>
      <c r="AR219" s="374">
        <f t="shared" si="162"/>
        <v>5.4039258745074177</v>
      </c>
      <c r="AS219" s="354">
        <f t="shared" si="163"/>
        <v>2.3417045346044136</v>
      </c>
      <c r="AT219" s="354">
        <f t="shared" si="144"/>
        <v>3.062221339903004</v>
      </c>
      <c r="AU219" s="355" t="s">
        <v>396</v>
      </c>
      <c r="AV219" s="354" t="s">
        <v>345</v>
      </c>
      <c r="AW219" s="353">
        <v>0</v>
      </c>
      <c r="AX219" s="353">
        <v>0</v>
      </c>
      <c r="AY219" s="353">
        <v>0</v>
      </c>
      <c r="AZ219" s="353">
        <v>0</v>
      </c>
      <c r="BA219" s="353">
        <v>0</v>
      </c>
      <c r="BB219" s="353">
        <v>0</v>
      </c>
    </row>
    <row r="220" spans="1:54" x14ac:dyDescent="0.25">
      <c r="A220" s="348" t="s">
        <v>651</v>
      </c>
      <c r="B220" s="379">
        <v>4</v>
      </c>
      <c r="C220" s="380">
        <v>45078</v>
      </c>
      <c r="D220" s="351">
        <v>45100</v>
      </c>
      <c r="E220" s="352"/>
      <c r="F220" s="352">
        <v>6</v>
      </c>
      <c r="G220" s="428" t="s">
        <v>323</v>
      </c>
      <c r="H220" s="350" t="s">
        <v>655</v>
      </c>
      <c r="I220" s="350" t="s">
        <v>393</v>
      </c>
      <c r="J220" s="556">
        <v>133677</v>
      </c>
      <c r="K220" s="350" t="s">
        <v>394</v>
      </c>
      <c r="L220" s="353">
        <v>2801.6</v>
      </c>
      <c r="M220" s="375">
        <f t="shared" si="154"/>
        <v>47.714520274129072</v>
      </c>
      <c r="N220" s="354" t="s">
        <v>395</v>
      </c>
      <c r="O220" s="354">
        <v>0</v>
      </c>
      <c r="P220" s="374">
        <f t="shared" si="145"/>
        <v>3.0064029275904312</v>
      </c>
      <c r="Q220" s="354">
        <f t="shared" si="155"/>
        <v>0.28354965940531845</v>
      </c>
      <c r="R220" s="354">
        <f t="shared" si="123"/>
        <v>0.47798225598689215</v>
      </c>
      <c r="S220" s="354">
        <f t="shared" si="124"/>
        <v>0.42578019338941719</v>
      </c>
      <c r="T220" s="354">
        <f t="shared" si="125"/>
        <v>1.8169667587477527</v>
      </c>
      <c r="U220" s="374">
        <f t="shared" si="156"/>
        <v>12.065999418861363</v>
      </c>
      <c r="V220" s="354">
        <f t="shared" si="126"/>
        <v>0.31939564567528478</v>
      </c>
      <c r="W220" s="354">
        <f t="shared" si="127"/>
        <v>10.89524699228441</v>
      </c>
      <c r="X220" s="354">
        <f t="shared" si="157"/>
        <v>0.85135678090166911</v>
      </c>
      <c r="Y220" s="374">
        <f t="shared" si="148"/>
        <v>1.7688570626818245</v>
      </c>
      <c r="Z220" s="354">
        <f t="shared" si="129"/>
        <v>0.91248265122679428</v>
      </c>
      <c r="AA220" s="354">
        <f t="shared" si="158"/>
        <v>0.85637441145503013</v>
      </c>
      <c r="AB220" s="374">
        <f t="shared" si="149"/>
        <v>9.6639662848506322</v>
      </c>
      <c r="AC220" s="354">
        <f t="shared" si="131"/>
        <v>2.7425619128072398</v>
      </c>
      <c r="AD220" s="354">
        <f t="shared" si="132"/>
        <v>5.9699480718828015</v>
      </c>
      <c r="AE220" s="354">
        <f t="shared" si="133"/>
        <v>0.95145630016059124</v>
      </c>
      <c r="AF220" s="374">
        <f t="shared" si="150"/>
        <v>7.7345478604615261</v>
      </c>
      <c r="AG220" s="354">
        <f t="shared" si="134"/>
        <v>0.49707388413261622</v>
      </c>
      <c r="AH220" s="354">
        <f t="shared" si="135"/>
        <v>2.5009785361948564</v>
      </c>
      <c r="AI220" s="354">
        <f t="shared" si="159"/>
        <v>0</v>
      </c>
      <c r="AJ220" s="354">
        <f t="shared" si="160"/>
        <v>4.7364954401340533</v>
      </c>
      <c r="AK220" s="374">
        <f t="shared" si="151"/>
        <v>5.1086150353687216</v>
      </c>
      <c r="AL220" s="354">
        <f t="shared" si="138"/>
        <v>1.4636521186386828</v>
      </c>
      <c r="AM220" s="354">
        <f t="shared" si="139"/>
        <v>3.4521147829748169</v>
      </c>
      <c r="AN220" s="354">
        <f t="shared" si="140"/>
        <v>0.19284813375522189</v>
      </c>
      <c r="AO220" s="374">
        <f t="shared" si="152"/>
        <v>2.9622058098071524</v>
      </c>
      <c r="AP220" s="354">
        <f t="shared" si="141"/>
        <v>0.67926494976372975</v>
      </c>
      <c r="AQ220" s="354">
        <f t="shared" si="161"/>
        <v>2.2829408600434227</v>
      </c>
      <c r="AR220" s="374">
        <f t="shared" si="162"/>
        <v>5.4039258745074177</v>
      </c>
      <c r="AS220" s="354">
        <f t="shared" si="163"/>
        <v>2.3417045346044136</v>
      </c>
      <c r="AT220" s="354">
        <f t="shared" si="144"/>
        <v>3.062221339903004</v>
      </c>
      <c r="AU220" s="355" t="s">
        <v>396</v>
      </c>
      <c r="AV220" s="354" t="s">
        <v>345</v>
      </c>
      <c r="AW220" s="353">
        <v>0</v>
      </c>
      <c r="AX220" s="353">
        <v>0</v>
      </c>
      <c r="AY220" s="353">
        <v>0</v>
      </c>
      <c r="AZ220" s="353">
        <v>0</v>
      </c>
      <c r="BA220" s="353">
        <v>0</v>
      </c>
      <c r="BB220" s="353">
        <v>0</v>
      </c>
    </row>
    <row r="221" spans="1:54" x14ac:dyDescent="0.25">
      <c r="A221" s="348" t="s">
        <v>651</v>
      </c>
      <c r="B221" s="379">
        <v>4</v>
      </c>
      <c r="C221" s="380">
        <v>45078</v>
      </c>
      <c r="D221" s="351">
        <v>45100</v>
      </c>
      <c r="E221" s="352"/>
      <c r="F221" s="352">
        <v>6</v>
      </c>
      <c r="G221" s="428" t="s">
        <v>323</v>
      </c>
      <c r="H221" s="350" t="s">
        <v>656</v>
      </c>
      <c r="I221" s="350" t="s">
        <v>393</v>
      </c>
      <c r="J221" s="556">
        <v>133677</v>
      </c>
      <c r="K221" s="350" t="s">
        <v>394</v>
      </c>
      <c r="L221" s="353">
        <v>2801.6</v>
      </c>
      <c r="M221" s="375">
        <f t="shared" si="154"/>
        <v>47.714520274129072</v>
      </c>
      <c r="N221" s="354" t="s">
        <v>395</v>
      </c>
      <c r="O221" s="354">
        <v>0</v>
      </c>
      <c r="P221" s="374">
        <f t="shared" si="145"/>
        <v>3.0064029275904312</v>
      </c>
      <c r="Q221" s="354">
        <f t="shared" si="155"/>
        <v>0.28354965940531845</v>
      </c>
      <c r="R221" s="354">
        <f t="shared" si="123"/>
        <v>0.47798225598689215</v>
      </c>
      <c r="S221" s="354">
        <f t="shared" si="124"/>
        <v>0.42578019338941719</v>
      </c>
      <c r="T221" s="354">
        <f t="shared" si="125"/>
        <v>1.8169667587477527</v>
      </c>
      <c r="U221" s="374">
        <f t="shared" si="156"/>
        <v>12.065999418861363</v>
      </c>
      <c r="V221" s="354">
        <f t="shared" si="126"/>
        <v>0.31939564567528478</v>
      </c>
      <c r="W221" s="354">
        <f t="shared" si="127"/>
        <v>10.89524699228441</v>
      </c>
      <c r="X221" s="354">
        <f t="shared" si="157"/>
        <v>0.85135678090166911</v>
      </c>
      <c r="Y221" s="374">
        <f t="shared" si="148"/>
        <v>1.7688570626818245</v>
      </c>
      <c r="Z221" s="354">
        <f t="shared" si="129"/>
        <v>0.91248265122679428</v>
      </c>
      <c r="AA221" s="354">
        <f t="shared" si="158"/>
        <v>0.85637441145503013</v>
      </c>
      <c r="AB221" s="374">
        <f t="shared" si="149"/>
        <v>9.6639662848506322</v>
      </c>
      <c r="AC221" s="354">
        <f t="shared" si="131"/>
        <v>2.7425619128072398</v>
      </c>
      <c r="AD221" s="354">
        <f t="shared" si="132"/>
        <v>5.9699480718828015</v>
      </c>
      <c r="AE221" s="354">
        <f t="shared" si="133"/>
        <v>0.95145630016059124</v>
      </c>
      <c r="AF221" s="374">
        <f t="shared" si="150"/>
        <v>7.7345478604615261</v>
      </c>
      <c r="AG221" s="354">
        <f t="shared" si="134"/>
        <v>0.49707388413261622</v>
      </c>
      <c r="AH221" s="354">
        <f t="shared" si="135"/>
        <v>2.5009785361948564</v>
      </c>
      <c r="AI221" s="354">
        <f t="shared" si="159"/>
        <v>0</v>
      </c>
      <c r="AJ221" s="354">
        <f t="shared" si="160"/>
        <v>4.7364954401340533</v>
      </c>
      <c r="AK221" s="374">
        <f t="shared" si="151"/>
        <v>5.1086150353687216</v>
      </c>
      <c r="AL221" s="354">
        <f t="shared" si="138"/>
        <v>1.4636521186386828</v>
      </c>
      <c r="AM221" s="354">
        <f t="shared" si="139"/>
        <v>3.4521147829748169</v>
      </c>
      <c r="AN221" s="354">
        <f t="shared" si="140"/>
        <v>0.19284813375522189</v>
      </c>
      <c r="AO221" s="374">
        <f t="shared" si="152"/>
        <v>2.9622058098071524</v>
      </c>
      <c r="AP221" s="354">
        <f t="shared" si="141"/>
        <v>0.67926494976372975</v>
      </c>
      <c r="AQ221" s="354">
        <f t="shared" si="161"/>
        <v>2.2829408600434227</v>
      </c>
      <c r="AR221" s="374">
        <f t="shared" si="162"/>
        <v>5.4039258745074177</v>
      </c>
      <c r="AS221" s="354">
        <f t="shared" si="163"/>
        <v>2.3417045346044136</v>
      </c>
      <c r="AT221" s="354">
        <f t="shared" si="144"/>
        <v>3.062221339903004</v>
      </c>
      <c r="AU221" s="355" t="s">
        <v>396</v>
      </c>
      <c r="AV221" s="354" t="s">
        <v>345</v>
      </c>
      <c r="AW221" s="353">
        <v>0</v>
      </c>
      <c r="AX221" s="353">
        <v>0</v>
      </c>
      <c r="AY221" s="353">
        <v>0</v>
      </c>
      <c r="AZ221" s="353">
        <v>0</v>
      </c>
      <c r="BA221" s="353">
        <v>0</v>
      </c>
      <c r="BB221" s="353">
        <v>0</v>
      </c>
    </row>
    <row r="222" spans="1:54" x14ac:dyDescent="0.25">
      <c r="A222" s="348" t="s">
        <v>651</v>
      </c>
      <c r="B222" s="379">
        <v>4</v>
      </c>
      <c r="C222" s="380">
        <v>45078</v>
      </c>
      <c r="D222" s="351">
        <v>45100</v>
      </c>
      <c r="E222" s="352"/>
      <c r="F222" s="352">
        <v>6</v>
      </c>
      <c r="G222" s="428" t="s">
        <v>300</v>
      </c>
      <c r="H222" s="350" t="s">
        <v>657</v>
      </c>
      <c r="I222" s="350" t="s">
        <v>393</v>
      </c>
      <c r="J222" s="556">
        <f>1478570/5</f>
        <v>295714</v>
      </c>
      <c r="K222" s="350" t="s">
        <v>394</v>
      </c>
      <c r="L222" s="353">
        <v>2801.6</v>
      </c>
      <c r="M222" s="375">
        <f t="shared" si="154"/>
        <v>105.55182752712736</v>
      </c>
      <c r="N222" s="354" t="s">
        <v>395</v>
      </c>
      <c r="O222" s="354">
        <v>0</v>
      </c>
      <c r="P222" s="374">
        <f t="shared" si="145"/>
        <v>6.6506237821725254</v>
      </c>
      <c r="Q222" s="354">
        <f t="shared" si="155"/>
        <v>0.62725527937778625</v>
      </c>
      <c r="R222" s="354">
        <f t="shared" si="123"/>
        <v>1.0573699652663346</v>
      </c>
      <c r="S222" s="354">
        <f t="shared" si="124"/>
        <v>0.94189100673981396</v>
      </c>
      <c r="T222" s="354">
        <f t="shared" si="125"/>
        <v>4.0194087845802411</v>
      </c>
      <c r="U222" s="374">
        <f t="shared" si="156"/>
        <v>26.691838926286266</v>
      </c>
      <c r="V222" s="354">
        <f t="shared" si="126"/>
        <v>0.70655209172274336</v>
      </c>
      <c r="W222" s="354">
        <f t="shared" si="127"/>
        <v>24.101955228471557</v>
      </c>
      <c r="X222" s="354">
        <f t="shared" si="157"/>
        <v>1.8833316060919694</v>
      </c>
      <c r="Y222" s="374">
        <f t="shared" si="148"/>
        <v>3.9129827676705271</v>
      </c>
      <c r="Z222" s="354">
        <f t="shared" si="129"/>
        <v>2.0185513942180049</v>
      </c>
      <c r="AA222" s="354">
        <f t="shared" si="158"/>
        <v>1.894431373452522</v>
      </c>
      <c r="AB222" s="374">
        <f t="shared" si="149"/>
        <v>21.378173701970567</v>
      </c>
      <c r="AC222" s="354">
        <f t="shared" si="131"/>
        <v>6.0669670435742873</v>
      </c>
      <c r="AD222" s="354">
        <f t="shared" si="132"/>
        <v>13.206439582940598</v>
      </c>
      <c r="AE222" s="354">
        <f t="shared" si="133"/>
        <v>2.1047670754556806</v>
      </c>
      <c r="AF222" s="374">
        <f t="shared" si="150"/>
        <v>17.110004608186298</v>
      </c>
      <c r="AG222" s="354">
        <f t="shared" si="134"/>
        <v>1.0996035710884631</v>
      </c>
      <c r="AH222" s="354">
        <f t="shared" si="135"/>
        <v>5.532547609927855</v>
      </c>
      <c r="AI222" s="354">
        <f t="shared" si="159"/>
        <v>0</v>
      </c>
      <c r="AJ222" s="354">
        <f t="shared" si="160"/>
        <v>10.477853427169981</v>
      </c>
      <c r="AK222" s="374">
        <f t="shared" si="151"/>
        <v>11.301038971319121</v>
      </c>
      <c r="AL222" s="354">
        <f t="shared" si="138"/>
        <v>3.2378226816215165</v>
      </c>
      <c r="AM222" s="354">
        <f t="shared" si="139"/>
        <v>7.6366066782813427</v>
      </c>
      <c r="AN222" s="354">
        <f t="shared" si="140"/>
        <v>0.42660961141626225</v>
      </c>
      <c r="AO222" s="374">
        <f t="shared" si="152"/>
        <v>6.5528529877339583</v>
      </c>
      <c r="AP222" s="354">
        <f t="shared" si="141"/>
        <v>1.5026381154157529</v>
      </c>
      <c r="AQ222" s="354">
        <f t="shared" si="161"/>
        <v>5.0502148723182057</v>
      </c>
      <c r="AR222" s="374">
        <f t="shared" si="162"/>
        <v>11.954311781788089</v>
      </c>
      <c r="AS222" s="354">
        <f t="shared" si="163"/>
        <v>5.1802091215841886</v>
      </c>
      <c r="AT222" s="354">
        <f t="shared" si="144"/>
        <v>6.7741026602039014</v>
      </c>
      <c r="AU222" s="355" t="s">
        <v>396</v>
      </c>
      <c r="AV222" s="354" t="s">
        <v>345</v>
      </c>
      <c r="AW222" s="353">
        <v>0</v>
      </c>
      <c r="AX222" s="353">
        <v>0</v>
      </c>
      <c r="AY222" s="353">
        <v>0</v>
      </c>
      <c r="AZ222" s="353">
        <v>0</v>
      </c>
      <c r="BA222" s="353">
        <v>0</v>
      </c>
      <c r="BB222" s="353">
        <v>0</v>
      </c>
    </row>
    <row r="223" spans="1:54" x14ac:dyDescent="0.25">
      <c r="A223" s="348" t="s">
        <v>651</v>
      </c>
      <c r="B223" s="379">
        <v>4</v>
      </c>
      <c r="C223" s="380">
        <v>45078</v>
      </c>
      <c r="D223" s="351">
        <v>45100</v>
      </c>
      <c r="E223" s="352"/>
      <c r="F223" s="352">
        <v>6</v>
      </c>
      <c r="G223" s="428" t="s">
        <v>300</v>
      </c>
      <c r="H223" s="350" t="s">
        <v>658</v>
      </c>
      <c r="I223" s="350" t="s">
        <v>393</v>
      </c>
      <c r="J223" s="556">
        <f t="shared" ref="J223:J226" si="164">1478570/5</f>
        <v>295714</v>
      </c>
      <c r="K223" s="350" t="s">
        <v>394</v>
      </c>
      <c r="L223" s="353">
        <v>2801.6</v>
      </c>
      <c r="M223" s="375">
        <f t="shared" si="154"/>
        <v>105.55182752712736</v>
      </c>
      <c r="N223" s="354" t="s">
        <v>395</v>
      </c>
      <c r="O223" s="354">
        <v>0</v>
      </c>
      <c r="P223" s="374">
        <f t="shared" si="145"/>
        <v>6.6506237821725254</v>
      </c>
      <c r="Q223" s="354">
        <f t="shared" si="155"/>
        <v>0.62725527937778625</v>
      </c>
      <c r="R223" s="354">
        <f t="shared" si="123"/>
        <v>1.0573699652663346</v>
      </c>
      <c r="S223" s="354">
        <f t="shared" si="124"/>
        <v>0.94189100673981396</v>
      </c>
      <c r="T223" s="354">
        <f t="shared" si="125"/>
        <v>4.0194087845802411</v>
      </c>
      <c r="U223" s="374">
        <f t="shared" si="156"/>
        <v>26.691838926286266</v>
      </c>
      <c r="V223" s="354">
        <f t="shared" si="126"/>
        <v>0.70655209172274336</v>
      </c>
      <c r="W223" s="354">
        <f t="shared" si="127"/>
        <v>24.101955228471557</v>
      </c>
      <c r="X223" s="354">
        <f t="shared" si="157"/>
        <v>1.8833316060919694</v>
      </c>
      <c r="Y223" s="374">
        <f t="shared" si="148"/>
        <v>3.9129827676705271</v>
      </c>
      <c r="Z223" s="354">
        <f t="shared" si="129"/>
        <v>2.0185513942180049</v>
      </c>
      <c r="AA223" s="354">
        <f t="shared" si="158"/>
        <v>1.894431373452522</v>
      </c>
      <c r="AB223" s="374">
        <f t="shared" si="149"/>
        <v>21.378173701970567</v>
      </c>
      <c r="AC223" s="354">
        <f t="shared" si="131"/>
        <v>6.0669670435742873</v>
      </c>
      <c r="AD223" s="354">
        <f t="shared" si="132"/>
        <v>13.206439582940598</v>
      </c>
      <c r="AE223" s="354">
        <f t="shared" si="133"/>
        <v>2.1047670754556806</v>
      </c>
      <c r="AF223" s="374">
        <f t="shared" si="150"/>
        <v>17.110004608186298</v>
      </c>
      <c r="AG223" s="354">
        <f t="shared" si="134"/>
        <v>1.0996035710884631</v>
      </c>
      <c r="AH223" s="354">
        <f t="shared" si="135"/>
        <v>5.532547609927855</v>
      </c>
      <c r="AI223" s="354">
        <f t="shared" si="159"/>
        <v>0</v>
      </c>
      <c r="AJ223" s="354">
        <f t="shared" si="160"/>
        <v>10.477853427169981</v>
      </c>
      <c r="AK223" s="374">
        <f t="shared" si="151"/>
        <v>11.301038971319121</v>
      </c>
      <c r="AL223" s="354">
        <f t="shared" si="138"/>
        <v>3.2378226816215165</v>
      </c>
      <c r="AM223" s="354">
        <f t="shared" si="139"/>
        <v>7.6366066782813427</v>
      </c>
      <c r="AN223" s="354">
        <f t="shared" si="140"/>
        <v>0.42660961141626225</v>
      </c>
      <c r="AO223" s="374">
        <f t="shared" si="152"/>
        <v>6.5528529877339583</v>
      </c>
      <c r="AP223" s="354">
        <f t="shared" si="141"/>
        <v>1.5026381154157529</v>
      </c>
      <c r="AQ223" s="354">
        <f t="shared" si="161"/>
        <v>5.0502148723182057</v>
      </c>
      <c r="AR223" s="374">
        <f t="shared" si="162"/>
        <v>11.954311781788089</v>
      </c>
      <c r="AS223" s="354">
        <f t="shared" si="163"/>
        <v>5.1802091215841886</v>
      </c>
      <c r="AT223" s="354">
        <f t="shared" si="144"/>
        <v>6.7741026602039014</v>
      </c>
      <c r="AU223" s="355" t="s">
        <v>396</v>
      </c>
      <c r="AV223" s="354" t="s">
        <v>345</v>
      </c>
      <c r="AW223" s="353">
        <v>0</v>
      </c>
      <c r="AX223" s="353">
        <v>0</v>
      </c>
      <c r="AY223" s="353">
        <v>0</v>
      </c>
      <c r="AZ223" s="353">
        <v>0</v>
      </c>
      <c r="BA223" s="353">
        <v>0</v>
      </c>
      <c r="BB223" s="353">
        <v>0</v>
      </c>
    </row>
    <row r="224" spans="1:54" x14ac:dyDescent="0.25">
      <c r="A224" s="348" t="s">
        <v>651</v>
      </c>
      <c r="B224" s="379">
        <v>4</v>
      </c>
      <c r="C224" s="380">
        <v>45078</v>
      </c>
      <c r="D224" s="351">
        <v>45100</v>
      </c>
      <c r="E224" s="352"/>
      <c r="F224" s="352">
        <v>6</v>
      </c>
      <c r="G224" s="428" t="s">
        <v>300</v>
      </c>
      <c r="H224" s="350" t="s">
        <v>659</v>
      </c>
      <c r="I224" s="350" t="s">
        <v>393</v>
      </c>
      <c r="J224" s="556">
        <f t="shared" si="164"/>
        <v>295714</v>
      </c>
      <c r="K224" s="350" t="s">
        <v>394</v>
      </c>
      <c r="L224" s="353">
        <v>2801.6</v>
      </c>
      <c r="M224" s="375">
        <f t="shared" si="154"/>
        <v>105.55182752712736</v>
      </c>
      <c r="N224" s="354" t="s">
        <v>395</v>
      </c>
      <c r="O224" s="354">
        <v>0</v>
      </c>
      <c r="P224" s="374">
        <f t="shared" si="145"/>
        <v>6.6506237821725254</v>
      </c>
      <c r="Q224" s="354">
        <f t="shared" si="155"/>
        <v>0.62725527937778625</v>
      </c>
      <c r="R224" s="354">
        <f t="shared" si="123"/>
        <v>1.0573699652663346</v>
      </c>
      <c r="S224" s="354">
        <f t="shared" si="124"/>
        <v>0.94189100673981396</v>
      </c>
      <c r="T224" s="354">
        <f t="shared" si="125"/>
        <v>4.0194087845802411</v>
      </c>
      <c r="U224" s="374">
        <f t="shared" si="156"/>
        <v>26.691838926286266</v>
      </c>
      <c r="V224" s="354">
        <f t="shared" si="126"/>
        <v>0.70655209172274336</v>
      </c>
      <c r="W224" s="354">
        <f t="shared" si="127"/>
        <v>24.101955228471557</v>
      </c>
      <c r="X224" s="354">
        <f t="shared" si="157"/>
        <v>1.8833316060919694</v>
      </c>
      <c r="Y224" s="374">
        <f t="shared" si="148"/>
        <v>3.9129827676705271</v>
      </c>
      <c r="Z224" s="354">
        <f t="shared" si="129"/>
        <v>2.0185513942180049</v>
      </c>
      <c r="AA224" s="354">
        <f t="shared" si="158"/>
        <v>1.894431373452522</v>
      </c>
      <c r="AB224" s="374">
        <f t="shared" si="149"/>
        <v>21.378173701970567</v>
      </c>
      <c r="AC224" s="354">
        <f t="shared" si="131"/>
        <v>6.0669670435742873</v>
      </c>
      <c r="AD224" s="354">
        <f t="shared" si="132"/>
        <v>13.206439582940598</v>
      </c>
      <c r="AE224" s="354">
        <f t="shared" si="133"/>
        <v>2.1047670754556806</v>
      </c>
      <c r="AF224" s="374">
        <f t="shared" si="150"/>
        <v>17.110004608186298</v>
      </c>
      <c r="AG224" s="354">
        <f t="shared" si="134"/>
        <v>1.0996035710884631</v>
      </c>
      <c r="AH224" s="354">
        <f t="shared" si="135"/>
        <v>5.532547609927855</v>
      </c>
      <c r="AI224" s="354">
        <f t="shared" si="159"/>
        <v>0</v>
      </c>
      <c r="AJ224" s="354">
        <f t="shared" si="160"/>
        <v>10.477853427169981</v>
      </c>
      <c r="AK224" s="374">
        <f t="shared" si="151"/>
        <v>11.301038971319121</v>
      </c>
      <c r="AL224" s="354">
        <f t="shared" si="138"/>
        <v>3.2378226816215165</v>
      </c>
      <c r="AM224" s="354">
        <f t="shared" si="139"/>
        <v>7.6366066782813427</v>
      </c>
      <c r="AN224" s="354">
        <f t="shared" si="140"/>
        <v>0.42660961141626225</v>
      </c>
      <c r="AO224" s="374">
        <f t="shared" si="152"/>
        <v>6.5528529877339583</v>
      </c>
      <c r="AP224" s="354">
        <f t="shared" si="141"/>
        <v>1.5026381154157529</v>
      </c>
      <c r="AQ224" s="354">
        <f t="shared" si="161"/>
        <v>5.0502148723182057</v>
      </c>
      <c r="AR224" s="374">
        <f t="shared" si="162"/>
        <v>11.954311781788089</v>
      </c>
      <c r="AS224" s="354">
        <f t="shared" si="163"/>
        <v>5.1802091215841886</v>
      </c>
      <c r="AT224" s="354">
        <f t="shared" si="144"/>
        <v>6.7741026602039014</v>
      </c>
      <c r="AU224" s="355" t="s">
        <v>396</v>
      </c>
      <c r="AV224" s="354" t="s">
        <v>345</v>
      </c>
      <c r="AW224" s="353">
        <v>0</v>
      </c>
      <c r="AX224" s="353">
        <v>0</v>
      </c>
      <c r="AY224" s="353">
        <v>0</v>
      </c>
      <c r="AZ224" s="353">
        <v>0</v>
      </c>
      <c r="BA224" s="353">
        <v>0</v>
      </c>
      <c r="BB224" s="353">
        <v>0</v>
      </c>
    </row>
    <row r="225" spans="1:54" x14ac:dyDescent="0.25">
      <c r="A225" s="348" t="s">
        <v>651</v>
      </c>
      <c r="B225" s="379">
        <v>4</v>
      </c>
      <c r="C225" s="380">
        <v>45078</v>
      </c>
      <c r="D225" s="351">
        <v>45100</v>
      </c>
      <c r="E225" s="352"/>
      <c r="F225" s="352">
        <v>6</v>
      </c>
      <c r="G225" s="428" t="s">
        <v>300</v>
      </c>
      <c r="H225" s="350" t="s">
        <v>660</v>
      </c>
      <c r="I225" s="350" t="s">
        <v>393</v>
      </c>
      <c r="J225" s="556">
        <f t="shared" si="164"/>
        <v>295714</v>
      </c>
      <c r="K225" s="350" t="s">
        <v>394</v>
      </c>
      <c r="L225" s="353">
        <v>2801.6</v>
      </c>
      <c r="M225" s="375">
        <f t="shared" si="154"/>
        <v>105.55182752712736</v>
      </c>
      <c r="N225" s="354" t="s">
        <v>395</v>
      </c>
      <c r="O225" s="354">
        <v>0</v>
      </c>
      <c r="P225" s="374">
        <f t="shared" si="145"/>
        <v>6.6506237821725254</v>
      </c>
      <c r="Q225" s="354">
        <f t="shared" si="155"/>
        <v>0.62725527937778625</v>
      </c>
      <c r="R225" s="354">
        <f t="shared" si="123"/>
        <v>1.0573699652663346</v>
      </c>
      <c r="S225" s="354">
        <f t="shared" si="124"/>
        <v>0.94189100673981396</v>
      </c>
      <c r="T225" s="354">
        <f t="shared" si="125"/>
        <v>4.0194087845802411</v>
      </c>
      <c r="U225" s="374">
        <f t="shared" si="156"/>
        <v>26.691838926286266</v>
      </c>
      <c r="V225" s="354">
        <f t="shared" si="126"/>
        <v>0.70655209172274336</v>
      </c>
      <c r="W225" s="354">
        <f t="shared" si="127"/>
        <v>24.101955228471557</v>
      </c>
      <c r="X225" s="354">
        <f t="shared" si="157"/>
        <v>1.8833316060919694</v>
      </c>
      <c r="Y225" s="374">
        <f t="shared" si="148"/>
        <v>3.9129827676705271</v>
      </c>
      <c r="Z225" s="354">
        <f t="shared" si="129"/>
        <v>2.0185513942180049</v>
      </c>
      <c r="AA225" s="354">
        <f t="shared" si="158"/>
        <v>1.894431373452522</v>
      </c>
      <c r="AB225" s="374">
        <f t="shared" si="149"/>
        <v>21.378173701970567</v>
      </c>
      <c r="AC225" s="354">
        <f t="shared" si="131"/>
        <v>6.0669670435742873</v>
      </c>
      <c r="AD225" s="354">
        <f t="shared" si="132"/>
        <v>13.206439582940598</v>
      </c>
      <c r="AE225" s="354">
        <f t="shared" si="133"/>
        <v>2.1047670754556806</v>
      </c>
      <c r="AF225" s="374">
        <f t="shared" si="150"/>
        <v>17.110004608186298</v>
      </c>
      <c r="AG225" s="354">
        <f t="shared" si="134"/>
        <v>1.0996035710884631</v>
      </c>
      <c r="AH225" s="354">
        <f t="shared" si="135"/>
        <v>5.532547609927855</v>
      </c>
      <c r="AI225" s="354">
        <f t="shared" si="159"/>
        <v>0</v>
      </c>
      <c r="AJ225" s="354">
        <f t="shared" si="160"/>
        <v>10.477853427169981</v>
      </c>
      <c r="AK225" s="374">
        <f t="shared" si="151"/>
        <v>11.301038971319121</v>
      </c>
      <c r="AL225" s="354">
        <f t="shared" si="138"/>
        <v>3.2378226816215165</v>
      </c>
      <c r="AM225" s="354">
        <f t="shared" si="139"/>
        <v>7.6366066782813427</v>
      </c>
      <c r="AN225" s="354">
        <f t="shared" si="140"/>
        <v>0.42660961141626225</v>
      </c>
      <c r="AO225" s="374">
        <f t="shared" si="152"/>
        <v>6.5528529877339583</v>
      </c>
      <c r="AP225" s="354">
        <f t="shared" si="141"/>
        <v>1.5026381154157529</v>
      </c>
      <c r="AQ225" s="354">
        <f t="shared" si="161"/>
        <v>5.0502148723182057</v>
      </c>
      <c r="AR225" s="374">
        <f t="shared" si="162"/>
        <v>11.954311781788089</v>
      </c>
      <c r="AS225" s="354">
        <f t="shared" si="163"/>
        <v>5.1802091215841886</v>
      </c>
      <c r="AT225" s="354">
        <f t="shared" si="144"/>
        <v>6.7741026602039014</v>
      </c>
      <c r="AU225" s="355" t="s">
        <v>396</v>
      </c>
      <c r="AV225" s="354" t="s">
        <v>345</v>
      </c>
      <c r="AW225" s="353">
        <v>0</v>
      </c>
      <c r="AX225" s="353">
        <v>0</v>
      </c>
      <c r="AY225" s="353">
        <v>0</v>
      </c>
      <c r="AZ225" s="353">
        <v>0</v>
      </c>
      <c r="BA225" s="353">
        <v>0</v>
      </c>
      <c r="BB225" s="353">
        <v>0</v>
      </c>
    </row>
    <row r="226" spans="1:54" x14ac:dyDescent="0.25">
      <c r="A226" s="348" t="s">
        <v>651</v>
      </c>
      <c r="B226" s="379">
        <v>4</v>
      </c>
      <c r="C226" s="380">
        <v>45078</v>
      </c>
      <c r="D226" s="351">
        <v>45100</v>
      </c>
      <c r="E226" s="352"/>
      <c r="F226" s="352">
        <v>6</v>
      </c>
      <c r="G226" s="428" t="s">
        <v>300</v>
      </c>
      <c r="H226" s="350" t="s">
        <v>661</v>
      </c>
      <c r="I226" s="350" t="s">
        <v>393</v>
      </c>
      <c r="J226" s="556">
        <f t="shared" si="164"/>
        <v>295714</v>
      </c>
      <c r="K226" s="350" t="s">
        <v>394</v>
      </c>
      <c r="L226" s="353">
        <v>2801.6</v>
      </c>
      <c r="M226" s="375">
        <f t="shared" si="154"/>
        <v>105.55182752712736</v>
      </c>
      <c r="N226" s="354" t="s">
        <v>395</v>
      </c>
      <c r="O226" s="354">
        <v>0</v>
      </c>
      <c r="P226" s="374">
        <f t="shared" si="145"/>
        <v>6.6506237821725254</v>
      </c>
      <c r="Q226" s="354">
        <f t="shared" si="155"/>
        <v>0.62725527937778625</v>
      </c>
      <c r="R226" s="354">
        <f t="shared" si="123"/>
        <v>1.0573699652663346</v>
      </c>
      <c r="S226" s="354">
        <f t="shared" si="124"/>
        <v>0.94189100673981396</v>
      </c>
      <c r="T226" s="354">
        <f t="shared" si="125"/>
        <v>4.0194087845802411</v>
      </c>
      <c r="U226" s="374">
        <f t="shared" si="156"/>
        <v>26.691838926286266</v>
      </c>
      <c r="V226" s="354">
        <f t="shared" si="126"/>
        <v>0.70655209172274336</v>
      </c>
      <c r="W226" s="354">
        <f t="shared" si="127"/>
        <v>24.101955228471557</v>
      </c>
      <c r="X226" s="354">
        <f t="shared" si="157"/>
        <v>1.8833316060919694</v>
      </c>
      <c r="Y226" s="374">
        <f t="shared" si="148"/>
        <v>3.9129827676705271</v>
      </c>
      <c r="Z226" s="354">
        <f t="shared" si="129"/>
        <v>2.0185513942180049</v>
      </c>
      <c r="AA226" s="354">
        <f t="shared" si="158"/>
        <v>1.894431373452522</v>
      </c>
      <c r="AB226" s="374">
        <f t="shared" si="149"/>
        <v>21.378173701970567</v>
      </c>
      <c r="AC226" s="354">
        <f t="shared" si="131"/>
        <v>6.0669670435742873</v>
      </c>
      <c r="AD226" s="354">
        <f t="shared" si="132"/>
        <v>13.206439582940598</v>
      </c>
      <c r="AE226" s="354">
        <f t="shared" si="133"/>
        <v>2.1047670754556806</v>
      </c>
      <c r="AF226" s="374">
        <f t="shared" si="150"/>
        <v>17.110004608186298</v>
      </c>
      <c r="AG226" s="354">
        <f t="shared" si="134"/>
        <v>1.0996035710884631</v>
      </c>
      <c r="AH226" s="354">
        <f t="shared" si="135"/>
        <v>5.532547609927855</v>
      </c>
      <c r="AI226" s="354">
        <f t="shared" si="159"/>
        <v>0</v>
      </c>
      <c r="AJ226" s="354">
        <f t="shared" si="160"/>
        <v>10.477853427169981</v>
      </c>
      <c r="AK226" s="374">
        <f t="shared" si="151"/>
        <v>11.301038971319121</v>
      </c>
      <c r="AL226" s="354">
        <f t="shared" si="138"/>
        <v>3.2378226816215165</v>
      </c>
      <c r="AM226" s="354">
        <f t="shared" si="139"/>
        <v>7.6366066782813427</v>
      </c>
      <c r="AN226" s="354">
        <f t="shared" si="140"/>
        <v>0.42660961141626225</v>
      </c>
      <c r="AO226" s="374">
        <f t="shared" si="152"/>
        <v>6.5528529877339583</v>
      </c>
      <c r="AP226" s="354">
        <f t="shared" si="141"/>
        <v>1.5026381154157529</v>
      </c>
      <c r="AQ226" s="354">
        <f t="shared" si="161"/>
        <v>5.0502148723182057</v>
      </c>
      <c r="AR226" s="374">
        <f t="shared" si="162"/>
        <v>11.954311781788089</v>
      </c>
      <c r="AS226" s="354">
        <f t="shared" si="163"/>
        <v>5.1802091215841886</v>
      </c>
      <c r="AT226" s="354">
        <f t="shared" si="144"/>
        <v>6.7741026602039014</v>
      </c>
      <c r="AU226" s="355" t="s">
        <v>396</v>
      </c>
      <c r="AV226" s="354" t="s">
        <v>345</v>
      </c>
      <c r="AW226" s="353">
        <v>0</v>
      </c>
      <c r="AX226" s="353">
        <v>0</v>
      </c>
      <c r="AY226" s="353">
        <v>0</v>
      </c>
      <c r="AZ226" s="353">
        <v>0</v>
      </c>
      <c r="BA226" s="353">
        <v>0</v>
      </c>
      <c r="BB226" s="353">
        <v>0</v>
      </c>
    </row>
    <row r="227" spans="1:54" x14ac:dyDescent="0.25">
      <c r="A227" s="348" t="s">
        <v>651</v>
      </c>
      <c r="B227" s="379">
        <v>4</v>
      </c>
      <c r="C227" s="380">
        <v>45078</v>
      </c>
      <c r="D227" s="351">
        <v>45100</v>
      </c>
      <c r="E227" s="352"/>
      <c r="F227" s="352">
        <v>6</v>
      </c>
      <c r="G227" s="428" t="s">
        <v>305</v>
      </c>
      <c r="H227" s="350" t="s">
        <v>662</v>
      </c>
      <c r="I227" s="350" t="s">
        <v>393</v>
      </c>
      <c r="J227" s="556">
        <v>26424</v>
      </c>
      <c r="K227" s="350" t="s">
        <v>394</v>
      </c>
      <c r="L227" s="353">
        <v>2801.6</v>
      </c>
      <c r="M227" s="375">
        <f t="shared" si="154"/>
        <v>9.4317532838378071</v>
      </c>
      <c r="N227" s="354" t="s">
        <v>395</v>
      </c>
      <c r="O227" s="354">
        <v>0</v>
      </c>
      <c r="P227" s="374">
        <f t="shared" si="145"/>
        <v>0.59427718275133001</v>
      </c>
      <c r="Q227" s="354">
        <f t="shared" si="155"/>
        <v>5.604940416171917E-2</v>
      </c>
      <c r="R227" s="354">
        <f t="shared" si="123"/>
        <v>9.448299357554131E-2</v>
      </c>
      <c r="S227" s="354">
        <f t="shared" si="124"/>
        <v>8.4164185537691297E-2</v>
      </c>
      <c r="T227" s="354">
        <f t="shared" si="125"/>
        <v>0.35916073545299948</v>
      </c>
      <c r="U227" s="374">
        <f t="shared" si="156"/>
        <v>2.3850921897109649</v>
      </c>
      <c r="V227" s="354">
        <f t="shared" si="126"/>
        <v>6.3135098343946414E-2</v>
      </c>
      <c r="W227" s="354">
        <f t="shared" si="127"/>
        <v>2.1536689671680489</v>
      </c>
      <c r="X227" s="354">
        <f t="shared" si="157"/>
        <v>0.16828812419896994</v>
      </c>
      <c r="Y227" s="374">
        <f t="shared" si="148"/>
        <v>0.34965086757111941</v>
      </c>
      <c r="Z227" s="354">
        <f t="shared" si="129"/>
        <v>0.18037090581039977</v>
      </c>
      <c r="AA227" s="354">
        <f t="shared" si="158"/>
        <v>0.1692799617607196</v>
      </c>
      <c r="AB227" s="374">
        <f t="shared" si="149"/>
        <v>1.9102810888252511</v>
      </c>
      <c r="AC227" s="354">
        <f t="shared" si="131"/>
        <v>0.54212359631064799</v>
      </c>
      <c r="AD227" s="354">
        <f t="shared" si="132"/>
        <v>1.1800826458660139</v>
      </c>
      <c r="AE227" s="354">
        <f t="shared" si="133"/>
        <v>0.1880748466485892</v>
      </c>
      <c r="AF227" s="374">
        <f t="shared" si="150"/>
        <v>1.5288919759183357</v>
      </c>
      <c r="AG227" s="354">
        <f t="shared" si="134"/>
        <v>9.8256845338541787E-2</v>
      </c>
      <c r="AH227" s="354">
        <f t="shared" si="135"/>
        <v>0.49436968843116535</v>
      </c>
      <c r="AI227" s="354">
        <f t="shared" si="159"/>
        <v>0</v>
      </c>
      <c r="AJ227" s="354">
        <f t="shared" si="160"/>
        <v>0.93626544214862861</v>
      </c>
      <c r="AK227" s="374">
        <f t="shared" si="151"/>
        <v>1.0098225101893603</v>
      </c>
      <c r="AL227" s="354">
        <f t="shared" si="138"/>
        <v>0.28932085237481814</v>
      </c>
      <c r="AM227" s="354">
        <f t="shared" si="139"/>
        <v>0.68238126996661042</v>
      </c>
      <c r="AN227" s="354">
        <f t="shared" si="140"/>
        <v>3.8120387847931834E-2</v>
      </c>
      <c r="AO227" s="374">
        <f t="shared" si="152"/>
        <v>0.58554071619159764</v>
      </c>
      <c r="AP227" s="354">
        <f t="shared" si="141"/>
        <v>0.13427064515628565</v>
      </c>
      <c r="AQ227" s="354">
        <f t="shared" si="161"/>
        <v>0.45127007103531203</v>
      </c>
      <c r="AR227" s="374">
        <f t="shared" si="162"/>
        <v>1.0681967526798477</v>
      </c>
      <c r="AS227" s="354">
        <f t="shared" si="163"/>
        <v>0.46288591621884861</v>
      </c>
      <c r="AT227" s="354">
        <f t="shared" si="144"/>
        <v>0.60531083646099915</v>
      </c>
      <c r="AU227" s="355" t="s">
        <v>396</v>
      </c>
      <c r="AV227" s="354" t="s">
        <v>345</v>
      </c>
      <c r="AW227" s="353">
        <v>0</v>
      </c>
      <c r="AX227" s="353">
        <v>0</v>
      </c>
      <c r="AY227" s="353">
        <v>0</v>
      </c>
      <c r="AZ227" s="353">
        <v>0</v>
      </c>
      <c r="BA227" s="353">
        <v>0</v>
      </c>
      <c r="BB227" s="353">
        <v>0</v>
      </c>
    </row>
    <row r="228" spans="1:54" x14ac:dyDescent="0.25">
      <c r="A228" s="348" t="s">
        <v>651</v>
      </c>
      <c r="B228" s="379">
        <v>4</v>
      </c>
      <c r="C228" s="380">
        <v>45078</v>
      </c>
      <c r="D228" s="351">
        <v>45100</v>
      </c>
      <c r="E228" s="352"/>
      <c r="F228" s="352">
        <v>6</v>
      </c>
      <c r="G228" s="428" t="s">
        <v>305</v>
      </c>
      <c r="H228" s="350" t="s">
        <v>663</v>
      </c>
      <c r="I228" s="350" t="s">
        <v>393</v>
      </c>
      <c r="J228" s="556">
        <v>26424</v>
      </c>
      <c r="K228" s="350" t="s">
        <v>394</v>
      </c>
      <c r="L228" s="353">
        <v>2801.6</v>
      </c>
      <c r="M228" s="375">
        <f t="shared" si="154"/>
        <v>9.4317532838378071</v>
      </c>
      <c r="N228" s="354" t="s">
        <v>395</v>
      </c>
      <c r="O228" s="354">
        <v>0</v>
      </c>
      <c r="P228" s="374">
        <f t="shared" si="145"/>
        <v>0.59427718275133001</v>
      </c>
      <c r="Q228" s="354">
        <f t="shared" si="155"/>
        <v>5.604940416171917E-2</v>
      </c>
      <c r="R228" s="354">
        <f t="shared" si="123"/>
        <v>9.448299357554131E-2</v>
      </c>
      <c r="S228" s="354">
        <f t="shared" si="124"/>
        <v>8.4164185537691297E-2</v>
      </c>
      <c r="T228" s="354">
        <f t="shared" si="125"/>
        <v>0.35916073545299948</v>
      </c>
      <c r="U228" s="374">
        <f t="shared" si="156"/>
        <v>2.3850921897109649</v>
      </c>
      <c r="V228" s="354">
        <f t="shared" si="126"/>
        <v>6.3135098343946414E-2</v>
      </c>
      <c r="W228" s="354">
        <f t="shared" si="127"/>
        <v>2.1536689671680489</v>
      </c>
      <c r="X228" s="354">
        <f t="shared" si="157"/>
        <v>0.16828812419896994</v>
      </c>
      <c r="Y228" s="374">
        <f t="shared" si="148"/>
        <v>0.34965086757111941</v>
      </c>
      <c r="Z228" s="354">
        <f t="shared" si="129"/>
        <v>0.18037090581039977</v>
      </c>
      <c r="AA228" s="354">
        <f t="shared" si="158"/>
        <v>0.1692799617607196</v>
      </c>
      <c r="AB228" s="374">
        <f t="shared" si="149"/>
        <v>1.9102810888252511</v>
      </c>
      <c r="AC228" s="354">
        <f t="shared" si="131"/>
        <v>0.54212359631064799</v>
      </c>
      <c r="AD228" s="354">
        <f t="shared" si="132"/>
        <v>1.1800826458660139</v>
      </c>
      <c r="AE228" s="354">
        <f t="shared" si="133"/>
        <v>0.1880748466485892</v>
      </c>
      <c r="AF228" s="374">
        <f t="shared" si="150"/>
        <v>1.5288919759183357</v>
      </c>
      <c r="AG228" s="354">
        <f t="shared" si="134"/>
        <v>9.8256845338541787E-2</v>
      </c>
      <c r="AH228" s="354">
        <f t="shared" si="135"/>
        <v>0.49436968843116535</v>
      </c>
      <c r="AI228" s="354">
        <f t="shared" si="159"/>
        <v>0</v>
      </c>
      <c r="AJ228" s="354">
        <f t="shared" si="160"/>
        <v>0.93626544214862861</v>
      </c>
      <c r="AK228" s="374">
        <f t="shared" si="151"/>
        <v>1.0098225101893603</v>
      </c>
      <c r="AL228" s="354">
        <f t="shared" si="138"/>
        <v>0.28932085237481814</v>
      </c>
      <c r="AM228" s="354">
        <f t="shared" si="139"/>
        <v>0.68238126996661042</v>
      </c>
      <c r="AN228" s="354">
        <f t="shared" si="140"/>
        <v>3.8120387847931834E-2</v>
      </c>
      <c r="AO228" s="374">
        <f t="shared" si="152"/>
        <v>0.58554071619159764</v>
      </c>
      <c r="AP228" s="354">
        <f t="shared" si="141"/>
        <v>0.13427064515628565</v>
      </c>
      <c r="AQ228" s="354">
        <f t="shared" si="161"/>
        <v>0.45127007103531203</v>
      </c>
      <c r="AR228" s="374">
        <f t="shared" si="162"/>
        <v>1.0681967526798477</v>
      </c>
      <c r="AS228" s="354">
        <f t="shared" si="163"/>
        <v>0.46288591621884861</v>
      </c>
      <c r="AT228" s="354">
        <f t="shared" si="144"/>
        <v>0.60531083646099915</v>
      </c>
      <c r="AU228" s="355" t="s">
        <v>396</v>
      </c>
      <c r="AV228" s="354" t="s">
        <v>345</v>
      </c>
      <c r="AW228" s="353">
        <v>0</v>
      </c>
      <c r="AX228" s="353">
        <v>0</v>
      </c>
      <c r="AY228" s="353">
        <v>0</v>
      </c>
      <c r="AZ228" s="353">
        <v>0</v>
      </c>
      <c r="BA228" s="353">
        <v>0</v>
      </c>
      <c r="BB228" s="353">
        <v>0</v>
      </c>
    </row>
    <row r="229" spans="1:54" x14ac:dyDescent="0.25">
      <c r="A229" s="348" t="s">
        <v>651</v>
      </c>
      <c r="B229" s="379">
        <v>4</v>
      </c>
      <c r="C229" s="380">
        <v>45078</v>
      </c>
      <c r="D229" s="351">
        <v>45100</v>
      </c>
      <c r="E229" s="352"/>
      <c r="F229" s="352">
        <v>6</v>
      </c>
      <c r="G229" s="428" t="s">
        <v>305</v>
      </c>
      <c r="H229" s="350" t="s">
        <v>664</v>
      </c>
      <c r="I229" s="350" t="s">
        <v>393</v>
      </c>
      <c r="J229" s="556">
        <v>26424</v>
      </c>
      <c r="K229" s="350" t="s">
        <v>394</v>
      </c>
      <c r="L229" s="353">
        <v>2801.6</v>
      </c>
      <c r="M229" s="375">
        <f t="shared" si="154"/>
        <v>9.4317532838378071</v>
      </c>
      <c r="N229" s="354" t="s">
        <v>395</v>
      </c>
      <c r="O229" s="354">
        <v>0</v>
      </c>
      <c r="P229" s="374">
        <f t="shared" si="145"/>
        <v>0.59427718275133001</v>
      </c>
      <c r="Q229" s="354">
        <f t="shared" si="155"/>
        <v>5.604940416171917E-2</v>
      </c>
      <c r="R229" s="354">
        <f t="shared" si="123"/>
        <v>9.448299357554131E-2</v>
      </c>
      <c r="S229" s="354">
        <f t="shared" si="124"/>
        <v>8.4164185537691297E-2</v>
      </c>
      <c r="T229" s="354">
        <f t="shared" si="125"/>
        <v>0.35916073545299948</v>
      </c>
      <c r="U229" s="374">
        <f t="shared" si="156"/>
        <v>2.3850921897109649</v>
      </c>
      <c r="V229" s="354">
        <f t="shared" si="126"/>
        <v>6.3135098343946414E-2</v>
      </c>
      <c r="W229" s="354">
        <f t="shared" si="127"/>
        <v>2.1536689671680489</v>
      </c>
      <c r="X229" s="354">
        <f t="shared" si="157"/>
        <v>0.16828812419896994</v>
      </c>
      <c r="Y229" s="374">
        <f t="shared" si="148"/>
        <v>0.34965086757111941</v>
      </c>
      <c r="Z229" s="354">
        <f t="shared" si="129"/>
        <v>0.18037090581039977</v>
      </c>
      <c r="AA229" s="354">
        <f t="shared" si="158"/>
        <v>0.1692799617607196</v>
      </c>
      <c r="AB229" s="374">
        <f t="shared" si="149"/>
        <v>1.9102810888252511</v>
      </c>
      <c r="AC229" s="354">
        <f t="shared" si="131"/>
        <v>0.54212359631064799</v>
      </c>
      <c r="AD229" s="354">
        <f t="shared" si="132"/>
        <v>1.1800826458660139</v>
      </c>
      <c r="AE229" s="354">
        <f t="shared" si="133"/>
        <v>0.1880748466485892</v>
      </c>
      <c r="AF229" s="374">
        <f t="shared" si="150"/>
        <v>1.5288919759183357</v>
      </c>
      <c r="AG229" s="354">
        <f t="shared" si="134"/>
        <v>9.8256845338541787E-2</v>
      </c>
      <c r="AH229" s="354">
        <f t="shared" si="135"/>
        <v>0.49436968843116535</v>
      </c>
      <c r="AI229" s="354">
        <f t="shared" si="159"/>
        <v>0</v>
      </c>
      <c r="AJ229" s="354">
        <f t="shared" si="160"/>
        <v>0.93626544214862861</v>
      </c>
      <c r="AK229" s="374">
        <f t="shared" si="151"/>
        <v>1.0098225101893603</v>
      </c>
      <c r="AL229" s="354">
        <f t="shared" si="138"/>
        <v>0.28932085237481814</v>
      </c>
      <c r="AM229" s="354">
        <f t="shared" si="139"/>
        <v>0.68238126996661042</v>
      </c>
      <c r="AN229" s="354">
        <f t="shared" si="140"/>
        <v>3.8120387847931834E-2</v>
      </c>
      <c r="AO229" s="374">
        <f t="shared" si="152"/>
        <v>0.58554071619159764</v>
      </c>
      <c r="AP229" s="354">
        <f t="shared" si="141"/>
        <v>0.13427064515628565</v>
      </c>
      <c r="AQ229" s="354">
        <f t="shared" si="161"/>
        <v>0.45127007103531203</v>
      </c>
      <c r="AR229" s="374">
        <f t="shared" si="162"/>
        <v>1.0681967526798477</v>
      </c>
      <c r="AS229" s="354">
        <f t="shared" si="163"/>
        <v>0.46288591621884861</v>
      </c>
      <c r="AT229" s="354">
        <f t="shared" si="144"/>
        <v>0.60531083646099915</v>
      </c>
      <c r="AU229" s="355" t="s">
        <v>396</v>
      </c>
      <c r="AV229" s="354" t="s">
        <v>345</v>
      </c>
      <c r="AW229" s="353">
        <v>0</v>
      </c>
      <c r="AX229" s="353">
        <v>0</v>
      </c>
      <c r="AY229" s="353">
        <v>0</v>
      </c>
      <c r="AZ229" s="353">
        <v>0</v>
      </c>
      <c r="BA229" s="353">
        <v>0</v>
      </c>
      <c r="BB229" s="353">
        <v>0</v>
      </c>
    </row>
    <row r="230" spans="1:54" x14ac:dyDescent="0.25">
      <c r="A230" s="348" t="s">
        <v>651</v>
      </c>
      <c r="B230" s="379">
        <v>4</v>
      </c>
      <c r="C230" s="380">
        <v>45078</v>
      </c>
      <c r="D230" s="351">
        <v>45100</v>
      </c>
      <c r="E230" s="352"/>
      <c r="F230" s="352">
        <v>6</v>
      </c>
      <c r="G230" s="428" t="s">
        <v>305</v>
      </c>
      <c r="H230" s="350" t="s">
        <v>665</v>
      </c>
      <c r="I230" s="350" t="s">
        <v>393</v>
      </c>
      <c r="J230" s="556">
        <v>26424</v>
      </c>
      <c r="K230" s="350" t="s">
        <v>394</v>
      </c>
      <c r="L230" s="353">
        <v>2801.6</v>
      </c>
      <c r="M230" s="375">
        <f t="shared" si="154"/>
        <v>9.4317532838378071</v>
      </c>
      <c r="N230" s="354" t="s">
        <v>395</v>
      </c>
      <c r="O230" s="354">
        <v>0</v>
      </c>
      <c r="P230" s="374">
        <f t="shared" si="145"/>
        <v>0.59427718275133001</v>
      </c>
      <c r="Q230" s="354">
        <f t="shared" si="155"/>
        <v>5.604940416171917E-2</v>
      </c>
      <c r="R230" s="354">
        <f t="shared" si="123"/>
        <v>9.448299357554131E-2</v>
      </c>
      <c r="S230" s="354">
        <f t="shared" si="124"/>
        <v>8.4164185537691297E-2</v>
      </c>
      <c r="T230" s="354">
        <f t="shared" si="125"/>
        <v>0.35916073545299948</v>
      </c>
      <c r="U230" s="374">
        <f t="shared" si="156"/>
        <v>2.3850921897109649</v>
      </c>
      <c r="V230" s="354">
        <f t="shared" si="126"/>
        <v>6.3135098343946414E-2</v>
      </c>
      <c r="W230" s="354">
        <f t="shared" si="127"/>
        <v>2.1536689671680489</v>
      </c>
      <c r="X230" s="354">
        <f t="shared" si="157"/>
        <v>0.16828812419896994</v>
      </c>
      <c r="Y230" s="374">
        <f t="shared" si="148"/>
        <v>0.34965086757111941</v>
      </c>
      <c r="Z230" s="354">
        <f t="shared" si="129"/>
        <v>0.18037090581039977</v>
      </c>
      <c r="AA230" s="354">
        <f t="shared" si="158"/>
        <v>0.1692799617607196</v>
      </c>
      <c r="AB230" s="374">
        <f t="shared" si="149"/>
        <v>1.9102810888252511</v>
      </c>
      <c r="AC230" s="354">
        <f t="shared" si="131"/>
        <v>0.54212359631064799</v>
      </c>
      <c r="AD230" s="354">
        <f t="shared" si="132"/>
        <v>1.1800826458660139</v>
      </c>
      <c r="AE230" s="354">
        <f t="shared" si="133"/>
        <v>0.1880748466485892</v>
      </c>
      <c r="AF230" s="374">
        <f t="shared" si="150"/>
        <v>1.5288919759183357</v>
      </c>
      <c r="AG230" s="354">
        <f t="shared" si="134"/>
        <v>9.8256845338541787E-2</v>
      </c>
      <c r="AH230" s="354">
        <f t="shared" si="135"/>
        <v>0.49436968843116535</v>
      </c>
      <c r="AI230" s="354">
        <f t="shared" si="159"/>
        <v>0</v>
      </c>
      <c r="AJ230" s="354">
        <f t="shared" si="160"/>
        <v>0.93626544214862861</v>
      </c>
      <c r="AK230" s="374">
        <f t="shared" si="151"/>
        <v>1.0098225101893603</v>
      </c>
      <c r="AL230" s="354">
        <f t="shared" si="138"/>
        <v>0.28932085237481814</v>
      </c>
      <c r="AM230" s="354">
        <f t="shared" si="139"/>
        <v>0.68238126996661042</v>
      </c>
      <c r="AN230" s="354">
        <f t="shared" si="140"/>
        <v>3.8120387847931834E-2</v>
      </c>
      <c r="AO230" s="374">
        <f t="shared" si="152"/>
        <v>0.58554071619159764</v>
      </c>
      <c r="AP230" s="354">
        <f t="shared" si="141"/>
        <v>0.13427064515628565</v>
      </c>
      <c r="AQ230" s="354">
        <f t="shared" si="161"/>
        <v>0.45127007103531203</v>
      </c>
      <c r="AR230" s="374">
        <f t="shared" si="162"/>
        <v>1.0681967526798477</v>
      </c>
      <c r="AS230" s="354">
        <f t="shared" si="163"/>
        <v>0.46288591621884861</v>
      </c>
      <c r="AT230" s="354">
        <f t="shared" si="144"/>
        <v>0.60531083646099915</v>
      </c>
      <c r="AU230" s="355" t="s">
        <v>396</v>
      </c>
      <c r="AV230" s="354" t="s">
        <v>345</v>
      </c>
      <c r="AW230" s="353">
        <v>0</v>
      </c>
      <c r="AX230" s="353">
        <v>0</v>
      </c>
      <c r="AY230" s="353">
        <v>0</v>
      </c>
      <c r="AZ230" s="353">
        <v>0</v>
      </c>
      <c r="BA230" s="353">
        <v>0</v>
      </c>
      <c r="BB230" s="353">
        <v>0</v>
      </c>
    </row>
    <row r="231" spans="1:54" x14ac:dyDescent="0.25">
      <c r="A231" s="348" t="s">
        <v>651</v>
      </c>
      <c r="B231" s="379">
        <v>4</v>
      </c>
      <c r="C231" s="380">
        <v>45078</v>
      </c>
      <c r="D231" s="351">
        <v>45100</v>
      </c>
      <c r="E231" s="352"/>
      <c r="F231" s="352">
        <v>6</v>
      </c>
      <c r="G231" s="428" t="s">
        <v>305</v>
      </c>
      <c r="H231" s="350" t="s">
        <v>666</v>
      </c>
      <c r="I231" s="350" t="s">
        <v>393</v>
      </c>
      <c r="J231" s="556">
        <v>26424</v>
      </c>
      <c r="K231" s="350" t="s">
        <v>394</v>
      </c>
      <c r="L231" s="353">
        <v>2801.6</v>
      </c>
      <c r="M231" s="375">
        <f t="shared" si="154"/>
        <v>9.4317532838378071</v>
      </c>
      <c r="N231" s="354" t="s">
        <v>395</v>
      </c>
      <c r="O231" s="354">
        <v>0</v>
      </c>
      <c r="P231" s="374">
        <f t="shared" si="145"/>
        <v>0.59427718275133001</v>
      </c>
      <c r="Q231" s="354">
        <f t="shared" si="155"/>
        <v>5.604940416171917E-2</v>
      </c>
      <c r="R231" s="354">
        <f t="shared" si="123"/>
        <v>9.448299357554131E-2</v>
      </c>
      <c r="S231" s="354">
        <f t="shared" si="124"/>
        <v>8.4164185537691297E-2</v>
      </c>
      <c r="T231" s="354">
        <f t="shared" si="125"/>
        <v>0.35916073545299948</v>
      </c>
      <c r="U231" s="374">
        <f t="shared" si="156"/>
        <v>2.3850921897109649</v>
      </c>
      <c r="V231" s="354">
        <f t="shared" si="126"/>
        <v>6.3135098343946414E-2</v>
      </c>
      <c r="W231" s="354">
        <f t="shared" si="127"/>
        <v>2.1536689671680489</v>
      </c>
      <c r="X231" s="354">
        <f t="shared" si="157"/>
        <v>0.16828812419896994</v>
      </c>
      <c r="Y231" s="374">
        <f t="shared" si="148"/>
        <v>0.34965086757111941</v>
      </c>
      <c r="Z231" s="354">
        <f t="shared" si="129"/>
        <v>0.18037090581039977</v>
      </c>
      <c r="AA231" s="354">
        <f t="shared" si="158"/>
        <v>0.1692799617607196</v>
      </c>
      <c r="AB231" s="374">
        <f t="shared" si="149"/>
        <v>1.9102810888252511</v>
      </c>
      <c r="AC231" s="354">
        <f t="shared" si="131"/>
        <v>0.54212359631064799</v>
      </c>
      <c r="AD231" s="354">
        <f t="shared" si="132"/>
        <v>1.1800826458660139</v>
      </c>
      <c r="AE231" s="354">
        <f t="shared" si="133"/>
        <v>0.1880748466485892</v>
      </c>
      <c r="AF231" s="374">
        <f t="shared" si="150"/>
        <v>1.5288919759183357</v>
      </c>
      <c r="AG231" s="354">
        <f t="shared" si="134"/>
        <v>9.8256845338541787E-2</v>
      </c>
      <c r="AH231" s="354">
        <f t="shared" si="135"/>
        <v>0.49436968843116535</v>
      </c>
      <c r="AI231" s="354">
        <f t="shared" si="159"/>
        <v>0</v>
      </c>
      <c r="AJ231" s="354">
        <f t="shared" si="160"/>
        <v>0.93626544214862861</v>
      </c>
      <c r="AK231" s="374">
        <f t="shared" si="151"/>
        <v>1.0098225101893603</v>
      </c>
      <c r="AL231" s="354">
        <f t="shared" si="138"/>
        <v>0.28932085237481814</v>
      </c>
      <c r="AM231" s="354">
        <f t="shared" si="139"/>
        <v>0.68238126996661042</v>
      </c>
      <c r="AN231" s="354">
        <f t="shared" si="140"/>
        <v>3.8120387847931834E-2</v>
      </c>
      <c r="AO231" s="374">
        <f t="shared" si="152"/>
        <v>0.58554071619159764</v>
      </c>
      <c r="AP231" s="354">
        <f t="shared" si="141"/>
        <v>0.13427064515628565</v>
      </c>
      <c r="AQ231" s="354">
        <f t="shared" si="161"/>
        <v>0.45127007103531203</v>
      </c>
      <c r="AR231" s="374">
        <f t="shared" si="162"/>
        <v>1.0681967526798477</v>
      </c>
      <c r="AS231" s="354">
        <f t="shared" si="163"/>
        <v>0.46288591621884861</v>
      </c>
      <c r="AT231" s="354">
        <f t="shared" si="144"/>
        <v>0.60531083646099915</v>
      </c>
      <c r="AU231" s="355" t="s">
        <v>396</v>
      </c>
      <c r="AV231" s="354" t="s">
        <v>345</v>
      </c>
      <c r="AW231" s="353">
        <v>0</v>
      </c>
      <c r="AX231" s="353">
        <v>0</v>
      </c>
      <c r="AY231" s="353">
        <v>0</v>
      </c>
      <c r="AZ231" s="353">
        <v>0</v>
      </c>
      <c r="BA231" s="353">
        <v>0</v>
      </c>
      <c r="BB231" s="353">
        <v>0</v>
      </c>
    </row>
    <row r="232" spans="1:54" x14ac:dyDescent="0.25">
      <c r="A232" s="348" t="s">
        <v>651</v>
      </c>
      <c r="B232" s="379">
        <v>4</v>
      </c>
      <c r="C232" s="380">
        <v>45078</v>
      </c>
      <c r="D232" s="351">
        <v>45100</v>
      </c>
      <c r="E232" s="352"/>
      <c r="F232" s="352">
        <v>6</v>
      </c>
      <c r="G232" s="428" t="s">
        <v>304</v>
      </c>
      <c r="H232" s="350" t="s">
        <v>667</v>
      </c>
      <c r="I232" s="350" t="s">
        <v>393</v>
      </c>
      <c r="J232" s="556">
        <f>623095/5</f>
        <v>124619</v>
      </c>
      <c r="K232" s="350" t="s">
        <v>394</v>
      </c>
      <c r="L232" s="353">
        <v>2801.6</v>
      </c>
      <c r="M232" s="375">
        <f>+J232/L232</f>
        <v>44.48136778983438</v>
      </c>
      <c r="N232" s="354" t="s">
        <v>395</v>
      </c>
      <c r="O232" s="354">
        <v>0</v>
      </c>
      <c r="P232" s="374">
        <f t="shared" si="145"/>
        <v>2.8026880198792008</v>
      </c>
      <c r="Q232" s="354">
        <f>P232*$Q$2</f>
        <v>0.26433623589272182</v>
      </c>
      <c r="R232" s="354">
        <f>P232*$R$2</f>
        <v>0.44559401212497668</v>
      </c>
      <c r="S232" s="354">
        <f>P232*$S$2</f>
        <v>0.39692917943996187</v>
      </c>
      <c r="T232" s="354">
        <f>P232*$T$2</f>
        <v>1.6938484594087702</v>
      </c>
      <c r="U232" s="374">
        <f>M232*$U$2</f>
        <v>11.248403102845547</v>
      </c>
      <c r="V232" s="354">
        <f>U232*$V$2</f>
        <v>0.29775328566924986</v>
      </c>
      <c r="W232" s="354">
        <f>U232*$W$2</f>
        <v>10.156981267768508</v>
      </c>
      <c r="X232" s="354">
        <f>U232*$X$2</f>
        <v>0.79366854940778964</v>
      </c>
      <c r="Y232" s="374">
        <f>M232*$Y$2</f>
        <v>1.6489986930761931</v>
      </c>
      <c r="Z232" s="354">
        <f>Y232*$Z$2</f>
        <v>0.85065250950598725</v>
      </c>
      <c r="AA232" s="354">
        <f>Y232*$AA$2</f>
        <v>0.7983461835702057</v>
      </c>
      <c r="AB232" s="374">
        <f>M232*$AB$2</f>
        <v>9.009132569191415</v>
      </c>
      <c r="AC232" s="354">
        <f>AB232*$AC$2</f>
        <v>2.5567249639962402</v>
      </c>
      <c r="AD232" s="354">
        <f>AB232*$AD$2</f>
        <v>5.5654223147584307</v>
      </c>
      <c r="AE232" s="354">
        <f>AB232*$AE$2</f>
        <v>0.88698529043674457</v>
      </c>
      <c r="AF232" s="374">
        <f>M232*$AF$2</f>
        <v>7.2104522081050213</v>
      </c>
      <c r="AG232" s="354">
        <f>AF232*$AG$2</f>
        <v>0.46339198490931505</v>
      </c>
      <c r="AH232" s="354">
        <f>AF232*$AH$2</f>
        <v>2.3315113609825686</v>
      </c>
      <c r="AI232" s="354">
        <f>AF232*$AI$2</f>
        <v>0</v>
      </c>
      <c r="AJ232" s="354">
        <f>AF232*$AJ$2</f>
        <v>4.4155488622131376</v>
      </c>
      <c r="AK232" s="374">
        <f>M232*$AK$2</f>
        <v>4.7624535042873095</v>
      </c>
      <c r="AL232" s="354">
        <f>AK232*$AL$2</f>
        <v>1.3644745421623317</v>
      </c>
      <c r="AM232" s="354">
        <f>AK232*$AM$2</f>
        <v>3.2181982849670376</v>
      </c>
      <c r="AN232" s="354">
        <f>AK232*$AN$2</f>
        <v>0.17978067715794038</v>
      </c>
      <c r="AO232" s="374">
        <f>M232*$AO$2</f>
        <v>2.7614857141644227</v>
      </c>
      <c r="AP232" s="354">
        <f>AO232*$AP$2</f>
        <v>0.63323772058473959</v>
      </c>
      <c r="AQ232" s="354">
        <f>AO232*$AQ$2</f>
        <v>2.128247993579683</v>
      </c>
      <c r="AR232" s="374">
        <f>M232*$AR$2</f>
        <v>5.0377539782852683</v>
      </c>
      <c r="AS232" s="354">
        <f>AR232*$AS$2</f>
        <v>2.1830298211200687</v>
      </c>
      <c r="AT232" s="354">
        <f>AR232*$AT$2</f>
        <v>2.8547241571652</v>
      </c>
      <c r="AU232" s="355" t="s">
        <v>396</v>
      </c>
      <c r="AV232" s="354" t="s">
        <v>345</v>
      </c>
      <c r="AW232" s="353">
        <v>0</v>
      </c>
      <c r="AX232" s="353">
        <v>0</v>
      </c>
      <c r="AY232" s="353">
        <v>0</v>
      </c>
      <c r="AZ232" s="353">
        <v>0</v>
      </c>
      <c r="BA232" s="353">
        <v>0</v>
      </c>
      <c r="BB232" s="353">
        <v>0</v>
      </c>
    </row>
    <row r="233" spans="1:54" x14ac:dyDescent="0.25">
      <c r="A233" s="348" t="s">
        <v>651</v>
      </c>
      <c r="B233" s="379">
        <v>4</v>
      </c>
      <c r="C233" s="380">
        <v>45078</v>
      </c>
      <c r="D233" s="351">
        <v>45100</v>
      </c>
      <c r="E233" s="352"/>
      <c r="F233" s="352">
        <v>6</v>
      </c>
      <c r="G233" s="428" t="s">
        <v>304</v>
      </c>
      <c r="H233" s="350" t="s">
        <v>668</v>
      </c>
      <c r="I233" s="350" t="s">
        <v>393</v>
      </c>
      <c r="J233" s="556">
        <f t="shared" ref="J233:J236" si="165">623095/5</f>
        <v>124619</v>
      </c>
      <c r="K233" s="350" t="s">
        <v>394</v>
      </c>
      <c r="L233" s="353">
        <v>2801.6</v>
      </c>
      <c r="M233" s="375">
        <f>+J233/L233</f>
        <v>44.48136778983438</v>
      </c>
      <c r="N233" s="354" t="s">
        <v>395</v>
      </c>
      <c r="O233" s="354">
        <v>0</v>
      </c>
      <c r="P233" s="374">
        <f t="shared" si="145"/>
        <v>2.8026880198792008</v>
      </c>
      <c r="Q233" s="354">
        <f>P233*$Q$2</f>
        <v>0.26433623589272182</v>
      </c>
      <c r="R233" s="354">
        <f>P233*$R$2</f>
        <v>0.44559401212497668</v>
      </c>
      <c r="S233" s="354">
        <f>P233*$S$2</f>
        <v>0.39692917943996187</v>
      </c>
      <c r="T233" s="354">
        <f>P233*$T$2</f>
        <v>1.6938484594087702</v>
      </c>
      <c r="U233" s="374">
        <f>M233*$U$2</f>
        <v>11.248403102845547</v>
      </c>
      <c r="V233" s="354">
        <f>U233*$V$2</f>
        <v>0.29775328566924986</v>
      </c>
      <c r="W233" s="354">
        <f>U233*$W$2</f>
        <v>10.156981267768508</v>
      </c>
      <c r="X233" s="354">
        <f>U233*$X$2</f>
        <v>0.79366854940778964</v>
      </c>
      <c r="Y233" s="374">
        <f>M233*$Y$2</f>
        <v>1.6489986930761931</v>
      </c>
      <c r="Z233" s="354">
        <f>Y233*$Z$2</f>
        <v>0.85065250950598725</v>
      </c>
      <c r="AA233" s="354">
        <f>Y233*$AA$2</f>
        <v>0.7983461835702057</v>
      </c>
      <c r="AB233" s="374">
        <f>M233*$AB$2</f>
        <v>9.009132569191415</v>
      </c>
      <c r="AC233" s="354">
        <f>AB233*$AC$2</f>
        <v>2.5567249639962402</v>
      </c>
      <c r="AD233" s="354">
        <f>AB233*$AD$2</f>
        <v>5.5654223147584307</v>
      </c>
      <c r="AE233" s="354">
        <f>AB233*$AE$2</f>
        <v>0.88698529043674457</v>
      </c>
      <c r="AF233" s="374">
        <f>M233*$AF$2</f>
        <v>7.2104522081050213</v>
      </c>
      <c r="AG233" s="354">
        <f>AF233*$AG$2</f>
        <v>0.46339198490931505</v>
      </c>
      <c r="AH233" s="354">
        <f>AF233*$AH$2</f>
        <v>2.3315113609825686</v>
      </c>
      <c r="AI233" s="354">
        <f>AF233*$AI$2</f>
        <v>0</v>
      </c>
      <c r="AJ233" s="354">
        <f>AF233*$AJ$2</f>
        <v>4.4155488622131376</v>
      </c>
      <c r="AK233" s="374">
        <f>M233*$AK$2</f>
        <v>4.7624535042873095</v>
      </c>
      <c r="AL233" s="354">
        <f>AK233*$AL$2</f>
        <v>1.3644745421623317</v>
      </c>
      <c r="AM233" s="354">
        <f>AK233*$AM$2</f>
        <v>3.2181982849670376</v>
      </c>
      <c r="AN233" s="354">
        <f>AK233*$AN$2</f>
        <v>0.17978067715794038</v>
      </c>
      <c r="AO233" s="374">
        <f>M233*$AO$2</f>
        <v>2.7614857141644227</v>
      </c>
      <c r="AP233" s="354">
        <f>AO233*$AP$2</f>
        <v>0.63323772058473959</v>
      </c>
      <c r="AQ233" s="354">
        <f>AO233*$AQ$2</f>
        <v>2.128247993579683</v>
      </c>
      <c r="AR233" s="374">
        <f>M233*$AR$2</f>
        <v>5.0377539782852683</v>
      </c>
      <c r="AS233" s="354">
        <f>AR233*$AS$2</f>
        <v>2.1830298211200687</v>
      </c>
      <c r="AT233" s="354">
        <f>AR233*$AT$2</f>
        <v>2.8547241571652</v>
      </c>
      <c r="AU233" s="355" t="s">
        <v>396</v>
      </c>
      <c r="AV233" s="354" t="s">
        <v>345</v>
      </c>
      <c r="AW233" s="353">
        <v>0</v>
      </c>
      <c r="AX233" s="353">
        <v>0</v>
      </c>
      <c r="AY233" s="353">
        <v>0</v>
      </c>
      <c r="AZ233" s="353">
        <v>0</v>
      </c>
      <c r="BA233" s="353">
        <v>0</v>
      </c>
      <c r="BB233" s="353">
        <v>0</v>
      </c>
    </row>
    <row r="234" spans="1:54" x14ac:dyDescent="0.25">
      <c r="A234" s="348" t="s">
        <v>651</v>
      </c>
      <c r="B234" s="379">
        <v>4</v>
      </c>
      <c r="C234" s="380">
        <v>45078</v>
      </c>
      <c r="D234" s="351">
        <v>45100</v>
      </c>
      <c r="E234" s="352"/>
      <c r="F234" s="352">
        <v>6</v>
      </c>
      <c r="G234" s="428" t="s">
        <v>304</v>
      </c>
      <c r="H234" s="350" t="s">
        <v>669</v>
      </c>
      <c r="I234" s="350" t="s">
        <v>393</v>
      </c>
      <c r="J234" s="556">
        <f t="shared" si="165"/>
        <v>124619</v>
      </c>
      <c r="K234" s="350" t="s">
        <v>394</v>
      </c>
      <c r="L234" s="353">
        <v>2801.6</v>
      </c>
      <c r="M234" s="375">
        <f>+J234/L234</f>
        <v>44.48136778983438</v>
      </c>
      <c r="N234" s="354" t="s">
        <v>395</v>
      </c>
      <c r="O234" s="354">
        <v>0</v>
      </c>
      <c r="P234" s="374">
        <f t="shared" si="145"/>
        <v>2.8026880198792008</v>
      </c>
      <c r="Q234" s="354">
        <f>P234*$Q$2</f>
        <v>0.26433623589272182</v>
      </c>
      <c r="R234" s="354">
        <f>P234*$R$2</f>
        <v>0.44559401212497668</v>
      </c>
      <c r="S234" s="354">
        <f>P234*$S$2</f>
        <v>0.39692917943996187</v>
      </c>
      <c r="T234" s="354">
        <f>P234*$T$2</f>
        <v>1.6938484594087702</v>
      </c>
      <c r="U234" s="374">
        <f>M234*$U$2</f>
        <v>11.248403102845547</v>
      </c>
      <c r="V234" s="354">
        <f>U234*$V$2</f>
        <v>0.29775328566924986</v>
      </c>
      <c r="W234" s="354">
        <f>U234*$W$2</f>
        <v>10.156981267768508</v>
      </c>
      <c r="X234" s="354">
        <f>U234*$X$2</f>
        <v>0.79366854940778964</v>
      </c>
      <c r="Y234" s="374">
        <f>M234*$Y$2</f>
        <v>1.6489986930761931</v>
      </c>
      <c r="Z234" s="354">
        <f>Y234*$Z$2</f>
        <v>0.85065250950598725</v>
      </c>
      <c r="AA234" s="354">
        <f>Y234*$AA$2</f>
        <v>0.7983461835702057</v>
      </c>
      <c r="AB234" s="374">
        <f>M234*$AB$2</f>
        <v>9.009132569191415</v>
      </c>
      <c r="AC234" s="354">
        <f>AB234*$AC$2</f>
        <v>2.5567249639962402</v>
      </c>
      <c r="AD234" s="354">
        <f>AB234*$AD$2</f>
        <v>5.5654223147584307</v>
      </c>
      <c r="AE234" s="354">
        <f>AB234*$AE$2</f>
        <v>0.88698529043674457</v>
      </c>
      <c r="AF234" s="374">
        <f>M234*$AF$2</f>
        <v>7.2104522081050213</v>
      </c>
      <c r="AG234" s="354">
        <f>AF234*$AG$2</f>
        <v>0.46339198490931505</v>
      </c>
      <c r="AH234" s="354">
        <f>AF234*$AH$2</f>
        <v>2.3315113609825686</v>
      </c>
      <c r="AI234" s="354">
        <f>AF234*$AI$2</f>
        <v>0</v>
      </c>
      <c r="AJ234" s="354">
        <f>AF234*$AJ$2</f>
        <v>4.4155488622131376</v>
      </c>
      <c r="AK234" s="374">
        <f>M234*$AK$2</f>
        <v>4.7624535042873095</v>
      </c>
      <c r="AL234" s="354">
        <f>AK234*$AL$2</f>
        <v>1.3644745421623317</v>
      </c>
      <c r="AM234" s="354">
        <f>AK234*$AM$2</f>
        <v>3.2181982849670376</v>
      </c>
      <c r="AN234" s="354">
        <f>AK234*$AN$2</f>
        <v>0.17978067715794038</v>
      </c>
      <c r="AO234" s="374">
        <f>M234*$AO$2</f>
        <v>2.7614857141644227</v>
      </c>
      <c r="AP234" s="354">
        <f>AO234*$AP$2</f>
        <v>0.63323772058473959</v>
      </c>
      <c r="AQ234" s="354">
        <f>AO234*$AQ$2</f>
        <v>2.128247993579683</v>
      </c>
      <c r="AR234" s="374">
        <f>M234*$AR$2</f>
        <v>5.0377539782852683</v>
      </c>
      <c r="AS234" s="354">
        <f>AR234*$AS$2</f>
        <v>2.1830298211200687</v>
      </c>
      <c r="AT234" s="354">
        <f>AR234*$AT$2</f>
        <v>2.8547241571652</v>
      </c>
      <c r="AU234" s="355" t="s">
        <v>396</v>
      </c>
      <c r="AV234" s="354" t="s">
        <v>345</v>
      </c>
      <c r="AW234" s="353">
        <v>0</v>
      </c>
      <c r="AX234" s="353">
        <v>0</v>
      </c>
      <c r="AY234" s="353">
        <v>0</v>
      </c>
      <c r="AZ234" s="353">
        <v>0</v>
      </c>
      <c r="BA234" s="353">
        <v>0</v>
      </c>
      <c r="BB234" s="353">
        <v>0</v>
      </c>
    </row>
    <row r="235" spans="1:54" x14ac:dyDescent="0.25">
      <c r="A235" s="348" t="s">
        <v>651</v>
      </c>
      <c r="B235" s="379">
        <v>4</v>
      </c>
      <c r="C235" s="380">
        <v>45078</v>
      </c>
      <c r="D235" s="351">
        <v>45100</v>
      </c>
      <c r="E235" s="352"/>
      <c r="F235" s="352">
        <v>6</v>
      </c>
      <c r="G235" s="428" t="s">
        <v>304</v>
      </c>
      <c r="H235" s="350" t="s">
        <v>670</v>
      </c>
      <c r="I235" s="350" t="s">
        <v>393</v>
      </c>
      <c r="J235" s="556">
        <f t="shared" si="165"/>
        <v>124619</v>
      </c>
      <c r="K235" s="350" t="s">
        <v>394</v>
      </c>
      <c r="L235" s="353">
        <v>2801.6</v>
      </c>
      <c r="M235" s="375">
        <f>+J235/L235</f>
        <v>44.48136778983438</v>
      </c>
      <c r="N235" s="354" t="s">
        <v>395</v>
      </c>
      <c r="O235" s="354">
        <v>0</v>
      </c>
      <c r="P235" s="374">
        <f t="shared" si="145"/>
        <v>2.8026880198792008</v>
      </c>
      <c r="Q235" s="354">
        <f>P235*$Q$2</f>
        <v>0.26433623589272182</v>
      </c>
      <c r="R235" s="354">
        <f>P235*$R$2</f>
        <v>0.44559401212497668</v>
      </c>
      <c r="S235" s="354">
        <f>P235*$S$2</f>
        <v>0.39692917943996187</v>
      </c>
      <c r="T235" s="354">
        <f>P235*$T$2</f>
        <v>1.6938484594087702</v>
      </c>
      <c r="U235" s="374">
        <f>M235*$U$2</f>
        <v>11.248403102845547</v>
      </c>
      <c r="V235" s="354">
        <f>U235*$V$2</f>
        <v>0.29775328566924986</v>
      </c>
      <c r="W235" s="354">
        <f>U235*$W$2</f>
        <v>10.156981267768508</v>
      </c>
      <c r="X235" s="354">
        <f>U235*$X$2</f>
        <v>0.79366854940778964</v>
      </c>
      <c r="Y235" s="374">
        <f>M235*$Y$2</f>
        <v>1.6489986930761931</v>
      </c>
      <c r="Z235" s="354">
        <f>Y235*$Z$2</f>
        <v>0.85065250950598725</v>
      </c>
      <c r="AA235" s="354">
        <f>Y235*$AA$2</f>
        <v>0.7983461835702057</v>
      </c>
      <c r="AB235" s="374">
        <f>M235*$AB$2</f>
        <v>9.009132569191415</v>
      </c>
      <c r="AC235" s="354">
        <f>AB235*$AC$2</f>
        <v>2.5567249639962402</v>
      </c>
      <c r="AD235" s="354">
        <f>AB235*$AD$2</f>
        <v>5.5654223147584307</v>
      </c>
      <c r="AE235" s="354">
        <f>AB235*$AE$2</f>
        <v>0.88698529043674457</v>
      </c>
      <c r="AF235" s="374">
        <f>M235*$AF$2</f>
        <v>7.2104522081050213</v>
      </c>
      <c r="AG235" s="354">
        <f>AF235*$AG$2</f>
        <v>0.46339198490931505</v>
      </c>
      <c r="AH235" s="354">
        <f>AF235*$AH$2</f>
        <v>2.3315113609825686</v>
      </c>
      <c r="AI235" s="354">
        <f>AF235*$AI$2</f>
        <v>0</v>
      </c>
      <c r="AJ235" s="354">
        <f>AF235*$AJ$2</f>
        <v>4.4155488622131376</v>
      </c>
      <c r="AK235" s="374">
        <f>M235*$AK$2</f>
        <v>4.7624535042873095</v>
      </c>
      <c r="AL235" s="354">
        <f>AK235*$AL$2</f>
        <v>1.3644745421623317</v>
      </c>
      <c r="AM235" s="354">
        <f>AK235*$AM$2</f>
        <v>3.2181982849670376</v>
      </c>
      <c r="AN235" s="354">
        <f>AK235*$AN$2</f>
        <v>0.17978067715794038</v>
      </c>
      <c r="AO235" s="374">
        <f>M235*$AO$2</f>
        <v>2.7614857141644227</v>
      </c>
      <c r="AP235" s="354">
        <f>AO235*$AP$2</f>
        <v>0.63323772058473959</v>
      </c>
      <c r="AQ235" s="354">
        <f>AO235*$AQ$2</f>
        <v>2.128247993579683</v>
      </c>
      <c r="AR235" s="374">
        <f>M235*$AR$2</f>
        <v>5.0377539782852683</v>
      </c>
      <c r="AS235" s="354">
        <f>AR235*$AS$2</f>
        <v>2.1830298211200687</v>
      </c>
      <c r="AT235" s="354">
        <f>AR235*$AT$2</f>
        <v>2.8547241571652</v>
      </c>
      <c r="AU235" s="355" t="s">
        <v>396</v>
      </c>
      <c r="AV235" s="354" t="s">
        <v>345</v>
      </c>
      <c r="AW235" s="353">
        <v>0</v>
      </c>
      <c r="AX235" s="353">
        <v>0</v>
      </c>
      <c r="AY235" s="353">
        <v>0</v>
      </c>
      <c r="AZ235" s="353">
        <v>0</v>
      </c>
      <c r="BA235" s="353">
        <v>0</v>
      </c>
      <c r="BB235" s="353">
        <v>0</v>
      </c>
    </row>
    <row r="236" spans="1:54" x14ac:dyDescent="0.25">
      <c r="A236" s="348" t="s">
        <v>651</v>
      </c>
      <c r="B236" s="379">
        <v>4</v>
      </c>
      <c r="C236" s="380">
        <v>45078</v>
      </c>
      <c r="D236" s="351">
        <v>45100</v>
      </c>
      <c r="E236" s="352"/>
      <c r="F236" s="352">
        <v>6</v>
      </c>
      <c r="G236" s="428" t="s">
        <v>304</v>
      </c>
      <c r="H236" s="350" t="s">
        <v>671</v>
      </c>
      <c r="I236" s="350" t="s">
        <v>393</v>
      </c>
      <c r="J236" s="556">
        <f t="shared" si="165"/>
        <v>124619</v>
      </c>
      <c r="K236" s="350" t="s">
        <v>394</v>
      </c>
      <c r="L236" s="353">
        <v>2801.6</v>
      </c>
      <c r="M236" s="375">
        <f>+J236/L236</f>
        <v>44.48136778983438</v>
      </c>
      <c r="N236" s="354" t="s">
        <v>395</v>
      </c>
      <c r="O236" s="354">
        <v>0</v>
      </c>
      <c r="P236" s="374">
        <f t="shared" si="145"/>
        <v>2.8026880198792008</v>
      </c>
      <c r="Q236" s="354">
        <f>P236*$Q$2</f>
        <v>0.26433623589272182</v>
      </c>
      <c r="R236" s="354">
        <f>P236*$R$2</f>
        <v>0.44559401212497668</v>
      </c>
      <c r="S236" s="354">
        <f>P236*$S$2</f>
        <v>0.39692917943996187</v>
      </c>
      <c r="T236" s="354">
        <f>P236*$T$2</f>
        <v>1.6938484594087702</v>
      </c>
      <c r="U236" s="374">
        <f>M236*$U$2</f>
        <v>11.248403102845547</v>
      </c>
      <c r="V236" s="354">
        <f>U236*$V$2</f>
        <v>0.29775328566924986</v>
      </c>
      <c r="W236" s="354">
        <f>U236*$W$2</f>
        <v>10.156981267768508</v>
      </c>
      <c r="X236" s="354">
        <f>U236*$X$2</f>
        <v>0.79366854940778964</v>
      </c>
      <c r="Y236" s="374">
        <f>M236*$Y$2</f>
        <v>1.6489986930761931</v>
      </c>
      <c r="Z236" s="354">
        <f>Y236*$Z$2</f>
        <v>0.85065250950598725</v>
      </c>
      <c r="AA236" s="354">
        <f>Y236*$AA$2</f>
        <v>0.7983461835702057</v>
      </c>
      <c r="AB236" s="374">
        <f>M236*$AB$2</f>
        <v>9.009132569191415</v>
      </c>
      <c r="AC236" s="354">
        <f>AB236*$AC$2</f>
        <v>2.5567249639962402</v>
      </c>
      <c r="AD236" s="354">
        <f>AB236*$AD$2</f>
        <v>5.5654223147584307</v>
      </c>
      <c r="AE236" s="354">
        <f>AB236*$AE$2</f>
        <v>0.88698529043674457</v>
      </c>
      <c r="AF236" s="374">
        <f>M236*$AF$2</f>
        <v>7.2104522081050213</v>
      </c>
      <c r="AG236" s="354">
        <f>AF236*$AG$2</f>
        <v>0.46339198490931505</v>
      </c>
      <c r="AH236" s="354">
        <f>AF236*$AH$2</f>
        <v>2.3315113609825686</v>
      </c>
      <c r="AI236" s="354">
        <f>AF236*$AI$2</f>
        <v>0</v>
      </c>
      <c r="AJ236" s="354">
        <f>AF236*$AJ$2</f>
        <v>4.4155488622131376</v>
      </c>
      <c r="AK236" s="374">
        <f>M236*$AK$2</f>
        <v>4.7624535042873095</v>
      </c>
      <c r="AL236" s="354">
        <f>AK236*$AL$2</f>
        <v>1.3644745421623317</v>
      </c>
      <c r="AM236" s="354">
        <f>AK236*$AM$2</f>
        <v>3.2181982849670376</v>
      </c>
      <c r="AN236" s="354">
        <f>AK236*$AN$2</f>
        <v>0.17978067715794038</v>
      </c>
      <c r="AO236" s="374">
        <f>M236*$AO$2</f>
        <v>2.7614857141644227</v>
      </c>
      <c r="AP236" s="354">
        <f>AO236*$AP$2</f>
        <v>0.63323772058473959</v>
      </c>
      <c r="AQ236" s="354">
        <f>AO236*$AQ$2</f>
        <v>2.128247993579683</v>
      </c>
      <c r="AR236" s="374">
        <f>M236*$AR$2</f>
        <v>5.0377539782852683</v>
      </c>
      <c r="AS236" s="354">
        <f>AR236*$AS$2</f>
        <v>2.1830298211200687</v>
      </c>
      <c r="AT236" s="354">
        <f>AR236*$AT$2</f>
        <v>2.8547241571652</v>
      </c>
      <c r="AU236" s="355" t="s">
        <v>396</v>
      </c>
      <c r="AV236" s="354" t="s">
        <v>345</v>
      </c>
      <c r="AW236" s="353">
        <v>0</v>
      </c>
      <c r="AX236" s="353">
        <v>0</v>
      </c>
      <c r="AY236" s="353">
        <v>0</v>
      </c>
      <c r="AZ236" s="353">
        <v>0</v>
      </c>
      <c r="BA236" s="353">
        <v>0</v>
      </c>
      <c r="BB236" s="353">
        <v>0</v>
      </c>
    </row>
    <row r="237" spans="1:54" ht="14.25" customHeight="1" x14ac:dyDescent="0.25">
      <c r="A237" s="348" t="s">
        <v>651</v>
      </c>
      <c r="B237" s="379">
        <v>4</v>
      </c>
      <c r="C237" s="380">
        <v>45078</v>
      </c>
      <c r="D237" s="351">
        <v>45100</v>
      </c>
      <c r="E237" s="352"/>
      <c r="F237" s="352">
        <v>6</v>
      </c>
      <c r="G237" s="428" t="s">
        <v>303</v>
      </c>
      <c r="H237" s="350" t="s">
        <v>672</v>
      </c>
      <c r="I237" s="350" t="s">
        <v>393</v>
      </c>
      <c r="J237" s="556">
        <f>354085/5</f>
        <v>70817</v>
      </c>
      <c r="K237" s="350" t="s">
        <v>394</v>
      </c>
      <c r="L237" s="353">
        <v>2801.6</v>
      </c>
      <c r="M237" s="375">
        <f t="shared" si="154"/>
        <v>25.277341519131927</v>
      </c>
      <c r="N237" s="354" t="s">
        <v>395</v>
      </c>
      <c r="O237" s="354">
        <v>0</v>
      </c>
      <c r="P237" s="374">
        <f t="shared" si="145"/>
        <v>1.592678143010178</v>
      </c>
      <c r="Q237" s="354">
        <f t="shared" si="155"/>
        <v>0.1502138455389217</v>
      </c>
      <c r="R237" s="354">
        <f t="shared" si="123"/>
        <v>0.25321685422491336</v>
      </c>
      <c r="S237" s="354">
        <f t="shared" si="124"/>
        <v>0.22556218313740103</v>
      </c>
      <c r="T237" s="354">
        <f t="shared" si="125"/>
        <v>0.96256001372142996</v>
      </c>
      <c r="U237" s="374">
        <f t="shared" si="156"/>
        <v>6.392108446819611</v>
      </c>
      <c r="V237" s="354">
        <f t="shared" si="126"/>
        <v>0.16920368829182764</v>
      </c>
      <c r="W237" s="354">
        <f t="shared" si="127"/>
        <v>5.7718882549174877</v>
      </c>
      <c r="X237" s="354">
        <f t="shared" ref="X237:X285" si="166">U237*$X$2</f>
        <v>0.45101650361029572</v>
      </c>
      <c r="Y237" s="374">
        <f t="shared" si="148"/>
        <v>0.93707332306932956</v>
      </c>
      <c r="Z237" s="354">
        <f t="shared" si="129"/>
        <v>0.48339866926941727</v>
      </c>
      <c r="AA237" s="354">
        <f t="shared" ref="AA237:AA285" si="167">Y237*$AA$2</f>
        <v>0.45367465379991223</v>
      </c>
      <c r="AB237" s="374">
        <f t="shared" si="149"/>
        <v>5.1196024775710649</v>
      </c>
      <c r="AC237" s="354">
        <f t="shared" si="131"/>
        <v>1.4529051892193146</v>
      </c>
      <c r="AD237" s="354">
        <f t="shared" si="132"/>
        <v>3.1626518593813771</v>
      </c>
      <c r="AE237" s="354">
        <f t="shared" si="133"/>
        <v>0.5040454289703733</v>
      </c>
      <c r="AF237" s="374">
        <f t="shared" si="150"/>
        <v>4.0974698402440506</v>
      </c>
      <c r="AG237" s="354">
        <f t="shared" si="134"/>
        <v>0.26333087406673916</v>
      </c>
      <c r="AH237" s="354">
        <f t="shared" si="135"/>
        <v>1.3249234871945899</v>
      </c>
      <c r="AI237" s="354">
        <f t="shared" si="159"/>
        <v>0</v>
      </c>
      <c r="AJ237" s="354">
        <f t="shared" si="160"/>
        <v>2.5092154789827221</v>
      </c>
      <c r="AK237" s="374">
        <f t="shared" si="151"/>
        <v>2.7063503142627887</v>
      </c>
      <c r="AL237" s="354">
        <f t="shared" si="138"/>
        <v>0.77538732979970848</v>
      </c>
      <c r="AM237" s="354">
        <f t="shared" si="139"/>
        <v>1.8287993640336606</v>
      </c>
      <c r="AN237" s="354">
        <f t="shared" si="140"/>
        <v>0.1021636204294198</v>
      </c>
      <c r="AO237" s="374">
        <f t="shared" si="152"/>
        <v>1.569264187804283</v>
      </c>
      <c r="AP237" s="354">
        <f t="shared" si="141"/>
        <v>0.35984878436393736</v>
      </c>
      <c r="AQ237" s="354">
        <f t="shared" si="161"/>
        <v>1.2094154034403457</v>
      </c>
      <c r="AR237" s="374">
        <f t="shared" si="162"/>
        <v>2.8627947863506198</v>
      </c>
      <c r="AS237" s="354">
        <f t="shared" si="163"/>
        <v>1.2405461674564866</v>
      </c>
      <c r="AT237" s="354">
        <f t="shared" si="144"/>
        <v>1.6222486188941332</v>
      </c>
      <c r="AU237" s="355" t="s">
        <v>396</v>
      </c>
      <c r="AV237" s="354" t="s">
        <v>345</v>
      </c>
      <c r="AW237" s="353">
        <v>0</v>
      </c>
      <c r="AX237" s="353">
        <v>0</v>
      </c>
      <c r="AY237" s="353">
        <v>0</v>
      </c>
      <c r="AZ237" s="353">
        <v>0</v>
      </c>
      <c r="BA237" s="353">
        <v>0</v>
      </c>
      <c r="BB237" s="353">
        <v>0</v>
      </c>
    </row>
    <row r="238" spans="1:54" ht="14.25" customHeight="1" x14ac:dyDescent="0.25">
      <c r="A238" s="348" t="s">
        <v>651</v>
      </c>
      <c r="B238" s="379">
        <v>4</v>
      </c>
      <c r="C238" s="380">
        <v>45078</v>
      </c>
      <c r="D238" s="351">
        <v>45100</v>
      </c>
      <c r="E238" s="352"/>
      <c r="F238" s="352">
        <v>6</v>
      </c>
      <c r="G238" s="428" t="s">
        <v>303</v>
      </c>
      <c r="H238" s="350" t="s">
        <v>673</v>
      </c>
      <c r="I238" s="350" t="s">
        <v>393</v>
      </c>
      <c r="J238" s="556">
        <f t="shared" ref="J238:J241" si="168">354085/5</f>
        <v>70817</v>
      </c>
      <c r="K238" s="350" t="s">
        <v>394</v>
      </c>
      <c r="L238" s="353">
        <v>2801.6</v>
      </c>
      <c r="M238" s="375">
        <f t="shared" si="154"/>
        <v>25.277341519131927</v>
      </c>
      <c r="N238" s="354" t="s">
        <v>395</v>
      </c>
      <c r="O238" s="354">
        <v>0</v>
      </c>
      <c r="P238" s="374">
        <f t="shared" si="145"/>
        <v>1.592678143010178</v>
      </c>
      <c r="Q238" s="354">
        <f t="shared" si="155"/>
        <v>0.1502138455389217</v>
      </c>
      <c r="R238" s="354">
        <f t="shared" si="123"/>
        <v>0.25321685422491336</v>
      </c>
      <c r="S238" s="354">
        <f t="shared" si="124"/>
        <v>0.22556218313740103</v>
      </c>
      <c r="T238" s="354">
        <f t="shared" si="125"/>
        <v>0.96256001372142996</v>
      </c>
      <c r="U238" s="374">
        <f t="shared" si="156"/>
        <v>6.392108446819611</v>
      </c>
      <c r="V238" s="354">
        <f t="shared" si="126"/>
        <v>0.16920368829182764</v>
      </c>
      <c r="W238" s="354">
        <f t="shared" si="127"/>
        <v>5.7718882549174877</v>
      </c>
      <c r="X238" s="354">
        <f t="shared" si="166"/>
        <v>0.45101650361029572</v>
      </c>
      <c r="Y238" s="374">
        <f t="shared" si="148"/>
        <v>0.93707332306932956</v>
      </c>
      <c r="Z238" s="354">
        <f t="shared" si="129"/>
        <v>0.48339866926941727</v>
      </c>
      <c r="AA238" s="354">
        <f t="shared" si="167"/>
        <v>0.45367465379991223</v>
      </c>
      <c r="AB238" s="374">
        <f t="shared" si="149"/>
        <v>5.1196024775710649</v>
      </c>
      <c r="AC238" s="354">
        <f t="shared" si="131"/>
        <v>1.4529051892193146</v>
      </c>
      <c r="AD238" s="354">
        <f t="shared" si="132"/>
        <v>3.1626518593813771</v>
      </c>
      <c r="AE238" s="354">
        <f t="shared" si="133"/>
        <v>0.5040454289703733</v>
      </c>
      <c r="AF238" s="374">
        <f t="shared" si="150"/>
        <v>4.0974698402440506</v>
      </c>
      <c r="AG238" s="354">
        <f t="shared" si="134"/>
        <v>0.26333087406673916</v>
      </c>
      <c r="AH238" s="354">
        <f t="shared" si="135"/>
        <v>1.3249234871945899</v>
      </c>
      <c r="AI238" s="354">
        <f t="shared" si="159"/>
        <v>0</v>
      </c>
      <c r="AJ238" s="354">
        <f t="shared" si="160"/>
        <v>2.5092154789827221</v>
      </c>
      <c r="AK238" s="374">
        <f t="shared" si="151"/>
        <v>2.7063503142627887</v>
      </c>
      <c r="AL238" s="354">
        <f t="shared" si="138"/>
        <v>0.77538732979970848</v>
      </c>
      <c r="AM238" s="354">
        <f t="shared" si="139"/>
        <v>1.8287993640336606</v>
      </c>
      <c r="AN238" s="354">
        <f t="shared" si="140"/>
        <v>0.1021636204294198</v>
      </c>
      <c r="AO238" s="374">
        <f t="shared" si="152"/>
        <v>1.569264187804283</v>
      </c>
      <c r="AP238" s="354">
        <f t="shared" si="141"/>
        <v>0.35984878436393736</v>
      </c>
      <c r="AQ238" s="354">
        <f t="shared" si="161"/>
        <v>1.2094154034403457</v>
      </c>
      <c r="AR238" s="374">
        <f t="shared" si="162"/>
        <v>2.8627947863506198</v>
      </c>
      <c r="AS238" s="354">
        <f t="shared" si="163"/>
        <v>1.2405461674564866</v>
      </c>
      <c r="AT238" s="354">
        <f t="shared" si="144"/>
        <v>1.6222486188941332</v>
      </c>
      <c r="AU238" s="355" t="s">
        <v>396</v>
      </c>
      <c r="AV238" s="354" t="s">
        <v>345</v>
      </c>
      <c r="AW238" s="353">
        <v>0</v>
      </c>
      <c r="AX238" s="353">
        <v>0</v>
      </c>
      <c r="AY238" s="353">
        <v>0</v>
      </c>
      <c r="AZ238" s="353">
        <v>0</v>
      </c>
      <c r="BA238" s="353">
        <v>0</v>
      </c>
      <c r="BB238" s="353">
        <v>0</v>
      </c>
    </row>
    <row r="239" spans="1:54" ht="14.25" customHeight="1" x14ac:dyDescent="0.25">
      <c r="A239" s="348" t="s">
        <v>651</v>
      </c>
      <c r="B239" s="379">
        <v>4</v>
      </c>
      <c r="C239" s="380">
        <v>45078</v>
      </c>
      <c r="D239" s="351">
        <v>45100</v>
      </c>
      <c r="E239" s="352"/>
      <c r="F239" s="352">
        <v>6</v>
      </c>
      <c r="G239" s="428" t="s">
        <v>303</v>
      </c>
      <c r="H239" s="350" t="s">
        <v>674</v>
      </c>
      <c r="I239" s="350" t="s">
        <v>393</v>
      </c>
      <c r="J239" s="556">
        <f t="shared" si="168"/>
        <v>70817</v>
      </c>
      <c r="K239" s="350" t="s">
        <v>394</v>
      </c>
      <c r="L239" s="353">
        <v>2801.6</v>
      </c>
      <c r="M239" s="375">
        <f t="shared" si="154"/>
        <v>25.277341519131927</v>
      </c>
      <c r="N239" s="354" t="s">
        <v>395</v>
      </c>
      <c r="O239" s="354">
        <v>0</v>
      </c>
      <c r="P239" s="374">
        <f t="shared" si="145"/>
        <v>1.592678143010178</v>
      </c>
      <c r="Q239" s="354">
        <f t="shared" si="155"/>
        <v>0.1502138455389217</v>
      </c>
      <c r="R239" s="354">
        <f t="shared" si="123"/>
        <v>0.25321685422491336</v>
      </c>
      <c r="S239" s="354">
        <f t="shared" si="124"/>
        <v>0.22556218313740103</v>
      </c>
      <c r="T239" s="354">
        <f t="shared" si="125"/>
        <v>0.96256001372142996</v>
      </c>
      <c r="U239" s="374">
        <f t="shared" si="156"/>
        <v>6.392108446819611</v>
      </c>
      <c r="V239" s="354">
        <f t="shared" si="126"/>
        <v>0.16920368829182764</v>
      </c>
      <c r="W239" s="354">
        <f t="shared" si="127"/>
        <v>5.7718882549174877</v>
      </c>
      <c r="X239" s="354">
        <f t="shared" si="166"/>
        <v>0.45101650361029572</v>
      </c>
      <c r="Y239" s="374">
        <f t="shared" si="148"/>
        <v>0.93707332306932956</v>
      </c>
      <c r="Z239" s="354">
        <f t="shared" si="129"/>
        <v>0.48339866926941727</v>
      </c>
      <c r="AA239" s="354">
        <f t="shared" si="167"/>
        <v>0.45367465379991223</v>
      </c>
      <c r="AB239" s="374">
        <f t="shared" si="149"/>
        <v>5.1196024775710649</v>
      </c>
      <c r="AC239" s="354">
        <f t="shared" si="131"/>
        <v>1.4529051892193146</v>
      </c>
      <c r="AD239" s="354">
        <f t="shared" si="132"/>
        <v>3.1626518593813771</v>
      </c>
      <c r="AE239" s="354">
        <f t="shared" si="133"/>
        <v>0.5040454289703733</v>
      </c>
      <c r="AF239" s="374">
        <f t="shared" si="150"/>
        <v>4.0974698402440506</v>
      </c>
      <c r="AG239" s="354">
        <f t="shared" si="134"/>
        <v>0.26333087406673916</v>
      </c>
      <c r="AH239" s="354">
        <f t="shared" si="135"/>
        <v>1.3249234871945899</v>
      </c>
      <c r="AI239" s="354">
        <f t="shared" si="159"/>
        <v>0</v>
      </c>
      <c r="AJ239" s="354">
        <f t="shared" si="160"/>
        <v>2.5092154789827221</v>
      </c>
      <c r="AK239" s="374">
        <f t="shared" si="151"/>
        <v>2.7063503142627887</v>
      </c>
      <c r="AL239" s="354">
        <f t="shared" si="138"/>
        <v>0.77538732979970848</v>
      </c>
      <c r="AM239" s="354">
        <f t="shared" si="139"/>
        <v>1.8287993640336606</v>
      </c>
      <c r="AN239" s="354">
        <f t="shared" si="140"/>
        <v>0.1021636204294198</v>
      </c>
      <c r="AO239" s="374">
        <f t="shared" si="152"/>
        <v>1.569264187804283</v>
      </c>
      <c r="AP239" s="354">
        <f t="shared" si="141"/>
        <v>0.35984878436393736</v>
      </c>
      <c r="AQ239" s="354">
        <f t="shared" si="161"/>
        <v>1.2094154034403457</v>
      </c>
      <c r="AR239" s="374">
        <f t="shared" si="162"/>
        <v>2.8627947863506198</v>
      </c>
      <c r="AS239" s="354">
        <f t="shared" si="163"/>
        <v>1.2405461674564866</v>
      </c>
      <c r="AT239" s="354">
        <f t="shared" si="144"/>
        <v>1.6222486188941332</v>
      </c>
      <c r="AU239" s="355" t="s">
        <v>396</v>
      </c>
      <c r="AV239" s="354" t="s">
        <v>345</v>
      </c>
      <c r="AW239" s="353">
        <v>0</v>
      </c>
      <c r="AX239" s="353">
        <v>0</v>
      </c>
      <c r="AY239" s="353">
        <v>0</v>
      </c>
      <c r="AZ239" s="353">
        <v>0</v>
      </c>
      <c r="BA239" s="353">
        <v>0</v>
      </c>
      <c r="BB239" s="353">
        <v>0</v>
      </c>
    </row>
    <row r="240" spans="1:54" ht="14.25" customHeight="1" x14ac:dyDescent="0.25">
      <c r="A240" s="348" t="s">
        <v>651</v>
      </c>
      <c r="B240" s="379">
        <v>4</v>
      </c>
      <c r="C240" s="380">
        <v>45078</v>
      </c>
      <c r="D240" s="351">
        <v>45100</v>
      </c>
      <c r="E240" s="352"/>
      <c r="F240" s="352">
        <v>6</v>
      </c>
      <c r="G240" s="428" t="s">
        <v>303</v>
      </c>
      <c r="H240" s="350" t="s">
        <v>675</v>
      </c>
      <c r="I240" s="350" t="s">
        <v>393</v>
      </c>
      <c r="J240" s="556">
        <f t="shared" si="168"/>
        <v>70817</v>
      </c>
      <c r="K240" s="350" t="s">
        <v>394</v>
      </c>
      <c r="L240" s="353">
        <v>2801.6</v>
      </c>
      <c r="M240" s="375">
        <f t="shared" si="154"/>
        <v>25.277341519131927</v>
      </c>
      <c r="N240" s="354" t="s">
        <v>395</v>
      </c>
      <c r="O240" s="354">
        <v>0</v>
      </c>
      <c r="P240" s="374">
        <f t="shared" si="145"/>
        <v>1.592678143010178</v>
      </c>
      <c r="Q240" s="354">
        <f t="shared" si="155"/>
        <v>0.1502138455389217</v>
      </c>
      <c r="R240" s="354">
        <f t="shared" si="123"/>
        <v>0.25321685422491336</v>
      </c>
      <c r="S240" s="354">
        <f t="shared" si="124"/>
        <v>0.22556218313740103</v>
      </c>
      <c r="T240" s="354">
        <f t="shared" si="125"/>
        <v>0.96256001372142996</v>
      </c>
      <c r="U240" s="374">
        <f t="shared" si="156"/>
        <v>6.392108446819611</v>
      </c>
      <c r="V240" s="354">
        <f t="shared" si="126"/>
        <v>0.16920368829182764</v>
      </c>
      <c r="W240" s="354">
        <f t="shared" si="127"/>
        <v>5.7718882549174877</v>
      </c>
      <c r="X240" s="354">
        <f t="shared" si="166"/>
        <v>0.45101650361029572</v>
      </c>
      <c r="Y240" s="374">
        <f t="shared" si="148"/>
        <v>0.93707332306932956</v>
      </c>
      <c r="Z240" s="354">
        <f t="shared" si="129"/>
        <v>0.48339866926941727</v>
      </c>
      <c r="AA240" s="354">
        <f t="shared" si="167"/>
        <v>0.45367465379991223</v>
      </c>
      <c r="AB240" s="374">
        <f t="shared" si="149"/>
        <v>5.1196024775710649</v>
      </c>
      <c r="AC240" s="354">
        <f t="shared" si="131"/>
        <v>1.4529051892193146</v>
      </c>
      <c r="AD240" s="354">
        <f t="shared" si="132"/>
        <v>3.1626518593813771</v>
      </c>
      <c r="AE240" s="354">
        <f t="shared" si="133"/>
        <v>0.5040454289703733</v>
      </c>
      <c r="AF240" s="374">
        <f t="shared" si="150"/>
        <v>4.0974698402440506</v>
      </c>
      <c r="AG240" s="354">
        <f t="shared" si="134"/>
        <v>0.26333087406673916</v>
      </c>
      <c r="AH240" s="354">
        <f t="shared" si="135"/>
        <v>1.3249234871945899</v>
      </c>
      <c r="AI240" s="354">
        <f t="shared" si="159"/>
        <v>0</v>
      </c>
      <c r="AJ240" s="354">
        <f t="shared" si="160"/>
        <v>2.5092154789827221</v>
      </c>
      <c r="AK240" s="374">
        <f t="shared" si="151"/>
        <v>2.7063503142627887</v>
      </c>
      <c r="AL240" s="354">
        <f t="shared" si="138"/>
        <v>0.77538732979970848</v>
      </c>
      <c r="AM240" s="354">
        <f t="shared" si="139"/>
        <v>1.8287993640336606</v>
      </c>
      <c r="AN240" s="354">
        <f t="shared" si="140"/>
        <v>0.1021636204294198</v>
      </c>
      <c r="AO240" s="374">
        <f t="shared" si="152"/>
        <v>1.569264187804283</v>
      </c>
      <c r="AP240" s="354">
        <f t="shared" si="141"/>
        <v>0.35984878436393736</v>
      </c>
      <c r="AQ240" s="354">
        <f t="shared" si="161"/>
        <v>1.2094154034403457</v>
      </c>
      <c r="AR240" s="374">
        <f t="shared" si="162"/>
        <v>2.8627947863506198</v>
      </c>
      <c r="AS240" s="354">
        <f t="shared" si="163"/>
        <v>1.2405461674564866</v>
      </c>
      <c r="AT240" s="354">
        <f t="shared" si="144"/>
        <v>1.6222486188941332</v>
      </c>
      <c r="AU240" s="355" t="s">
        <v>396</v>
      </c>
      <c r="AV240" s="354" t="s">
        <v>345</v>
      </c>
      <c r="AW240" s="353">
        <v>0</v>
      </c>
      <c r="AX240" s="353">
        <v>0</v>
      </c>
      <c r="AY240" s="353">
        <v>0</v>
      </c>
      <c r="AZ240" s="353">
        <v>0</v>
      </c>
      <c r="BA240" s="353">
        <v>0</v>
      </c>
      <c r="BB240" s="353">
        <v>0</v>
      </c>
    </row>
    <row r="241" spans="1:54" ht="14.25" customHeight="1" x14ac:dyDescent="0.25">
      <c r="A241" s="348" t="s">
        <v>651</v>
      </c>
      <c r="B241" s="379">
        <v>4</v>
      </c>
      <c r="C241" s="380">
        <v>45078</v>
      </c>
      <c r="D241" s="351">
        <v>45100</v>
      </c>
      <c r="E241" s="352"/>
      <c r="F241" s="352">
        <v>6</v>
      </c>
      <c r="G241" s="428" t="s">
        <v>303</v>
      </c>
      <c r="H241" s="350" t="s">
        <v>676</v>
      </c>
      <c r="I241" s="350" t="s">
        <v>393</v>
      </c>
      <c r="J241" s="556">
        <f t="shared" si="168"/>
        <v>70817</v>
      </c>
      <c r="K241" s="350" t="s">
        <v>394</v>
      </c>
      <c r="L241" s="353">
        <v>2801.6</v>
      </c>
      <c r="M241" s="375">
        <f t="shared" si="154"/>
        <v>25.277341519131927</v>
      </c>
      <c r="N241" s="354" t="s">
        <v>395</v>
      </c>
      <c r="O241" s="354">
        <v>0</v>
      </c>
      <c r="P241" s="374">
        <f t="shared" si="145"/>
        <v>1.592678143010178</v>
      </c>
      <c r="Q241" s="354">
        <f t="shared" si="155"/>
        <v>0.1502138455389217</v>
      </c>
      <c r="R241" s="354">
        <f t="shared" ref="R241:R285" si="169">P241*$R$2</f>
        <v>0.25321685422491336</v>
      </c>
      <c r="S241" s="354">
        <f t="shared" ref="S241:S285" si="170">P241*$S$2</f>
        <v>0.22556218313740103</v>
      </c>
      <c r="T241" s="354">
        <f t="shared" ref="T241:T285" si="171">P241*$T$2</f>
        <v>0.96256001372142996</v>
      </c>
      <c r="U241" s="374">
        <f t="shared" si="156"/>
        <v>6.392108446819611</v>
      </c>
      <c r="V241" s="354">
        <f t="shared" ref="V241:V285" si="172">U241*$V$2</f>
        <v>0.16920368829182764</v>
      </c>
      <c r="W241" s="354">
        <f t="shared" ref="W241:W285" si="173">U241*$W$2</f>
        <v>5.7718882549174877</v>
      </c>
      <c r="X241" s="354">
        <f t="shared" si="166"/>
        <v>0.45101650361029572</v>
      </c>
      <c r="Y241" s="374">
        <f t="shared" si="148"/>
        <v>0.93707332306932956</v>
      </c>
      <c r="Z241" s="354">
        <f t="shared" ref="Z241:Z285" si="174">Y241*$Z$2</f>
        <v>0.48339866926941727</v>
      </c>
      <c r="AA241" s="354">
        <f t="shared" si="167"/>
        <v>0.45367465379991223</v>
      </c>
      <c r="AB241" s="374">
        <f t="shared" si="149"/>
        <v>5.1196024775710649</v>
      </c>
      <c r="AC241" s="354">
        <f t="shared" ref="AC241:AC285" si="175">AB241*$AC$2</f>
        <v>1.4529051892193146</v>
      </c>
      <c r="AD241" s="354">
        <f t="shared" ref="AD241:AD285" si="176">AB241*$AD$2</f>
        <v>3.1626518593813771</v>
      </c>
      <c r="AE241" s="354">
        <f t="shared" ref="AE241:AE285" si="177">AB241*$AE$2</f>
        <v>0.5040454289703733</v>
      </c>
      <c r="AF241" s="374">
        <f t="shared" si="150"/>
        <v>4.0974698402440506</v>
      </c>
      <c r="AG241" s="354">
        <f t="shared" ref="AG241:AG285" si="178">AF241*$AG$2</f>
        <v>0.26333087406673916</v>
      </c>
      <c r="AH241" s="354">
        <f t="shared" ref="AH241:AH285" si="179">AF241*$AH$2</f>
        <v>1.3249234871945899</v>
      </c>
      <c r="AI241" s="354">
        <f t="shared" si="159"/>
        <v>0</v>
      </c>
      <c r="AJ241" s="354">
        <f t="shared" si="160"/>
        <v>2.5092154789827221</v>
      </c>
      <c r="AK241" s="374">
        <f t="shared" si="151"/>
        <v>2.7063503142627887</v>
      </c>
      <c r="AL241" s="354">
        <f t="shared" ref="AL241:AL285" si="180">AK241*$AL$2</f>
        <v>0.77538732979970848</v>
      </c>
      <c r="AM241" s="354">
        <f t="shared" ref="AM241:AM285" si="181">AK241*$AM$2</f>
        <v>1.8287993640336606</v>
      </c>
      <c r="AN241" s="354">
        <f t="shared" ref="AN241:AN285" si="182">AK241*$AN$2</f>
        <v>0.1021636204294198</v>
      </c>
      <c r="AO241" s="374">
        <f t="shared" si="152"/>
        <v>1.569264187804283</v>
      </c>
      <c r="AP241" s="354">
        <f t="shared" ref="AP241:AP285" si="183">AO241*$AP$2</f>
        <v>0.35984878436393736</v>
      </c>
      <c r="AQ241" s="354">
        <f t="shared" si="161"/>
        <v>1.2094154034403457</v>
      </c>
      <c r="AR241" s="374">
        <f t="shared" si="162"/>
        <v>2.8627947863506198</v>
      </c>
      <c r="AS241" s="354">
        <f t="shared" si="163"/>
        <v>1.2405461674564866</v>
      </c>
      <c r="AT241" s="354">
        <f t="shared" ref="AT241:AT285" si="184">AR241*$AT$2</f>
        <v>1.6222486188941332</v>
      </c>
      <c r="AU241" s="355" t="s">
        <v>396</v>
      </c>
      <c r="AV241" s="354" t="s">
        <v>345</v>
      </c>
      <c r="AW241" s="353">
        <v>0</v>
      </c>
      <c r="AX241" s="353">
        <v>0</v>
      </c>
      <c r="AY241" s="353">
        <v>0</v>
      </c>
      <c r="AZ241" s="353">
        <v>0</v>
      </c>
      <c r="BA241" s="353">
        <v>0</v>
      </c>
      <c r="BB241" s="353">
        <v>0</v>
      </c>
    </row>
    <row r="242" spans="1:54" x14ac:dyDescent="0.25">
      <c r="A242" s="348" t="s">
        <v>651</v>
      </c>
      <c r="B242" s="379">
        <v>4</v>
      </c>
      <c r="C242" s="380">
        <v>45078</v>
      </c>
      <c r="D242" s="351">
        <v>45100</v>
      </c>
      <c r="E242" s="352"/>
      <c r="F242" s="352">
        <v>6</v>
      </c>
      <c r="G242" s="428" t="s">
        <v>302</v>
      </c>
      <c r="H242" s="350" t="s">
        <v>677</v>
      </c>
      <c r="I242" s="350" t="s">
        <v>393</v>
      </c>
      <c r="J242" s="556">
        <f>1478570/5</f>
        <v>295714</v>
      </c>
      <c r="K242" s="350" t="s">
        <v>394</v>
      </c>
      <c r="L242" s="353">
        <v>2801.6</v>
      </c>
      <c r="M242" s="375">
        <f t="shared" si="154"/>
        <v>105.55182752712736</v>
      </c>
      <c r="N242" s="354" t="s">
        <v>395</v>
      </c>
      <c r="O242" s="354">
        <v>0</v>
      </c>
      <c r="P242" s="374">
        <f t="shared" si="145"/>
        <v>6.6506237821725254</v>
      </c>
      <c r="Q242" s="354">
        <f t="shared" si="155"/>
        <v>0.62725527937778625</v>
      </c>
      <c r="R242" s="354">
        <f t="shared" si="169"/>
        <v>1.0573699652663346</v>
      </c>
      <c r="S242" s="354">
        <f t="shared" si="170"/>
        <v>0.94189100673981396</v>
      </c>
      <c r="T242" s="354">
        <f t="shared" si="171"/>
        <v>4.0194087845802411</v>
      </c>
      <c r="U242" s="374">
        <f t="shared" si="156"/>
        <v>26.691838926286266</v>
      </c>
      <c r="V242" s="354">
        <f t="shared" si="172"/>
        <v>0.70655209172274336</v>
      </c>
      <c r="W242" s="354">
        <f t="shared" si="173"/>
        <v>24.101955228471557</v>
      </c>
      <c r="X242" s="354">
        <f t="shared" si="166"/>
        <v>1.8833316060919694</v>
      </c>
      <c r="Y242" s="374">
        <f t="shared" si="148"/>
        <v>3.9129827676705271</v>
      </c>
      <c r="Z242" s="354">
        <f t="shared" si="174"/>
        <v>2.0185513942180049</v>
      </c>
      <c r="AA242" s="354">
        <f t="shared" si="167"/>
        <v>1.894431373452522</v>
      </c>
      <c r="AB242" s="374">
        <f t="shared" si="149"/>
        <v>21.378173701970567</v>
      </c>
      <c r="AC242" s="354">
        <f t="shared" si="175"/>
        <v>6.0669670435742873</v>
      </c>
      <c r="AD242" s="354">
        <f t="shared" si="176"/>
        <v>13.206439582940598</v>
      </c>
      <c r="AE242" s="354">
        <f t="shared" si="177"/>
        <v>2.1047670754556806</v>
      </c>
      <c r="AF242" s="374">
        <f t="shared" si="150"/>
        <v>17.110004608186298</v>
      </c>
      <c r="AG242" s="354">
        <f t="shared" si="178"/>
        <v>1.0996035710884631</v>
      </c>
      <c r="AH242" s="354">
        <f t="shared" si="179"/>
        <v>5.532547609927855</v>
      </c>
      <c r="AI242" s="354">
        <f t="shared" si="159"/>
        <v>0</v>
      </c>
      <c r="AJ242" s="354">
        <f t="shared" si="160"/>
        <v>10.477853427169981</v>
      </c>
      <c r="AK242" s="374">
        <f t="shared" si="151"/>
        <v>11.301038971319121</v>
      </c>
      <c r="AL242" s="354">
        <f t="shared" si="180"/>
        <v>3.2378226816215165</v>
      </c>
      <c r="AM242" s="354">
        <f t="shared" si="181"/>
        <v>7.6366066782813427</v>
      </c>
      <c r="AN242" s="354">
        <f t="shared" si="182"/>
        <v>0.42660961141626225</v>
      </c>
      <c r="AO242" s="374">
        <f t="shared" si="152"/>
        <v>6.5528529877339583</v>
      </c>
      <c r="AP242" s="354">
        <f t="shared" si="183"/>
        <v>1.5026381154157529</v>
      </c>
      <c r="AQ242" s="354">
        <f t="shared" si="161"/>
        <v>5.0502148723182057</v>
      </c>
      <c r="AR242" s="374">
        <f t="shared" si="162"/>
        <v>11.954311781788089</v>
      </c>
      <c r="AS242" s="354">
        <f t="shared" si="163"/>
        <v>5.1802091215841886</v>
      </c>
      <c r="AT242" s="354">
        <f t="shared" si="184"/>
        <v>6.7741026602039014</v>
      </c>
      <c r="AU242" s="355" t="s">
        <v>396</v>
      </c>
      <c r="AV242" s="354" t="s">
        <v>345</v>
      </c>
      <c r="AW242" s="353">
        <v>0</v>
      </c>
      <c r="AX242" s="353">
        <v>0</v>
      </c>
      <c r="AY242" s="353">
        <v>0</v>
      </c>
      <c r="AZ242" s="353">
        <v>0</v>
      </c>
      <c r="BA242" s="353">
        <v>0</v>
      </c>
      <c r="BB242" s="353">
        <v>0</v>
      </c>
    </row>
    <row r="243" spans="1:54" x14ac:dyDescent="0.25">
      <c r="A243" s="348" t="s">
        <v>651</v>
      </c>
      <c r="B243" s="379">
        <v>4</v>
      </c>
      <c r="C243" s="380">
        <v>45078</v>
      </c>
      <c r="D243" s="351">
        <v>45100</v>
      </c>
      <c r="E243" s="352"/>
      <c r="F243" s="352">
        <v>6</v>
      </c>
      <c r="G243" s="428" t="s">
        <v>302</v>
      </c>
      <c r="H243" s="350" t="s">
        <v>678</v>
      </c>
      <c r="I243" s="350" t="s">
        <v>393</v>
      </c>
      <c r="J243" s="556">
        <f>1478570/5</f>
        <v>295714</v>
      </c>
      <c r="K243" s="350" t="s">
        <v>394</v>
      </c>
      <c r="L243" s="353">
        <v>2801.6</v>
      </c>
      <c r="M243" s="375">
        <f t="shared" si="154"/>
        <v>105.55182752712736</v>
      </c>
      <c r="N243" s="354" t="s">
        <v>395</v>
      </c>
      <c r="O243" s="354">
        <v>0</v>
      </c>
      <c r="P243" s="374">
        <f t="shared" si="145"/>
        <v>6.6506237821725254</v>
      </c>
      <c r="Q243" s="354">
        <f t="shared" si="155"/>
        <v>0.62725527937778625</v>
      </c>
      <c r="R243" s="354">
        <f t="shared" si="169"/>
        <v>1.0573699652663346</v>
      </c>
      <c r="S243" s="354">
        <f t="shared" si="170"/>
        <v>0.94189100673981396</v>
      </c>
      <c r="T243" s="354">
        <f t="shared" si="171"/>
        <v>4.0194087845802411</v>
      </c>
      <c r="U243" s="374">
        <f t="shared" si="156"/>
        <v>26.691838926286266</v>
      </c>
      <c r="V243" s="354">
        <f t="shared" si="172"/>
        <v>0.70655209172274336</v>
      </c>
      <c r="W243" s="354">
        <f t="shared" si="173"/>
        <v>24.101955228471557</v>
      </c>
      <c r="X243" s="354">
        <f t="shared" si="166"/>
        <v>1.8833316060919694</v>
      </c>
      <c r="Y243" s="374">
        <f t="shared" si="148"/>
        <v>3.9129827676705271</v>
      </c>
      <c r="Z243" s="354">
        <f t="shared" si="174"/>
        <v>2.0185513942180049</v>
      </c>
      <c r="AA243" s="354">
        <f t="shared" si="167"/>
        <v>1.894431373452522</v>
      </c>
      <c r="AB243" s="374">
        <f t="shared" si="149"/>
        <v>21.378173701970567</v>
      </c>
      <c r="AC243" s="354">
        <f t="shared" si="175"/>
        <v>6.0669670435742873</v>
      </c>
      <c r="AD243" s="354">
        <f t="shared" si="176"/>
        <v>13.206439582940598</v>
      </c>
      <c r="AE243" s="354">
        <f t="shared" si="177"/>
        <v>2.1047670754556806</v>
      </c>
      <c r="AF243" s="374">
        <f t="shared" si="150"/>
        <v>17.110004608186298</v>
      </c>
      <c r="AG243" s="354">
        <f t="shared" si="178"/>
        <v>1.0996035710884631</v>
      </c>
      <c r="AH243" s="354">
        <f t="shared" si="179"/>
        <v>5.532547609927855</v>
      </c>
      <c r="AI243" s="354">
        <f t="shared" si="159"/>
        <v>0</v>
      </c>
      <c r="AJ243" s="354">
        <f t="shared" si="160"/>
        <v>10.477853427169981</v>
      </c>
      <c r="AK243" s="374">
        <f t="shared" si="151"/>
        <v>11.301038971319121</v>
      </c>
      <c r="AL243" s="354">
        <f t="shared" si="180"/>
        <v>3.2378226816215165</v>
      </c>
      <c r="AM243" s="354">
        <f t="shared" si="181"/>
        <v>7.6366066782813427</v>
      </c>
      <c r="AN243" s="354">
        <f t="shared" si="182"/>
        <v>0.42660961141626225</v>
      </c>
      <c r="AO243" s="374">
        <f t="shared" si="152"/>
        <v>6.5528529877339583</v>
      </c>
      <c r="AP243" s="354">
        <f t="shared" si="183"/>
        <v>1.5026381154157529</v>
      </c>
      <c r="AQ243" s="354">
        <f t="shared" si="161"/>
        <v>5.0502148723182057</v>
      </c>
      <c r="AR243" s="374">
        <f t="shared" si="162"/>
        <v>11.954311781788089</v>
      </c>
      <c r="AS243" s="354">
        <f t="shared" si="163"/>
        <v>5.1802091215841886</v>
      </c>
      <c r="AT243" s="354">
        <f t="shared" si="184"/>
        <v>6.7741026602039014</v>
      </c>
      <c r="AU243" s="355" t="s">
        <v>396</v>
      </c>
      <c r="AV243" s="354" t="s">
        <v>345</v>
      </c>
      <c r="AW243" s="353">
        <v>0</v>
      </c>
      <c r="AX243" s="353">
        <v>0</v>
      </c>
      <c r="AY243" s="353">
        <v>0</v>
      </c>
      <c r="AZ243" s="353">
        <v>0</v>
      </c>
      <c r="BA243" s="353">
        <v>0</v>
      </c>
      <c r="BB243" s="353">
        <v>0</v>
      </c>
    </row>
    <row r="244" spans="1:54" x14ac:dyDescent="0.25">
      <c r="A244" s="348" t="s">
        <v>651</v>
      </c>
      <c r="B244" s="379">
        <v>4</v>
      </c>
      <c r="C244" s="380">
        <v>45078</v>
      </c>
      <c r="D244" s="351">
        <v>45100</v>
      </c>
      <c r="E244" s="352"/>
      <c r="F244" s="352">
        <v>6</v>
      </c>
      <c r="G244" s="428" t="s">
        <v>302</v>
      </c>
      <c r="H244" s="350" t="s">
        <v>679</v>
      </c>
      <c r="I244" s="350" t="s">
        <v>393</v>
      </c>
      <c r="J244" s="556">
        <f>1478570/5</f>
        <v>295714</v>
      </c>
      <c r="K244" s="350" t="s">
        <v>394</v>
      </c>
      <c r="L244" s="353">
        <v>2801.6</v>
      </c>
      <c r="M244" s="375">
        <f t="shared" si="154"/>
        <v>105.55182752712736</v>
      </c>
      <c r="N244" s="354" t="s">
        <v>395</v>
      </c>
      <c r="O244" s="354">
        <v>0</v>
      </c>
      <c r="P244" s="374">
        <f t="shared" si="145"/>
        <v>6.6506237821725254</v>
      </c>
      <c r="Q244" s="354">
        <f t="shared" si="155"/>
        <v>0.62725527937778625</v>
      </c>
      <c r="R244" s="354">
        <f t="shared" si="169"/>
        <v>1.0573699652663346</v>
      </c>
      <c r="S244" s="354">
        <f t="shared" si="170"/>
        <v>0.94189100673981396</v>
      </c>
      <c r="T244" s="354">
        <f t="shared" si="171"/>
        <v>4.0194087845802411</v>
      </c>
      <c r="U244" s="374">
        <f t="shared" si="156"/>
        <v>26.691838926286266</v>
      </c>
      <c r="V244" s="354">
        <f t="shared" si="172"/>
        <v>0.70655209172274336</v>
      </c>
      <c r="W244" s="354">
        <f t="shared" si="173"/>
        <v>24.101955228471557</v>
      </c>
      <c r="X244" s="354">
        <f t="shared" si="166"/>
        <v>1.8833316060919694</v>
      </c>
      <c r="Y244" s="374">
        <f t="shared" si="148"/>
        <v>3.9129827676705271</v>
      </c>
      <c r="Z244" s="354">
        <f t="shared" si="174"/>
        <v>2.0185513942180049</v>
      </c>
      <c r="AA244" s="354">
        <f t="shared" si="167"/>
        <v>1.894431373452522</v>
      </c>
      <c r="AB244" s="374">
        <f t="shared" si="149"/>
        <v>21.378173701970567</v>
      </c>
      <c r="AC244" s="354">
        <f t="shared" si="175"/>
        <v>6.0669670435742873</v>
      </c>
      <c r="AD244" s="354">
        <f t="shared" si="176"/>
        <v>13.206439582940598</v>
      </c>
      <c r="AE244" s="354">
        <f t="shared" si="177"/>
        <v>2.1047670754556806</v>
      </c>
      <c r="AF244" s="374">
        <f t="shared" si="150"/>
        <v>17.110004608186298</v>
      </c>
      <c r="AG244" s="354">
        <f t="shared" si="178"/>
        <v>1.0996035710884631</v>
      </c>
      <c r="AH244" s="354">
        <f t="shared" si="179"/>
        <v>5.532547609927855</v>
      </c>
      <c r="AI244" s="354">
        <f t="shared" si="159"/>
        <v>0</v>
      </c>
      <c r="AJ244" s="354">
        <f t="shared" si="160"/>
        <v>10.477853427169981</v>
      </c>
      <c r="AK244" s="374">
        <f t="shared" si="151"/>
        <v>11.301038971319121</v>
      </c>
      <c r="AL244" s="354">
        <f t="shared" si="180"/>
        <v>3.2378226816215165</v>
      </c>
      <c r="AM244" s="354">
        <f t="shared" si="181"/>
        <v>7.6366066782813427</v>
      </c>
      <c r="AN244" s="354">
        <f t="shared" si="182"/>
        <v>0.42660961141626225</v>
      </c>
      <c r="AO244" s="374">
        <f t="shared" si="152"/>
        <v>6.5528529877339583</v>
      </c>
      <c r="AP244" s="354">
        <f t="shared" si="183"/>
        <v>1.5026381154157529</v>
      </c>
      <c r="AQ244" s="354">
        <f t="shared" si="161"/>
        <v>5.0502148723182057</v>
      </c>
      <c r="AR244" s="374">
        <f t="shared" si="162"/>
        <v>11.954311781788089</v>
      </c>
      <c r="AS244" s="354">
        <f t="shared" si="163"/>
        <v>5.1802091215841886</v>
      </c>
      <c r="AT244" s="354">
        <f t="shared" si="184"/>
        <v>6.7741026602039014</v>
      </c>
      <c r="AU244" s="355" t="s">
        <v>396</v>
      </c>
      <c r="AV244" s="354" t="s">
        <v>345</v>
      </c>
      <c r="AW244" s="353">
        <v>0</v>
      </c>
      <c r="AX244" s="353">
        <v>0</v>
      </c>
      <c r="AY244" s="353">
        <v>0</v>
      </c>
      <c r="AZ244" s="353">
        <v>0</v>
      </c>
      <c r="BA244" s="353">
        <v>0</v>
      </c>
      <c r="BB244" s="353">
        <v>0</v>
      </c>
    </row>
    <row r="245" spans="1:54" x14ac:dyDescent="0.25">
      <c r="A245" s="348" t="s">
        <v>651</v>
      </c>
      <c r="B245" s="379">
        <v>4</v>
      </c>
      <c r="C245" s="380">
        <v>45078</v>
      </c>
      <c r="D245" s="351">
        <v>45100</v>
      </c>
      <c r="E245" s="352"/>
      <c r="F245" s="352">
        <v>6</v>
      </c>
      <c r="G245" s="428" t="s">
        <v>302</v>
      </c>
      <c r="H245" s="350" t="s">
        <v>680</v>
      </c>
      <c r="I245" s="350" t="s">
        <v>393</v>
      </c>
      <c r="J245" s="556">
        <f>1478570/5</f>
        <v>295714</v>
      </c>
      <c r="K245" s="350" t="s">
        <v>394</v>
      </c>
      <c r="L245" s="353">
        <v>2801.6</v>
      </c>
      <c r="M245" s="375">
        <f t="shared" si="154"/>
        <v>105.55182752712736</v>
      </c>
      <c r="N245" s="354" t="s">
        <v>395</v>
      </c>
      <c r="O245" s="354">
        <v>0</v>
      </c>
      <c r="P245" s="374">
        <f t="shared" si="145"/>
        <v>6.6506237821725254</v>
      </c>
      <c r="Q245" s="354">
        <f t="shared" si="155"/>
        <v>0.62725527937778625</v>
      </c>
      <c r="R245" s="354">
        <f t="shared" si="169"/>
        <v>1.0573699652663346</v>
      </c>
      <c r="S245" s="354">
        <f t="shared" si="170"/>
        <v>0.94189100673981396</v>
      </c>
      <c r="T245" s="354">
        <f t="shared" si="171"/>
        <v>4.0194087845802411</v>
      </c>
      <c r="U245" s="374">
        <f t="shared" si="156"/>
        <v>26.691838926286266</v>
      </c>
      <c r="V245" s="354">
        <f t="shared" si="172"/>
        <v>0.70655209172274336</v>
      </c>
      <c r="W245" s="354">
        <f t="shared" si="173"/>
        <v>24.101955228471557</v>
      </c>
      <c r="X245" s="354">
        <f t="shared" si="166"/>
        <v>1.8833316060919694</v>
      </c>
      <c r="Y245" s="374">
        <f t="shared" si="148"/>
        <v>3.9129827676705271</v>
      </c>
      <c r="Z245" s="354">
        <f t="shared" si="174"/>
        <v>2.0185513942180049</v>
      </c>
      <c r="AA245" s="354">
        <f t="shared" si="167"/>
        <v>1.894431373452522</v>
      </c>
      <c r="AB245" s="374">
        <f t="shared" si="149"/>
        <v>21.378173701970567</v>
      </c>
      <c r="AC245" s="354">
        <f t="shared" si="175"/>
        <v>6.0669670435742873</v>
      </c>
      <c r="AD245" s="354">
        <f t="shared" si="176"/>
        <v>13.206439582940598</v>
      </c>
      <c r="AE245" s="354">
        <f t="shared" si="177"/>
        <v>2.1047670754556806</v>
      </c>
      <c r="AF245" s="374">
        <f t="shared" si="150"/>
        <v>17.110004608186298</v>
      </c>
      <c r="AG245" s="354">
        <f t="shared" si="178"/>
        <v>1.0996035710884631</v>
      </c>
      <c r="AH245" s="354">
        <f t="shared" si="179"/>
        <v>5.532547609927855</v>
      </c>
      <c r="AI245" s="354">
        <f t="shared" si="159"/>
        <v>0</v>
      </c>
      <c r="AJ245" s="354">
        <f t="shared" si="160"/>
        <v>10.477853427169981</v>
      </c>
      <c r="AK245" s="374">
        <f t="shared" si="151"/>
        <v>11.301038971319121</v>
      </c>
      <c r="AL245" s="354">
        <f t="shared" si="180"/>
        <v>3.2378226816215165</v>
      </c>
      <c r="AM245" s="354">
        <f t="shared" si="181"/>
        <v>7.6366066782813427</v>
      </c>
      <c r="AN245" s="354">
        <f t="shared" si="182"/>
        <v>0.42660961141626225</v>
      </c>
      <c r="AO245" s="374">
        <f t="shared" si="152"/>
        <v>6.5528529877339583</v>
      </c>
      <c r="AP245" s="354">
        <f t="shared" si="183"/>
        <v>1.5026381154157529</v>
      </c>
      <c r="AQ245" s="354">
        <f t="shared" si="161"/>
        <v>5.0502148723182057</v>
      </c>
      <c r="AR245" s="374">
        <f t="shared" si="162"/>
        <v>11.954311781788089</v>
      </c>
      <c r="AS245" s="354">
        <f t="shared" si="163"/>
        <v>5.1802091215841886</v>
      </c>
      <c r="AT245" s="354">
        <f t="shared" si="184"/>
        <v>6.7741026602039014</v>
      </c>
      <c r="AU245" s="355" t="s">
        <v>396</v>
      </c>
      <c r="AV245" s="354" t="s">
        <v>345</v>
      </c>
      <c r="AW245" s="353">
        <v>0</v>
      </c>
      <c r="AX245" s="353">
        <v>0</v>
      </c>
      <c r="AY245" s="353">
        <v>0</v>
      </c>
      <c r="AZ245" s="353">
        <v>0</v>
      </c>
      <c r="BA245" s="353">
        <v>0</v>
      </c>
      <c r="BB245" s="353">
        <v>0</v>
      </c>
    </row>
    <row r="246" spans="1:54" x14ac:dyDescent="0.25">
      <c r="A246" s="348" t="s">
        <v>651</v>
      </c>
      <c r="B246" s="379">
        <v>4</v>
      </c>
      <c r="C246" s="380">
        <v>45078</v>
      </c>
      <c r="D246" s="351">
        <v>45100</v>
      </c>
      <c r="E246" s="352"/>
      <c r="F246" s="352">
        <v>6</v>
      </c>
      <c r="G246" s="428" t="s">
        <v>302</v>
      </c>
      <c r="H246" s="350" t="s">
        <v>681</v>
      </c>
      <c r="I246" s="350" t="s">
        <v>393</v>
      </c>
      <c r="J246" s="556">
        <f>1478570/5</f>
        <v>295714</v>
      </c>
      <c r="K246" s="350" t="s">
        <v>394</v>
      </c>
      <c r="L246" s="353">
        <v>2801.6</v>
      </c>
      <c r="M246" s="375">
        <f t="shared" si="154"/>
        <v>105.55182752712736</v>
      </c>
      <c r="N246" s="354" t="s">
        <v>395</v>
      </c>
      <c r="O246" s="354">
        <v>0</v>
      </c>
      <c r="P246" s="374">
        <f t="shared" si="145"/>
        <v>6.6506237821725254</v>
      </c>
      <c r="Q246" s="354">
        <f t="shared" si="155"/>
        <v>0.62725527937778625</v>
      </c>
      <c r="R246" s="354">
        <f t="shared" si="169"/>
        <v>1.0573699652663346</v>
      </c>
      <c r="S246" s="354">
        <f t="shared" si="170"/>
        <v>0.94189100673981396</v>
      </c>
      <c r="T246" s="354">
        <f t="shared" si="171"/>
        <v>4.0194087845802411</v>
      </c>
      <c r="U246" s="374">
        <f t="shared" si="156"/>
        <v>26.691838926286266</v>
      </c>
      <c r="V246" s="354">
        <f t="shared" si="172"/>
        <v>0.70655209172274336</v>
      </c>
      <c r="W246" s="354">
        <f t="shared" si="173"/>
        <v>24.101955228471557</v>
      </c>
      <c r="X246" s="354">
        <f t="shared" si="166"/>
        <v>1.8833316060919694</v>
      </c>
      <c r="Y246" s="374">
        <f t="shared" si="148"/>
        <v>3.9129827676705271</v>
      </c>
      <c r="Z246" s="354">
        <f t="shared" si="174"/>
        <v>2.0185513942180049</v>
      </c>
      <c r="AA246" s="354">
        <f t="shared" si="167"/>
        <v>1.894431373452522</v>
      </c>
      <c r="AB246" s="374">
        <f t="shared" si="149"/>
        <v>21.378173701970567</v>
      </c>
      <c r="AC246" s="354">
        <f t="shared" si="175"/>
        <v>6.0669670435742873</v>
      </c>
      <c r="AD246" s="354">
        <f t="shared" si="176"/>
        <v>13.206439582940598</v>
      </c>
      <c r="AE246" s="354">
        <f t="shared" si="177"/>
        <v>2.1047670754556806</v>
      </c>
      <c r="AF246" s="374">
        <f t="shared" si="150"/>
        <v>17.110004608186298</v>
      </c>
      <c r="AG246" s="354">
        <f t="shared" si="178"/>
        <v>1.0996035710884631</v>
      </c>
      <c r="AH246" s="354">
        <f t="shared" si="179"/>
        <v>5.532547609927855</v>
      </c>
      <c r="AI246" s="354">
        <f t="shared" si="159"/>
        <v>0</v>
      </c>
      <c r="AJ246" s="354">
        <f t="shared" si="160"/>
        <v>10.477853427169981</v>
      </c>
      <c r="AK246" s="374">
        <f t="shared" si="151"/>
        <v>11.301038971319121</v>
      </c>
      <c r="AL246" s="354">
        <f t="shared" si="180"/>
        <v>3.2378226816215165</v>
      </c>
      <c r="AM246" s="354">
        <f t="shared" si="181"/>
        <v>7.6366066782813427</v>
      </c>
      <c r="AN246" s="354">
        <f t="shared" si="182"/>
        <v>0.42660961141626225</v>
      </c>
      <c r="AO246" s="374">
        <f t="shared" si="152"/>
        <v>6.5528529877339583</v>
      </c>
      <c r="AP246" s="354">
        <f t="shared" si="183"/>
        <v>1.5026381154157529</v>
      </c>
      <c r="AQ246" s="354">
        <f t="shared" si="161"/>
        <v>5.0502148723182057</v>
      </c>
      <c r="AR246" s="374">
        <f t="shared" si="162"/>
        <v>11.954311781788089</v>
      </c>
      <c r="AS246" s="354">
        <f t="shared" si="163"/>
        <v>5.1802091215841886</v>
      </c>
      <c r="AT246" s="354">
        <f t="shared" si="184"/>
        <v>6.7741026602039014</v>
      </c>
      <c r="AU246" s="355" t="s">
        <v>396</v>
      </c>
      <c r="AV246" s="354" t="s">
        <v>345</v>
      </c>
      <c r="AW246" s="353">
        <v>0</v>
      </c>
      <c r="AX246" s="353">
        <v>0</v>
      </c>
      <c r="AY246" s="353">
        <v>0</v>
      </c>
      <c r="AZ246" s="353">
        <v>0</v>
      </c>
      <c r="BA246" s="353">
        <v>0</v>
      </c>
      <c r="BB246" s="353">
        <v>0</v>
      </c>
    </row>
    <row r="247" spans="1:54" x14ac:dyDescent="0.25">
      <c r="A247" s="348" t="s">
        <v>682</v>
      </c>
      <c r="B247" s="379">
        <v>5</v>
      </c>
      <c r="C247" s="380">
        <v>45078</v>
      </c>
      <c r="D247" s="351">
        <v>45101</v>
      </c>
      <c r="E247" s="352"/>
      <c r="F247" s="352">
        <v>6</v>
      </c>
      <c r="G247" s="428" t="s">
        <v>325</v>
      </c>
      <c r="H247" s="350" t="s">
        <v>683</v>
      </c>
      <c r="I247" s="350" t="s">
        <v>393</v>
      </c>
      <c r="J247" s="556">
        <v>471500</v>
      </c>
      <c r="K247" s="350" t="s">
        <v>394</v>
      </c>
      <c r="L247" s="353">
        <v>2801.6</v>
      </c>
      <c r="M247" s="375">
        <f t="shared" si="154"/>
        <v>168.29668760708168</v>
      </c>
      <c r="N247" s="354" t="s">
        <v>395</v>
      </c>
      <c r="O247" s="354">
        <v>0</v>
      </c>
      <c r="P247" s="374">
        <f t="shared" si="145"/>
        <v>10.604060387044056</v>
      </c>
      <c r="Q247" s="354">
        <f t="shared" si="155"/>
        <v>1.0001246617563802</v>
      </c>
      <c r="R247" s="354">
        <f t="shared" si="169"/>
        <v>1.6859192957488547</v>
      </c>
      <c r="S247" s="354">
        <f t="shared" si="170"/>
        <v>1.5017943339774995</v>
      </c>
      <c r="T247" s="354">
        <f t="shared" si="171"/>
        <v>6.4087301985350162</v>
      </c>
      <c r="U247" s="374">
        <f t="shared" si="156"/>
        <v>42.558695407535573</v>
      </c>
      <c r="V247" s="354">
        <f t="shared" si="172"/>
        <v>1.1265591458208726</v>
      </c>
      <c r="W247" s="354">
        <f t="shared" si="173"/>
        <v>38.429265744010557</v>
      </c>
      <c r="X247" s="354">
        <f t="shared" si="166"/>
        <v>3.002870517704145</v>
      </c>
      <c r="Y247" s="374">
        <f t="shared" si="148"/>
        <v>6.2390396631767642</v>
      </c>
      <c r="Z247" s="354">
        <f t="shared" si="174"/>
        <v>3.2184711659704623</v>
      </c>
      <c r="AA247" s="354">
        <f t="shared" si="167"/>
        <v>3.0205684972063014</v>
      </c>
      <c r="AB247" s="374">
        <f t="shared" si="149"/>
        <v>34.086343225140247</v>
      </c>
      <c r="AC247" s="354">
        <f t="shared" si="175"/>
        <v>9.6734512435842621</v>
      </c>
      <c r="AD247" s="354">
        <f t="shared" si="176"/>
        <v>21.056954568794488</v>
      </c>
      <c r="AE247" s="354">
        <f t="shared" si="177"/>
        <v>3.3559374127614978</v>
      </c>
      <c r="AF247" s="374">
        <f t="shared" si="150"/>
        <v>27.280978150374484</v>
      </c>
      <c r="AG247" s="354">
        <f t="shared" si="178"/>
        <v>1.7532584989828361</v>
      </c>
      <c r="AH247" s="354">
        <f t="shared" si="179"/>
        <v>8.8213483233157159</v>
      </c>
      <c r="AI247" s="354">
        <f t="shared" si="159"/>
        <v>0</v>
      </c>
      <c r="AJ247" s="354">
        <f t="shared" si="160"/>
        <v>16.706371328075932</v>
      </c>
      <c r="AK247" s="374">
        <f t="shared" si="151"/>
        <v>18.018896213831493</v>
      </c>
      <c r="AL247" s="354">
        <f t="shared" si="180"/>
        <v>5.1625333747625923</v>
      </c>
      <c r="AM247" s="354">
        <f t="shared" si="181"/>
        <v>12.176156856995791</v>
      </c>
      <c r="AN247" s="354">
        <f t="shared" si="182"/>
        <v>0.68020598207311012</v>
      </c>
      <c r="AO247" s="374">
        <f t="shared" si="152"/>
        <v>10.448170136403963</v>
      </c>
      <c r="AP247" s="354">
        <f t="shared" si="183"/>
        <v>2.395875309990489</v>
      </c>
      <c r="AQ247" s="354">
        <f t="shared" si="161"/>
        <v>8.0522948264134744</v>
      </c>
      <c r="AR247" s="374">
        <f t="shared" si="162"/>
        <v>19.060504423575093</v>
      </c>
      <c r="AS247" s="354">
        <f t="shared" si="163"/>
        <v>8.2595636352250672</v>
      </c>
      <c r="AT247" s="354">
        <f t="shared" si="184"/>
        <v>10.800940788350028</v>
      </c>
      <c r="AU247" s="355" t="s">
        <v>396</v>
      </c>
      <c r="AV247" s="354" t="s">
        <v>345</v>
      </c>
      <c r="AW247" s="353">
        <v>0</v>
      </c>
      <c r="AX247" s="353">
        <v>0</v>
      </c>
      <c r="AY247" s="353">
        <v>0</v>
      </c>
      <c r="AZ247" s="353">
        <v>0</v>
      </c>
      <c r="BA247" s="353">
        <v>0</v>
      </c>
      <c r="BB247" s="353">
        <v>0</v>
      </c>
    </row>
    <row r="248" spans="1:54" x14ac:dyDescent="0.25">
      <c r="A248" s="348" t="s">
        <v>684</v>
      </c>
      <c r="B248" s="379">
        <v>6</v>
      </c>
      <c r="C248" s="380">
        <v>45107</v>
      </c>
      <c r="D248" s="351">
        <v>45107</v>
      </c>
      <c r="E248" s="352"/>
      <c r="F248" s="352">
        <v>6</v>
      </c>
      <c r="G248" s="428" t="s">
        <v>301</v>
      </c>
      <c r="H248" s="350" t="s">
        <v>685</v>
      </c>
      <c r="I248" s="350" t="s">
        <v>393</v>
      </c>
      <c r="J248" s="556">
        <v>1318589</v>
      </c>
      <c r="K248" s="350" t="s">
        <v>394</v>
      </c>
      <c r="L248" s="353">
        <v>2801.6</v>
      </c>
      <c r="M248" s="375">
        <f t="shared" si="154"/>
        <v>470.65569674471732</v>
      </c>
      <c r="N248" s="354" t="s">
        <v>395</v>
      </c>
      <c r="O248" s="354">
        <v>0</v>
      </c>
      <c r="P248" s="374">
        <f t="shared" si="145"/>
        <v>29.655137606982045</v>
      </c>
      <c r="Q248" s="354">
        <f t="shared" si="155"/>
        <v>2.7969318719420651</v>
      </c>
      <c r="R248" s="354">
        <f t="shared" si="169"/>
        <v>4.7148136548508726</v>
      </c>
      <c r="S248" s="354">
        <f t="shared" si="170"/>
        <v>4.1998928717816693</v>
      </c>
      <c r="T248" s="354">
        <f t="shared" si="171"/>
        <v>17.922547494710685</v>
      </c>
      <c r="U248" s="374">
        <f t="shared" si="156"/>
        <v>119.01893450419283</v>
      </c>
      <c r="V248" s="354">
        <f t="shared" si="172"/>
        <v>3.1505164316623508</v>
      </c>
      <c r="W248" s="354">
        <f t="shared" si="173"/>
        <v>107.47064069592605</v>
      </c>
      <c r="X248" s="354">
        <f t="shared" si="166"/>
        <v>8.3977773766044344</v>
      </c>
      <c r="Y248" s="374">
        <f t="shared" si="148"/>
        <v>17.447993786699016</v>
      </c>
      <c r="Z248" s="354">
        <f t="shared" si="174"/>
        <v>9.0007225371491533</v>
      </c>
      <c r="AA248" s="354">
        <f t="shared" si="167"/>
        <v>8.4472712495498605</v>
      </c>
      <c r="AB248" s="374">
        <f t="shared" si="149"/>
        <v>95.325296345481348</v>
      </c>
      <c r="AC248" s="354">
        <f t="shared" si="175"/>
        <v>27.052611668773128</v>
      </c>
      <c r="AD248" s="354">
        <f t="shared" si="176"/>
        <v>58.887526337035325</v>
      </c>
      <c r="AE248" s="354">
        <f t="shared" si="177"/>
        <v>9.3851583396728966</v>
      </c>
      <c r="AF248" s="374">
        <f t="shared" si="150"/>
        <v>76.293526401535814</v>
      </c>
      <c r="AG248" s="354">
        <f t="shared" si="178"/>
        <v>4.9031333423441747</v>
      </c>
      <c r="AH248" s="354">
        <f t="shared" si="179"/>
        <v>24.669634918966164</v>
      </c>
      <c r="AI248" s="354">
        <f t="shared" si="159"/>
        <v>0</v>
      </c>
      <c r="AJ248" s="354">
        <f t="shared" si="160"/>
        <v>46.720758140225485</v>
      </c>
      <c r="AK248" s="374">
        <f t="shared" si="151"/>
        <v>50.391343244326308</v>
      </c>
      <c r="AL248" s="354">
        <f t="shared" si="180"/>
        <v>14.437454337422761</v>
      </c>
      <c r="AM248" s="354">
        <f t="shared" si="181"/>
        <v>34.051636254314367</v>
      </c>
      <c r="AN248" s="354">
        <f t="shared" si="182"/>
        <v>1.9022526525891836</v>
      </c>
      <c r="AO248" s="374">
        <f t="shared" si="152"/>
        <v>29.219177543988895</v>
      </c>
      <c r="AP248" s="354">
        <f t="shared" si="183"/>
        <v>6.7002647489396576</v>
      </c>
      <c r="AQ248" s="354">
        <f t="shared" si="161"/>
        <v>22.518912795049239</v>
      </c>
      <c r="AR248" s="374">
        <f t="shared" si="162"/>
        <v>53.30428731151104</v>
      </c>
      <c r="AS248" s="354">
        <f t="shared" si="163"/>
        <v>23.09855727297515</v>
      </c>
      <c r="AT248" s="354">
        <f t="shared" si="184"/>
        <v>30.20573003853589</v>
      </c>
      <c r="AU248" s="355" t="s">
        <v>396</v>
      </c>
      <c r="AV248" s="354" t="s">
        <v>345</v>
      </c>
      <c r="AW248" s="353">
        <v>0</v>
      </c>
      <c r="AX248" s="353">
        <v>0</v>
      </c>
      <c r="AY248" s="353">
        <v>0</v>
      </c>
      <c r="AZ248" s="353">
        <v>0</v>
      </c>
      <c r="BA248" s="353">
        <v>0</v>
      </c>
      <c r="BB248" s="353">
        <v>0</v>
      </c>
    </row>
    <row r="249" spans="1:54" x14ac:dyDescent="0.25">
      <c r="A249" s="348" t="s">
        <v>684</v>
      </c>
      <c r="B249" s="379">
        <v>6</v>
      </c>
      <c r="C249" s="380">
        <v>45107</v>
      </c>
      <c r="D249" s="351">
        <v>45107</v>
      </c>
      <c r="E249" s="352"/>
      <c r="F249" s="352">
        <v>6</v>
      </c>
      <c r="G249" s="428" t="s">
        <v>323</v>
      </c>
      <c r="H249" s="350" t="s">
        <v>686</v>
      </c>
      <c r="I249" s="350" t="s">
        <v>393</v>
      </c>
      <c r="J249" s="556">
        <v>133677</v>
      </c>
      <c r="K249" s="350" t="s">
        <v>394</v>
      </c>
      <c r="L249" s="353">
        <v>2801.6</v>
      </c>
      <c r="M249" s="375">
        <f t="shared" si="154"/>
        <v>47.714520274129072</v>
      </c>
      <c r="N249" s="354" t="s">
        <v>395</v>
      </c>
      <c r="O249" s="354">
        <v>0</v>
      </c>
      <c r="P249" s="374">
        <f t="shared" si="145"/>
        <v>3.0064029275904312</v>
      </c>
      <c r="Q249" s="354">
        <f t="shared" si="155"/>
        <v>0.28354965940531845</v>
      </c>
      <c r="R249" s="354">
        <f t="shared" si="169"/>
        <v>0.47798225598689215</v>
      </c>
      <c r="S249" s="354">
        <f t="shared" si="170"/>
        <v>0.42578019338941719</v>
      </c>
      <c r="T249" s="354">
        <f t="shared" si="171"/>
        <v>1.8169667587477527</v>
      </c>
      <c r="U249" s="374">
        <f t="shared" si="156"/>
        <v>12.065999418861363</v>
      </c>
      <c r="V249" s="354">
        <f t="shared" si="172"/>
        <v>0.31939564567528478</v>
      </c>
      <c r="W249" s="354">
        <f t="shared" si="173"/>
        <v>10.89524699228441</v>
      </c>
      <c r="X249" s="354">
        <f t="shared" si="166"/>
        <v>0.85135678090166911</v>
      </c>
      <c r="Y249" s="374">
        <f t="shared" si="148"/>
        <v>1.7688570626818245</v>
      </c>
      <c r="Z249" s="354">
        <f t="shared" si="174"/>
        <v>0.91248265122679428</v>
      </c>
      <c r="AA249" s="354">
        <f t="shared" si="167"/>
        <v>0.85637441145503013</v>
      </c>
      <c r="AB249" s="374">
        <f t="shared" si="149"/>
        <v>9.6639662848506322</v>
      </c>
      <c r="AC249" s="354">
        <f t="shared" si="175"/>
        <v>2.7425619128072398</v>
      </c>
      <c r="AD249" s="354">
        <f t="shared" si="176"/>
        <v>5.9699480718828015</v>
      </c>
      <c r="AE249" s="354">
        <f t="shared" si="177"/>
        <v>0.95145630016059124</v>
      </c>
      <c r="AF249" s="374">
        <f t="shared" si="150"/>
        <v>7.7345478604615261</v>
      </c>
      <c r="AG249" s="354">
        <f t="shared" si="178"/>
        <v>0.49707388413261622</v>
      </c>
      <c r="AH249" s="354">
        <f t="shared" si="179"/>
        <v>2.5009785361948564</v>
      </c>
      <c r="AI249" s="354">
        <f t="shared" si="159"/>
        <v>0</v>
      </c>
      <c r="AJ249" s="354">
        <f t="shared" si="160"/>
        <v>4.7364954401340533</v>
      </c>
      <c r="AK249" s="374">
        <f t="shared" si="151"/>
        <v>5.1086150353687216</v>
      </c>
      <c r="AL249" s="354">
        <f t="shared" si="180"/>
        <v>1.4636521186386828</v>
      </c>
      <c r="AM249" s="354">
        <f t="shared" si="181"/>
        <v>3.4521147829748169</v>
      </c>
      <c r="AN249" s="354">
        <f t="shared" si="182"/>
        <v>0.19284813375522189</v>
      </c>
      <c r="AO249" s="374">
        <f t="shared" si="152"/>
        <v>2.9622058098071524</v>
      </c>
      <c r="AP249" s="354">
        <f t="shared" si="183"/>
        <v>0.67926494976372975</v>
      </c>
      <c r="AQ249" s="354">
        <f t="shared" si="161"/>
        <v>2.2829408600434227</v>
      </c>
      <c r="AR249" s="374">
        <f t="shared" si="162"/>
        <v>5.4039258745074177</v>
      </c>
      <c r="AS249" s="354">
        <f t="shared" si="163"/>
        <v>2.3417045346044136</v>
      </c>
      <c r="AT249" s="354">
        <f t="shared" si="184"/>
        <v>3.062221339903004</v>
      </c>
      <c r="AU249" s="355" t="s">
        <v>396</v>
      </c>
      <c r="AV249" s="354" t="s">
        <v>345</v>
      </c>
      <c r="AW249" s="353">
        <v>0</v>
      </c>
      <c r="AX249" s="353">
        <v>0</v>
      </c>
      <c r="AY249" s="353">
        <v>0</v>
      </c>
      <c r="AZ249" s="353">
        <v>0</v>
      </c>
      <c r="BA249" s="353">
        <v>0</v>
      </c>
      <c r="BB249" s="353">
        <v>0</v>
      </c>
    </row>
    <row r="250" spans="1:54" x14ac:dyDescent="0.25">
      <c r="A250" s="348" t="s">
        <v>684</v>
      </c>
      <c r="B250" s="379">
        <v>6</v>
      </c>
      <c r="C250" s="380">
        <v>45107</v>
      </c>
      <c r="D250" s="351">
        <v>45107</v>
      </c>
      <c r="E250" s="352"/>
      <c r="F250" s="352">
        <v>6</v>
      </c>
      <c r="G250" s="428" t="s">
        <v>300</v>
      </c>
      <c r="H250" s="350" t="s">
        <v>687</v>
      </c>
      <c r="I250" s="350" t="s">
        <v>393</v>
      </c>
      <c r="J250" s="556">
        <v>295714</v>
      </c>
      <c r="K250" s="350" t="s">
        <v>394</v>
      </c>
      <c r="L250" s="353">
        <v>2801.6</v>
      </c>
      <c r="M250" s="375">
        <f t="shared" si="154"/>
        <v>105.55182752712736</v>
      </c>
      <c r="N250" s="354" t="s">
        <v>395</v>
      </c>
      <c r="O250" s="354">
        <v>0</v>
      </c>
      <c r="P250" s="374">
        <f t="shared" si="145"/>
        <v>6.6506237821725254</v>
      </c>
      <c r="Q250" s="354">
        <f t="shared" si="155"/>
        <v>0.62725527937778625</v>
      </c>
      <c r="R250" s="354">
        <f t="shared" si="169"/>
        <v>1.0573699652663346</v>
      </c>
      <c r="S250" s="354">
        <f t="shared" si="170"/>
        <v>0.94189100673981396</v>
      </c>
      <c r="T250" s="354">
        <f t="shared" si="171"/>
        <v>4.0194087845802411</v>
      </c>
      <c r="U250" s="374">
        <f t="shared" si="156"/>
        <v>26.691838926286266</v>
      </c>
      <c r="V250" s="354">
        <f t="shared" si="172"/>
        <v>0.70655209172274336</v>
      </c>
      <c r="W250" s="354">
        <f t="shared" si="173"/>
        <v>24.101955228471557</v>
      </c>
      <c r="X250" s="354">
        <f t="shared" si="166"/>
        <v>1.8833316060919694</v>
      </c>
      <c r="Y250" s="374">
        <f t="shared" si="148"/>
        <v>3.9129827676705271</v>
      </c>
      <c r="Z250" s="354">
        <f t="shared" si="174"/>
        <v>2.0185513942180049</v>
      </c>
      <c r="AA250" s="354">
        <f t="shared" si="167"/>
        <v>1.894431373452522</v>
      </c>
      <c r="AB250" s="374">
        <f t="shared" si="149"/>
        <v>21.378173701970567</v>
      </c>
      <c r="AC250" s="354">
        <f t="shared" si="175"/>
        <v>6.0669670435742873</v>
      </c>
      <c r="AD250" s="354">
        <f t="shared" si="176"/>
        <v>13.206439582940598</v>
      </c>
      <c r="AE250" s="354">
        <f t="shared" si="177"/>
        <v>2.1047670754556806</v>
      </c>
      <c r="AF250" s="374">
        <f t="shared" si="150"/>
        <v>17.110004608186298</v>
      </c>
      <c r="AG250" s="354">
        <f t="shared" si="178"/>
        <v>1.0996035710884631</v>
      </c>
      <c r="AH250" s="354">
        <f t="shared" si="179"/>
        <v>5.532547609927855</v>
      </c>
      <c r="AI250" s="354">
        <f t="shared" si="159"/>
        <v>0</v>
      </c>
      <c r="AJ250" s="354">
        <f t="shared" si="160"/>
        <v>10.477853427169981</v>
      </c>
      <c r="AK250" s="374">
        <f t="shared" si="151"/>
        <v>11.301038971319121</v>
      </c>
      <c r="AL250" s="354">
        <f t="shared" si="180"/>
        <v>3.2378226816215165</v>
      </c>
      <c r="AM250" s="354">
        <f t="shared" si="181"/>
        <v>7.6366066782813427</v>
      </c>
      <c r="AN250" s="354">
        <f t="shared" si="182"/>
        <v>0.42660961141626225</v>
      </c>
      <c r="AO250" s="374">
        <f t="shared" si="152"/>
        <v>6.5528529877339583</v>
      </c>
      <c r="AP250" s="354">
        <f t="shared" si="183"/>
        <v>1.5026381154157529</v>
      </c>
      <c r="AQ250" s="354">
        <f t="shared" si="161"/>
        <v>5.0502148723182057</v>
      </c>
      <c r="AR250" s="374">
        <f t="shared" si="162"/>
        <v>11.954311781788089</v>
      </c>
      <c r="AS250" s="354">
        <f t="shared" si="163"/>
        <v>5.1802091215841886</v>
      </c>
      <c r="AT250" s="354">
        <f t="shared" si="184"/>
        <v>6.7741026602039014</v>
      </c>
      <c r="AU250" s="355" t="s">
        <v>396</v>
      </c>
      <c r="AV250" s="354" t="s">
        <v>345</v>
      </c>
      <c r="AW250" s="353">
        <v>0</v>
      </c>
      <c r="AX250" s="353">
        <v>0</v>
      </c>
      <c r="AY250" s="353">
        <v>0</v>
      </c>
      <c r="AZ250" s="353">
        <v>0</v>
      </c>
      <c r="BA250" s="353">
        <v>0</v>
      </c>
      <c r="BB250" s="353">
        <v>0</v>
      </c>
    </row>
    <row r="251" spans="1:54" x14ac:dyDescent="0.25">
      <c r="A251" s="348" t="s">
        <v>684</v>
      </c>
      <c r="B251" s="379">
        <v>6</v>
      </c>
      <c r="C251" s="380">
        <v>45107</v>
      </c>
      <c r="D251" s="351">
        <v>45107</v>
      </c>
      <c r="E251" s="352"/>
      <c r="F251" s="352">
        <v>6</v>
      </c>
      <c r="G251" s="428" t="s">
        <v>305</v>
      </c>
      <c r="H251" s="350" t="s">
        <v>688</v>
      </c>
      <c r="I251" s="350" t="s">
        <v>393</v>
      </c>
      <c r="J251" s="556">
        <v>26424</v>
      </c>
      <c r="K251" s="350" t="s">
        <v>394</v>
      </c>
      <c r="L251" s="353">
        <v>2801.6</v>
      </c>
      <c r="M251" s="375">
        <f t="shared" si="154"/>
        <v>9.4317532838378071</v>
      </c>
      <c r="N251" s="354" t="s">
        <v>395</v>
      </c>
      <c r="O251" s="354">
        <v>0</v>
      </c>
      <c r="P251" s="374">
        <f t="shared" si="145"/>
        <v>0.59427718275133001</v>
      </c>
      <c r="Q251" s="354">
        <f t="shared" si="155"/>
        <v>5.604940416171917E-2</v>
      </c>
      <c r="R251" s="354">
        <f t="shared" si="169"/>
        <v>9.448299357554131E-2</v>
      </c>
      <c r="S251" s="354">
        <f t="shared" si="170"/>
        <v>8.4164185537691297E-2</v>
      </c>
      <c r="T251" s="354">
        <f t="shared" si="171"/>
        <v>0.35916073545299948</v>
      </c>
      <c r="U251" s="374">
        <f t="shared" si="156"/>
        <v>2.3850921897109649</v>
      </c>
      <c r="V251" s="354">
        <f t="shared" si="172"/>
        <v>6.3135098343946414E-2</v>
      </c>
      <c r="W251" s="354">
        <f t="shared" si="173"/>
        <v>2.1536689671680489</v>
      </c>
      <c r="X251" s="354">
        <f t="shared" si="166"/>
        <v>0.16828812419896994</v>
      </c>
      <c r="Y251" s="374">
        <f t="shared" si="148"/>
        <v>0.34965086757111941</v>
      </c>
      <c r="Z251" s="354">
        <f t="shared" si="174"/>
        <v>0.18037090581039977</v>
      </c>
      <c r="AA251" s="354">
        <f t="shared" si="167"/>
        <v>0.1692799617607196</v>
      </c>
      <c r="AB251" s="374">
        <f t="shared" si="149"/>
        <v>1.9102810888252511</v>
      </c>
      <c r="AC251" s="354">
        <f t="shared" si="175"/>
        <v>0.54212359631064799</v>
      </c>
      <c r="AD251" s="354">
        <f t="shared" si="176"/>
        <v>1.1800826458660139</v>
      </c>
      <c r="AE251" s="354">
        <f t="shared" si="177"/>
        <v>0.1880748466485892</v>
      </c>
      <c r="AF251" s="374">
        <f t="shared" si="150"/>
        <v>1.5288919759183357</v>
      </c>
      <c r="AG251" s="354">
        <f t="shared" si="178"/>
        <v>9.8256845338541787E-2</v>
      </c>
      <c r="AH251" s="354">
        <f t="shared" si="179"/>
        <v>0.49436968843116535</v>
      </c>
      <c r="AI251" s="354">
        <f t="shared" si="159"/>
        <v>0</v>
      </c>
      <c r="AJ251" s="354">
        <f t="shared" si="160"/>
        <v>0.93626544214862861</v>
      </c>
      <c r="AK251" s="374">
        <f t="shared" si="151"/>
        <v>1.0098225101893603</v>
      </c>
      <c r="AL251" s="354">
        <f t="shared" si="180"/>
        <v>0.28932085237481814</v>
      </c>
      <c r="AM251" s="354">
        <f t="shared" si="181"/>
        <v>0.68238126996661042</v>
      </c>
      <c r="AN251" s="354">
        <f t="shared" si="182"/>
        <v>3.8120387847931834E-2</v>
      </c>
      <c r="AO251" s="374">
        <f t="shared" si="152"/>
        <v>0.58554071619159764</v>
      </c>
      <c r="AP251" s="354">
        <f t="shared" si="183"/>
        <v>0.13427064515628565</v>
      </c>
      <c r="AQ251" s="354">
        <f t="shared" si="161"/>
        <v>0.45127007103531203</v>
      </c>
      <c r="AR251" s="374">
        <f t="shared" si="162"/>
        <v>1.0681967526798477</v>
      </c>
      <c r="AS251" s="354">
        <f t="shared" si="163"/>
        <v>0.46288591621884861</v>
      </c>
      <c r="AT251" s="354">
        <f t="shared" si="184"/>
        <v>0.60531083646099915</v>
      </c>
      <c r="AU251" s="355" t="s">
        <v>396</v>
      </c>
      <c r="AV251" s="354" t="s">
        <v>345</v>
      </c>
      <c r="AW251" s="353">
        <v>0</v>
      </c>
      <c r="AX251" s="353">
        <v>0</v>
      </c>
      <c r="AY251" s="353">
        <v>0</v>
      </c>
      <c r="AZ251" s="353">
        <v>0</v>
      </c>
      <c r="BA251" s="353">
        <v>0</v>
      </c>
      <c r="BB251" s="353">
        <v>0</v>
      </c>
    </row>
    <row r="252" spans="1:54" x14ac:dyDescent="0.25">
      <c r="A252" s="348" t="s">
        <v>684</v>
      </c>
      <c r="B252" s="379">
        <v>6</v>
      </c>
      <c r="C252" s="380">
        <v>45107</v>
      </c>
      <c r="D252" s="351">
        <v>45107</v>
      </c>
      <c r="E252" s="352"/>
      <c r="F252" s="352">
        <v>6</v>
      </c>
      <c r="G252" s="428" t="s">
        <v>304</v>
      </c>
      <c r="H252" s="350" t="s">
        <v>689</v>
      </c>
      <c r="I252" s="350" t="s">
        <v>393</v>
      </c>
      <c r="J252" s="556">
        <v>124619</v>
      </c>
      <c r="K252" s="350" t="s">
        <v>394</v>
      </c>
      <c r="L252" s="353">
        <v>2801.6</v>
      </c>
      <c r="M252" s="375">
        <f t="shared" si="154"/>
        <v>44.48136778983438</v>
      </c>
      <c r="N252" s="354" t="s">
        <v>395</v>
      </c>
      <c r="O252" s="354">
        <v>0</v>
      </c>
      <c r="P252" s="374">
        <f t="shared" si="145"/>
        <v>2.8026880198792008</v>
      </c>
      <c r="Q252" s="354">
        <f t="shared" si="155"/>
        <v>0.26433623589272182</v>
      </c>
      <c r="R252" s="354">
        <f t="shared" si="169"/>
        <v>0.44559401212497668</v>
      </c>
      <c r="S252" s="354">
        <f t="shared" si="170"/>
        <v>0.39692917943996187</v>
      </c>
      <c r="T252" s="354">
        <f t="shared" si="171"/>
        <v>1.6938484594087702</v>
      </c>
      <c r="U252" s="374">
        <f t="shared" si="156"/>
        <v>11.248403102845547</v>
      </c>
      <c r="V252" s="354">
        <f t="shared" si="172"/>
        <v>0.29775328566924986</v>
      </c>
      <c r="W252" s="354">
        <f t="shared" si="173"/>
        <v>10.156981267768508</v>
      </c>
      <c r="X252" s="354">
        <f t="shared" si="166"/>
        <v>0.79366854940778964</v>
      </c>
      <c r="Y252" s="374">
        <f t="shared" si="148"/>
        <v>1.6489986930761931</v>
      </c>
      <c r="Z252" s="354">
        <f t="shared" si="174"/>
        <v>0.85065250950598725</v>
      </c>
      <c r="AA252" s="354">
        <f t="shared" si="167"/>
        <v>0.7983461835702057</v>
      </c>
      <c r="AB252" s="374">
        <f t="shared" si="149"/>
        <v>9.009132569191415</v>
      </c>
      <c r="AC252" s="354">
        <f t="shared" si="175"/>
        <v>2.5567249639962402</v>
      </c>
      <c r="AD252" s="354">
        <f t="shared" si="176"/>
        <v>5.5654223147584307</v>
      </c>
      <c r="AE252" s="354">
        <f t="shared" si="177"/>
        <v>0.88698529043674457</v>
      </c>
      <c r="AF252" s="374">
        <f t="shared" si="150"/>
        <v>7.2104522081050213</v>
      </c>
      <c r="AG252" s="354">
        <f t="shared" si="178"/>
        <v>0.46339198490931505</v>
      </c>
      <c r="AH252" s="354">
        <f t="shared" si="179"/>
        <v>2.3315113609825686</v>
      </c>
      <c r="AI252" s="354">
        <f t="shared" si="159"/>
        <v>0</v>
      </c>
      <c r="AJ252" s="354">
        <f t="shared" si="160"/>
        <v>4.4155488622131376</v>
      </c>
      <c r="AK252" s="374">
        <f t="shared" si="151"/>
        <v>4.7624535042873095</v>
      </c>
      <c r="AL252" s="354">
        <f t="shared" si="180"/>
        <v>1.3644745421623317</v>
      </c>
      <c r="AM252" s="354">
        <f t="shared" si="181"/>
        <v>3.2181982849670376</v>
      </c>
      <c r="AN252" s="354">
        <f t="shared" si="182"/>
        <v>0.17978067715794038</v>
      </c>
      <c r="AO252" s="374">
        <f t="shared" si="152"/>
        <v>2.7614857141644227</v>
      </c>
      <c r="AP252" s="354">
        <f t="shared" si="183"/>
        <v>0.63323772058473959</v>
      </c>
      <c r="AQ252" s="354">
        <f t="shared" si="161"/>
        <v>2.128247993579683</v>
      </c>
      <c r="AR252" s="374">
        <f t="shared" si="162"/>
        <v>5.0377539782852683</v>
      </c>
      <c r="AS252" s="354">
        <f t="shared" si="163"/>
        <v>2.1830298211200687</v>
      </c>
      <c r="AT252" s="354">
        <f t="shared" si="184"/>
        <v>2.8547241571652</v>
      </c>
      <c r="AU252" s="355" t="s">
        <v>396</v>
      </c>
      <c r="AV252" s="354" t="s">
        <v>345</v>
      </c>
      <c r="AW252" s="353">
        <v>0</v>
      </c>
      <c r="AX252" s="353">
        <v>0</v>
      </c>
      <c r="AY252" s="353">
        <v>0</v>
      </c>
      <c r="AZ252" s="353">
        <v>0</v>
      </c>
      <c r="BA252" s="353">
        <v>0</v>
      </c>
      <c r="BB252" s="353">
        <v>0</v>
      </c>
    </row>
    <row r="253" spans="1:54" x14ac:dyDescent="0.25">
      <c r="A253" s="348" t="s">
        <v>684</v>
      </c>
      <c r="B253" s="379">
        <v>6</v>
      </c>
      <c r="C253" s="380">
        <v>45107</v>
      </c>
      <c r="D253" s="351">
        <v>45107</v>
      </c>
      <c r="E253" s="352"/>
      <c r="F253" s="352">
        <v>6</v>
      </c>
      <c r="G253" s="428" t="s">
        <v>303</v>
      </c>
      <c r="H253" s="350" t="s">
        <v>690</v>
      </c>
      <c r="I253" s="350" t="s">
        <v>393</v>
      </c>
      <c r="J253" s="556">
        <v>70817</v>
      </c>
      <c r="K253" s="350" t="s">
        <v>394</v>
      </c>
      <c r="L253" s="353">
        <v>2801.6</v>
      </c>
      <c r="M253" s="375">
        <f t="shared" si="154"/>
        <v>25.277341519131927</v>
      </c>
      <c r="N253" s="354" t="s">
        <v>395</v>
      </c>
      <c r="O253" s="354">
        <v>0</v>
      </c>
      <c r="P253" s="374">
        <f t="shared" si="145"/>
        <v>1.592678143010178</v>
      </c>
      <c r="Q253" s="354">
        <f t="shared" si="155"/>
        <v>0.1502138455389217</v>
      </c>
      <c r="R253" s="354">
        <f t="shared" si="169"/>
        <v>0.25321685422491336</v>
      </c>
      <c r="S253" s="354">
        <f t="shared" si="170"/>
        <v>0.22556218313740103</v>
      </c>
      <c r="T253" s="354">
        <f t="shared" si="171"/>
        <v>0.96256001372142996</v>
      </c>
      <c r="U253" s="374">
        <f t="shared" si="156"/>
        <v>6.392108446819611</v>
      </c>
      <c r="V253" s="354">
        <f t="shared" si="172"/>
        <v>0.16920368829182764</v>
      </c>
      <c r="W253" s="354">
        <f t="shared" si="173"/>
        <v>5.7718882549174877</v>
      </c>
      <c r="X253" s="354">
        <f t="shared" si="166"/>
        <v>0.45101650361029572</v>
      </c>
      <c r="Y253" s="374">
        <f t="shared" si="148"/>
        <v>0.93707332306932956</v>
      </c>
      <c r="Z253" s="354">
        <f t="shared" si="174"/>
        <v>0.48339866926941727</v>
      </c>
      <c r="AA253" s="354">
        <f t="shared" si="167"/>
        <v>0.45367465379991223</v>
      </c>
      <c r="AB253" s="374">
        <f t="shared" si="149"/>
        <v>5.1196024775710649</v>
      </c>
      <c r="AC253" s="354">
        <f t="shared" si="175"/>
        <v>1.4529051892193146</v>
      </c>
      <c r="AD253" s="354">
        <f t="shared" si="176"/>
        <v>3.1626518593813771</v>
      </c>
      <c r="AE253" s="354">
        <f t="shared" si="177"/>
        <v>0.5040454289703733</v>
      </c>
      <c r="AF253" s="374">
        <f t="shared" si="150"/>
        <v>4.0974698402440506</v>
      </c>
      <c r="AG253" s="354">
        <f t="shared" si="178"/>
        <v>0.26333087406673916</v>
      </c>
      <c r="AH253" s="354">
        <f t="shared" si="179"/>
        <v>1.3249234871945899</v>
      </c>
      <c r="AI253" s="354">
        <f t="shared" si="159"/>
        <v>0</v>
      </c>
      <c r="AJ253" s="354">
        <f t="shared" si="160"/>
        <v>2.5092154789827221</v>
      </c>
      <c r="AK253" s="374">
        <f t="shared" si="151"/>
        <v>2.7063503142627887</v>
      </c>
      <c r="AL253" s="354">
        <f t="shared" si="180"/>
        <v>0.77538732979970848</v>
      </c>
      <c r="AM253" s="354">
        <f t="shared" si="181"/>
        <v>1.8287993640336606</v>
      </c>
      <c r="AN253" s="354">
        <f t="shared" si="182"/>
        <v>0.1021636204294198</v>
      </c>
      <c r="AO253" s="374">
        <f t="shared" si="152"/>
        <v>1.569264187804283</v>
      </c>
      <c r="AP253" s="354">
        <f t="shared" si="183"/>
        <v>0.35984878436393736</v>
      </c>
      <c r="AQ253" s="354">
        <f t="shared" si="161"/>
        <v>1.2094154034403457</v>
      </c>
      <c r="AR253" s="374">
        <f t="shared" si="162"/>
        <v>2.8627947863506198</v>
      </c>
      <c r="AS253" s="354">
        <f t="shared" si="163"/>
        <v>1.2405461674564866</v>
      </c>
      <c r="AT253" s="354">
        <f t="shared" si="184"/>
        <v>1.6222486188941332</v>
      </c>
      <c r="AU253" s="355" t="s">
        <v>396</v>
      </c>
      <c r="AV253" s="354" t="s">
        <v>345</v>
      </c>
      <c r="AW253" s="353">
        <v>0</v>
      </c>
      <c r="AX253" s="353">
        <v>0</v>
      </c>
      <c r="AY253" s="353">
        <v>0</v>
      </c>
      <c r="AZ253" s="353">
        <v>0</v>
      </c>
      <c r="BA253" s="353">
        <v>0</v>
      </c>
      <c r="BB253" s="353">
        <v>0</v>
      </c>
    </row>
    <row r="254" spans="1:54" x14ac:dyDescent="0.25">
      <c r="A254" s="348" t="s">
        <v>684</v>
      </c>
      <c r="B254" s="379">
        <v>6</v>
      </c>
      <c r="C254" s="380">
        <v>45107</v>
      </c>
      <c r="D254" s="351">
        <v>45107</v>
      </c>
      <c r="E254" s="352"/>
      <c r="F254" s="352">
        <v>6</v>
      </c>
      <c r="G254" s="428" t="s">
        <v>302</v>
      </c>
      <c r="H254" s="350" t="s">
        <v>691</v>
      </c>
      <c r="I254" s="350" t="s">
        <v>393</v>
      </c>
      <c r="J254" s="556">
        <v>295714</v>
      </c>
      <c r="K254" s="350" t="s">
        <v>394</v>
      </c>
      <c r="L254" s="353">
        <v>2801.6</v>
      </c>
      <c r="M254" s="375">
        <f t="shared" si="154"/>
        <v>105.55182752712736</v>
      </c>
      <c r="N254" s="354" t="s">
        <v>395</v>
      </c>
      <c r="O254" s="354">
        <v>0</v>
      </c>
      <c r="P254" s="374">
        <f t="shared" si="145"/>
        <v>6.6506237821725254</v>
      </c>
      <c r="Q254" s="354">
        <f t="shared" si="155"/>
        <v>0.62725527937778625</v>
      </c>
      <c r="R254" s="354">
        <f t="shared" si="169"/>
        <v>1.0573699652663346</v>
      </c>
      <c r="S254" s="354">
        <f t="shared" si="170"/>
        <v>0.94189100673981396</v>
      </c>
      <c r="T254" s="354">
        <f t="shared" si="171"/>
        <v>4.0194087845802411</v>
      </c>
      <c r="U254" s="374">
        <f t="shared" si="156"/>
        <v>26.691838926286266</v>
      </c>
      <c r="V254" s="354">
        <f t="shared" si="172"/>
        <v>0.70655209172274336</v>
      </c>
      <c r="W254" s="354">
        <f t="shared" si="173"/>
        <v>24.101955228471557</v>
      </c>
      <c r="X254" s="354">
        <f>U254*$X$2</f>
        <v>1.8833316060919694</v>
      </c>
      <c r="Y254" s="374">
        <f t="shared" si="148"/>
        <v>3.9129827676705271</v>
      </c>
      <c r="Z254" s="354">
        <f t="shared" si="174"/>
        <v>2.0185513942180049</v>
      </c>
      <c r="AA254" s="354">
        <f t="shared" si="167"/>
        <v>1.894431373452522</v>
      </c>
      <c r="AB254" s="374">
        <f t="shared" si="149"/>
        <v>21.378173701970567</v>
      </c>
      <c r="AC254" s="354">
        <f t="shared" si="175"/>
        <v>6.0669670435742873</v>
      </c>
      <c r="AD254" s="354">
        <f t="shared" si="176"/>
        <v>13.206439582940598</v>
      </c>
      <c r="AE254" s="354">
        <f t="shared" si="177"/>
        <v>2.1047670754556806</v>
      </c>
      <c r="AF254" s="374">
        <f t="shared" si="150"/>
        <v>17.110004608186298</v>
      </c>
      <c r="AG254" s="354">
        <f t="shared" si="178"/>
        <v>1.0996035710884631</v>
      </c>
      <c r="AH254" s="354">
        <f t="shared" si="179"/>
        <v>5.532547609927855</v>
      </c>
      <c r="AI254" s="354">
        <f t="shared" si="159"/>
        <v>0</v>
      </c>
      <c r="AJ254" s="354">
        <f t="shared" si="160"/>
        <v>10.477853427169981</v>
      </c>
      <c r="AK254" s="374">
        <f t="shared" si="151"/>
        <v>11.301038971319121</v>
      </c>
      <c r="AL254" s="354">
        <f t="shared" si="180"/>
        <v>3.2378226816215165</v>
      </c>
      <c r="AM254" s="354">
        <f t="shared" si="181"/>
        <v>7.6366066782813427</v>
      </c>
      <c r="AN254" s="354">
        <f t="shared" si="182"/>
        <v>0.42660961141626225</v>
      </c>
      <c r="AO254" s="374">
        <f t="shared" si="152"/>
        <v>6.5528529877339583</v>
      </c>
      <c r="AP254" s="354">
        <f t="shared" si="183"/>
        <v>1.5026381154157529</v>
      </c>
      <c r="AQ254" s="354">
        <f t="shared" si="161"/>
        <v>5.0502148723182057</v>
      </c>
      <c r="AR254" s="374">
        <f t="shared" si="162"/>
        <v>11.954311781788089</v>
      </c>
      <c r="AS254" s="354">
        <f t="shared" si="163"/>
        <v>5.1802091215841886</v>
      </c>
      <c r="AT254" s="354">
        <f t="shared" si="184"/>
        <v>6.7741026602039014</v>
      </c>
      <c r="AU254" s="355" t="s">
        <v>396</v>
      </c>
      <c r="AV254" s="354" t="s">
        <v>345</v>
      </c>
      <c r="AW254" s="353">
        <v>0</v>
      </c>
      <c r="AX254" s="353">
        <v>0</v>
      </c>
      <c r="AY254" s="353">
        <v>0</v>
      </c>
      <c r="AZ254" s="353">
        <v>0</v>
      </c>
      <c r="BA254" s="353">
        <v>0</v>
      </c>
      <c r="BB254" s="353">
        <v>0</v>
      </c>
    </row>
    <row r="255" spans="1:54" x14ac:dyDescent="0.25">
      <c r="A255" s="348" t="s">
        <v>692</v>
      </c>
      <c r="B255" s="377">
        <v>7</v>
      </c>
      <c r="C255" s="380">
        <v>45107</v>
      </c>
      <c r="D255" s="351">
        <v>45107</v>
      </c>
      <c r="F255" s="353">
        <v>6</v>
      </c>
      <c r="G255" s="428" t="s">
        <v>325</v>
      </c>
      <c r="H255" s="350" t="s">
        <v>693</v>
      </c>
      <c r="I255" s="350" t="s">
        <v>393</v>
      </c>
      <c r="J255" s="556">
        <v>96000</v>
      </c>
      <c r="K255" s="350" t="s">
        <v>394</v>
      </c>
      <c r="L255" s="353">
        <v>2801.6</v>
      </c>
      <c r="M255" s="375">
        <f t="shared" si="154"/>
        <v>34.266133637921186</v>
      </c>
      <c r="N255" s="354" t="s">
        <v>395</v>
      </c>
      <c r="O255" s="354">
        <v>0</v>
      </c>
      <c r="P255" s="374">
        <f t="shared" si="145"/>
        <v>2.1590451689421619</v>
      </c>
      <c r="Q255" s="354">
        <f t="shared" si="155"/>
        <v>0.20363089613703605</v>
      </c>
      <c r="R255" s="354">
        <f t="shared" si="169"/>
        <v>0.3432624653062355</v>
      </c>
      <c r="S255" s="354">
        <f t="shared" si="170"/>
        <v>0.30577360776636259</v>
      </c>
      <c r="T255" s="354">
        <f t="shared" si="171"/>
        <v>1.3048528081852844</v>
      </c>
      <c r="U255" s="374">
        <f t="shared" si="156"/>
        <v>8.6651850670698085</v>
      </c>
      <c r="V255" s="354">
        <f t="shared" si="172"/>
        <v>0.22937365429226672</v>
      </c>
      <c r="W255" s="354">
        <f t="shared" si="173"/>
        <v>7.8244104165959989</v>
      </c>
      <c r="X255" s="354">
        <f t="shared" si="166"/>
        <v>0.61140099618154375</v>
      </c>
      <c r="Y255" s="374">
        <f t="shared" si="148"/>
        <v>1.2703028794591076</v>
      </c>
      <c r="Z255" s="354">
        <f t="shared" si="174"/>
        <v>0.65529847705867306</v>
      </c>
      <c r="AA255" s="354">
        <f t="shared" si="167"/>
        <v>0.61500440240043452</v>
      </c>
      <c r="AB255" s="374">
        <f t="shared" si="149"/>
        <v>6.940167443506815</v>
      </c>
      <c r="AC255" s="354">
        <f t="shared" si="175"/>
        <v>1.9695680156608464</v>
      </c>
      <c r="AD255" s="354">
        <f t="shared" si="176"/>
        <v>4.2873120649083152</v>
      </c>
      <c r="AE255" s="354">
        <f t="shared" si="177"/>
        <v>0.68328736293765369</v>
      </c>
      <c r="AF255" s="374">
        <f t="shared" si="150"/>
        <v>5.5545575873509012</v>
      </c>
      <c r="AG255" s="354">
        <f t="shared" si="178"/>
        <v>0.35697309841432073</v>
      </c>
      <c r="AH255" s="354">
        <f t="shared" si="179"/>
        <v>1.7960751623293927</v>
      </c>
      <c r="AI255" s="354">
        <f t="shared" si="159"/>
        <v>0</v>
      </c>
      <c r="AJ255" s="354">
        <f t="shared" si="160"/>
        <v>3.4015093266071883</v>
      </c>
      <c r="AK255" s="374">
        <f t="shared" si="151"/>
        <v>3.6687466310240149</v>
      </c>
      <c r="AL255" s="354">
        <f t="shared" si="180"/>
        <v>1.0511202629421184</v>
      </c>
      <c r="AM255" s="354">
        <f t="shared" si="181"/>
        <v>2.4791326792610726</v>
      </c>
      <c r="AN255" s="354">
        <f t="shared" si="182"/>
        <v>0.13849368882082408</v>
      </c>
      <c r="AO255" s="374">
        <f t="shared" si="152"/>
        <v>2.1273050542837333</v>
      </c>
      <c r="AP255" s="354">
        <f t="shared" si="183"/>
        <v>0.48781342472764982</v>
      </c>
      <c r="AQ255" s="354">
        <f t="shared" si="161"/>
        <v>1.6394916295560835</v>
      </c>
      <c r="AR255" s="374">
        <f t="shared" si="162"/>
        <v>3.8808238062846416</v>
      </c>
      <c r="AS255" s="354">
        <f t="shared" si="163"/>
        <v>1.681692701975835</v>
      </c>
      <c r="AT255" s="354">
        <f t="shared" si="184"/>
        <v>2.1991311043088069</v>
      </c>
      <c r="AU255" s="355" t="s">
        <v>396</v>
      </c>
      <c r="AV255" s="354" t="s">
        <v>345</v>
      </c>
      <c r="AW255" s="353">
        <v>0</v>
      </c>
      <c r="AX255" s="353">
        <v>0</v>
      </c>
      <c r="AY255" s="353">
        <v>0</v>
      </c>
      <c r="AZ255" s="353">
        <v>0</v>
      </c>
      <c r="BA255" s="353">
        <v>0</v>
      </c>
      <c r="BB255" s="353">
        <v>0</v>
      </c>
    </row>
    <row r="256" spans="1:54" x14ac:dyDescent="0.25">
      <c r="A256" s="348" t="s">
        <v>694</v>
      </c>
      <c r="B256" s="377">
        <v>8</v>
      </c>
      <c r="C256" s="380">
        <v>45107</v>
      </c>
      <c r="D256" s="351">
        <v>45107</v>
      </c>
      <c r="F256" s="353">
        <v>6</v>
      </c>
      <c r="G256" s="428" t="s">
        <v>324</v>
      </c>
      <c r="H256" s="353" t="s">
        <v>816</v>
      </c>
      <c r="I256" s="350" t="s">
        <v>393</v>
      </c>
      <c r="J256" s="556">
        <v>117000</v>
      </c>
      <c r="K256" s="350" t="s">
        <v>394</v>
      </c>
      <c r="L256" s="353">
        <v>2801.6</v>
      </c>
      <c r="M256" s="375">
        <f t="shared" si="154"/>
        <v>41.761850371216447</v>
      </c>
      <c r="N256" s="354" t="s">
        <v>395</v>
      </c>
      <c r="O256" s="354">
        <v>0</v>
      </c>
      <c r="P256" s="374">
        <f t="shared" si="145"/>
        <v>2.6313362996482597</v>
      </c>
      <c r="Q256" s="354">
        <f t="shared" si="155"/>
        <v>0.24817515466701268</v>
      </c>
      <c r="R256" s="354">
        <f t="shared" si="169"/>
        <v>0.41835112959197451</v>
      </c>
      <c r="S256" s="354">
        <f t="shared" si="170"/>
        <v>0.37266158446525438</v>
      </c>
      <c r="T256" s="354">
        <f t="shared" si="171"/>
        <v>1.5902893599758152</v>
      </c>
      <c r="U256" s="374">
        <f t="shared" si="156"/>
        <v>10.560694300491329</v>
      </c>
      <c r="V256" s="354">
        <f t="shared" si="172"/>
        <v>0.27954914116870005</v>
      </c>
      <c r="W256" s="354">
        <f t="shared" si="173"/>
        <v>9.5360001952263733</v>
      </c>
      <c r="X256" s="354">
        <f t="shared" si="166"/>
        <v>0.74514496409625652</v>
      </c>
      <c r="Y256" s="374">
        <f t="shared" si="148"/>
        <v>1.5481816343407875</v>
      </c>
      <c r="Z256" s="354">
        <f t="shared" si="174"/>
        <v>0.79864501891525785</v>
      </c>
      <c r="AA256" s="354">
        <f t="shared" si="167"/>
        <v>0.74953661542552963</v>
      </c>
      <c r="AB256" s="374">
        <f t="shared" si="149"/>
        <v>8.4583290717739317</v>
      </c>
      <c r="AC256" s="354">
        <f t="shared" si="175"/>
        <v>2.4004110190866568</v>
      </c>
      <c r="AD256" s="354">
        <f t="shared" si="176"/>
        <v>5.2251615791070094</v>
      </c>
      <c r="AE256" s="354">
        <f t="shared" si="177"/>
        <v>0.8327564735802655</v>
      </c>
      <c r="AF256" s="374">
        <f t="shared" si="150"/>
        <v>6.7696170595839114</v>
      </c>
      <c r="AG256" s="354">
        <f t="shared" si="178"/>
        <v>0.43506096369245345</v>
      </c>
      <c r="AH256" s="354">
        <f t="shared" si="179"/>
        <v>2.1889666040889475</v>
      </c>
      <c r="AI256" s="354">
        <f t="shared" si="159"/>
        <v>0</v>
      </c>
      <c r="AJ256" s="354">
        <f t="shared" si="160"/>
        <v>4.1455894918025109</v>
      </c>
      <c r="AK256" s="374">
        <f t="shared" si="151"/>
        <v>4.4712849565605186</v>
      </c>
      <c r="AL256" s="354">
        <f t="shared" si="180"/>
        <v>1.2810528204607068</v>
      </c>
      <c r="AM256" s="354">
        <f t="shared" si="181"/>
        <v>3.0214429528494327</v>
      </c>
      <c r="AN256" s="354">
        <f t="shared" si="182"/>
        <v>0.16878918325037937</v>
      </c>
      <c r="AO256" s="374">
        <f t="shared" si="152"/>
        <v>2.5926530349083001</v>
      </c>
      <c r="AP256" s="354">
        <f t="shared" si="183"/>
        <v>0.59452261138682327</v>
      </c>
      <c r="AQ256" s="354">
        <f t="shared" si="161"/>
        <v>1.998130423521477</v>
      </c>
      <c r="AR256" s="374">
        <f t="shared" si="162"/>
        <v>4.7297540139094076</v>
      </c>
      <c r="AS256" s="354">
        <f t="shared" si="163"/>
        <v>2.0495629805330493</v>
      </c>
      <c r="AT256" s="354">
        <f t="shared" si="184"/>
        <v>2.6801910333763588</v>
      </c>
      <c r="AU256" s="355" t="s">
        <v>396</v>
      </c>
      <c r="AV256" s="354" t="s">
        <v>345</v>
      </c>
      <c r="AW256" s="353">
        <v>0</v>
      </c>
      <c r="AX256" s="353">
        <v>0</v>
      </c>
      <c r="AY256" s="353">
        <v>0</v>
      </c>
      <c r="AZ256" s="353">
        <v>0</v>
      </c>
      <c r="BA256" s="353">
        <v>0</v>
      </c>
      <c r="BB256" s="353">
        <v>0</v>
      </c>
    </row>
    <row r="257" spans="1:54" x14ac:dyDescent="0.25">
      <c r="A257" s="348" t="s">
        <v>696</v>
      </c>
      <c r="B257" s="377">
        <v>9</v>
      </c>
      <c r="C257" s="380">
        <v>45107</v>
      </c>
      <c r="D257" s="351">
        <v>45107</v>
      </c>
      <c r="F257" s="353">
        <v>6</v>
      </c>
      <c r="G257" s="428" t="s">
        <v>328</v>
      </c>
      <c r="H257" s="353" t="s">
        <v>815</v>
      </c>
      <c r="I257" s="350" t="s">
        <v>393</v>
      </c>
      <c r="J257" s="556">
        <f>135000</f>
        <v>135000</v>
      </c>
      <c r="K257" s="350" t="s">
        <v>394</v>
      </c>
      <c r="L257" s="353">
        <v>2801.6</v>
      </c>
      <c r="M257" s="375">
        <f t="shared" si="154"/>
        <v>48.186750428326675</v>
      </c>
      <c r="N257" s="354" t="s">
        <v>395</v>
      </c>
      <c r="O257" s="354">
        <v>0</v>
      </c>
      <c r="P257" s="374">
        <f t="shared" si="145"/>
        <v>3.0361572688249154</v>
      </c>
      <c r="Q257" s="354">
        <f t="shared" si="155"/>
        <v>0.28635594769270695</v>
      </c>
      <c r="R257" s="354">
        <f t="shared" si="169"/>
        <v>0.48271284183689372</v>
      </c>
      <c r="S257" s="354">
        <f t="shared" si="170"/>
        <v>0.42999413592144742</v>
      </c>
      <c r="T257" s="354">
        <f t="shared" si="171"/>
        <v>1.8349492615105563</v>
      </c>
      <c r="U257" s="374">
        <f t="shared" si="156"/>
        <v>12.185416500566919</v>
      </c>
      <c r="V257" s="354">
        <f t="shared" si="172"/>
        <v>0.32255670134850012</v>
      </c>
      <c r="W257" s="354">
        <f t="shared" si="173"/>
        <v>11.003077148338123</v>
      </c>
      <c r="X257" s="354">
        <f t="shared" si="166"/>
        <v>0.85978265088029604</v>
      </c>
      <c r="Y257" s="374">
        <f t="shared" si="148"/>
        <v>1.7863634242393704</v>
      </c>
      <c r="Z257" s="354">
        <f t="shared" si="174"/>
        <v>0.92151348336375916</v>
      </c>
      <c r="AA257" s="354">
        <f t="shared" si="167"/>
        <v>0.86484994087561118</v>
      </c>
      <c r="AB257" s="374">
        <f t="shared" si="149"/>
        <v>9.759610467431461</v>
      </c>
      <c r="AC257" s="354">
        <f t="shared" si="175"/>
        <v>2.7697050220230661</v>
      </c>
      <c r="AD257" s="354">
        <f t="shared" si="176"/>
        <v>6.0290325912773195</v>
      </c>
      <c r="AE257" s="354">
        <f t="shared" si="177"/>
        <v>0.96087285413107582</v>
      </c>
      <c r="AF257" s="374">
        <f t="shared" si="150"/>
        <v>7.8110966072122059</v>
      </c>
      <c r="AG257" s="354">
        <f t="shared" si="178"/>
        <v>0.50199341964513866</v>
      </c>
      <c r="AH257" s="354">
        <f t="shared" si="179"/>
        <v>2.5257306970257085</v>
      </c>
      <c r="AI257" s="354">
        <f t="shared" si="159"/>
        <v>0</v>
      </c>
      <c r="AJ257" s="354">
        <f t="shared" si="160"/>
        <v>4.7833724905413595</v>
      </c>
      <c r="AK257" s="374">
        <f t="shared" si="151"/>
        <v>5.1591749498775217</v>
      </c>
      <c r="AL257" s="354">
        <f t="shared" si="180"/>
        <v>1.4781378697623542</v>
      </c>
      <c r="AM257" s="354">
        <f t="shared" si="181"/>
        <v>3.4862803302108838</v>
      </c>
      <c r="AN257" s="354">
        <f t="shared" si="182"/>
        <v>0.1947567499042839</v>
      </c>
      <c r="AO257" s="374">
        <f t="shared" si="152"/>
        <v>2.9915227325865006</v>
      </c>
      <c r="AP257" s="354">
        <f t="shared" si="183"/>
        <v>0.68598762852325779</v>
      </c>
      <c r="AQ257" s="354">
        <f t="shared" si="161"/>
        <v>2.3055351040632428</v>
      </c>
      <c r="AR257" s="374">
        <f t="shared" si="162"/>
        <v>5.4574084775877783</v>
      </c>
      <c r="AS257" s="354">
        <f t="shared" si="163"/>
        <v>2.3648803621535182</v>
      </c>
      <c r="AT257" s="354">
        <f t="shared" si="184"/>
        <v>3.0925281154342601</v>
      </c>
      <c r="AU257" s="355" t="s">
        <v>396</v>
      </c>
      <c r="AV257" s="354" t="s">
        <v>345</v>
      </c>
      <c r="AW257" s="353">
        <v>0</v>
      </c>
      <c r="AX257" s="353">
        <v>0</v>
      </c>
      <c r="AY257" s="353">
        <v>0</v>
      </c>
      <c r="AZ257" s="353">
        <v>0</v>
      </c>
      <c r="BA257" s="353">
        <v>0</v>
      </c>
      <c r="BB257" s="353">
        <v>0</v>
      </c>
    </row>
    <row r="258" spans="1:54" x14ac:dyDescent="0.25">
      <c r="A258" s="348" t="s">
        <v>692</v>
      </c>
      <c r="B258" s="377">
        <v>10</v>
      </c>
      <c r="C258" s="380">
        <v>45107</v>
      </c>
      <c r="D258" s="351">
        <v>45107</v>
      </c>
      <c r="F258" s="353">
        <v>6</v>
      </c>
      <c r="G258" s="428" t="s">
        <v>325</v>
      </c>
      <c r="H258" s="350" t="s">
        <v>697</v>
      </c>
      <c r="I258" s="350" t="s">
        <v>393</v>
      </c>
      <c r="J258" s="556">
        <v>96000</v>
      </c>
      <c r="K258" s="350" t="s">
        <v>394</v>
      </c>
      <c r="L258" s="353">
        <v>2801.6</v>
      </c>
      <c r="M258" s="375">
        <f t="shared" si="154"/>
        <v>34.266133637921186</v>
      </c>
      <c r="N258" s="354" t="s">
        <v>395</v>
      </c>
      <c r="O258" s="354">
        <v>0</v>
      </c>
      <c r="P258" s="374">
        <f t="shared" si="145"/>
        <v>2.1590451689421619</v>
      </c>
      <c r="Q258" s="354">
        <f t="shared" si="155"/>
        <v>0.20363089613703605</v>
      </c>
      <c r="R258" s="354">
        <f t="shared" si="169"/>
        <v>0.3432624653062355</v>
      </c>
      <c r="S258" s="354">
        <f t="shared" si="170"/>
        <v>0.30577360776636259</v>
      </c>
      <c r="T258" s="354">
        <f t="shared" si="171"/>
        <v>1.3048528081852844</v>
      </c>
      <c r="U258" s="374">
        <f t="shared" si="156"/>
        <v>8.6651850670698085</v>
      </c>
      <c r="V258" s="354">
        <f t="shared" si="172"/>
        <v>0.22937365429226672</v>
      </c>
      <c r="W258" s="354">
        <f t="shared" si="173"/>
        <v>7.8244104165959989</v>
      </c>
      <c r="X258" s="354">
        <f t="shared" si="166"/>
        <v>0.61140099618154375</v>
      </c>
      <c r="Y258" s="374">
        <f t="shared" si="148"/>
        <v>1.2703028794591076</v>
      </c>
      <c r="Z258" s="354">
        <f t="shared" si="174"/>
        <v>0.65529847705867306</v>
      </c>
      <c r="AA258" s="354">
        <f t="shared" si="167"/>
        <v>0.61500440240043452</v>
      </c>
      <c r="AB258" s="374">
        <f t="shared" si="149"/>
        <v>6.940167443506815</v>
      </c>
      <c r="AC258" s="354">
        <f t="shared" si="175"/>
        <v>1.9695680156608464</v>
      </c>
      <c r="AD258" s="354">
        <f t="shared" si="176"/>
        <v>4.2873120649083152</v>
      </c>
      <c r="AE258" s="354">
        <f t="shared" si="177"/>
        <v>0.68328736293765369</v>
      </c>
      <c r="AF258" s="374">
        <f t="shared" si="150"/>
        <v>5.5545575873509012</v>
      </c>
      <c r="AG258" s="354">
        <f t="shared" si="178"/>
        <v>0.35697309841432073</v>
      </c>
      <c r="AH258" s="354">
        <f t="shared" si="179"/>
        <v>1.7960751623293927</v>
      </c>
      <c r="AI258" s="354">
        <f t="shared" si="159"/>
        <v>0</v>
      </c>
      <c r="AJ258" s="354">
        <f t="shared" si="160"/>
        <v>3.4015093266071883</v>
      </c>
      <c r="AK258" s="374">
        <f t="shared" si="151"/>
        <v>3.6687466310240149</v>
      </c>
      <c r="AL258" s="354">
        <f t="shared" si="180"/>
        <v>1.0511202629421184</v>
      </c>
      <c r="AM258" s="354">
        <f t="shared" si="181"/>
        <v>2.4791326792610726</v>
      </c>
      <c r="AN258" s="354">
        <f t="shared" si="182"/>
        <v>0.13849368882082408</v>
      </c>
      <c r="AO258" s="374">
        <f t="shared" si="152"/>
        <v>2.1273050542837333</v>
      </c>
      <c r="AP258" s="354">
        <f t="shared" si="183"/>
        <v>0.48781342472764982</v>
      </c>
      <c r="AQ258" s="354">
        <f t="shared" si="161"/>
        <v>1.6394916295560835</v>
      </c>
      <c r="AR258" s="374">
        <f t="shared" si="162"/>
        <v>3.8808238062846416</v>
      </c>
      <c r="AS258" s="354">
        <f t="shared" si="163"/>
        <v>1.681692701975835</v>
      </c>
      <c r="AT258" s="354">
        <f t="shared" si="184"/>
        <v>2.1991311043088069</v>
      </c>
      <c r="AU258" s="355" t="s">
        <v>396</v>
      </c>
      <c r="AV258" s="354" t="s">
        <v>345</v>
      </c>
      <c r="AW258" s="353">
        <v>0</v>
      </c>
      <c r="AX258" s="353">
        <v>0</v>
      </c>
      <c r="AY258" s="353">
        <v>0</v>
      </c>
      <c r="AZ258" s="353">
        <v>0</v>
      </c>
      <c r="BA258" s="353">
        <v>0</v>
      </c>
      <c r="BB258" s="353">
        <v>0</v>
      </c>
    </row>
    <row r="259" spans="1:54" x14ac:dyDescent="0.25">
      <c r="A259" s="348" t="s">
        <v>698</v>
      </c>
      <c r="B259" s="377">
        <v>11</v>
      </c>
      <c r="C259" s="380">
        <v>45107</v>
      </c>
      <c r="D259" s="351">
        <v>45107</v>
      </c>
      <c r="F259" s="353">
        <v>6</v>
      </c>
      <c r="G259" s="428" t="s">
        <v>324</v>
      </c>
      <c r="H259" s="353" t="s">
        <v>695</v>
      </c>
      <c r="I259" s="350" t="s">
        <v>393</v>
      </c>
      <c r="J259" s="556">
        <v>450000</v>
      </c>
      <c r="K259" s="350" t="s">
        <v>394</v>
      </c>
      <c r="L259" s="353">
        <v>2801.6</v>
      </c>
      <c r="M259" s="375">
        <f t="shared" si="154"/>
        <v>160.62250142775557</v>
      </c>
      <c r="N259" s="354" t="s">
        <v>395</v>
      </c>
      <c r="O259" s="354">
        <v>0</v>
      </c>
      <c r="P259" s="374">
        <f t="shared" si="145"/>
        <v>10.120524229416384</v>
      </c>
      <c r="Q259" s="354">
        <f t="shared" si="155"/>
        <v>0.95451982564235649</v>
      </c>
      <c r="R259" s="354">
        <f t="shared" si="169"/>
        <v>1.6090428061229789</v>
      </c>
      <c r="S259" s="354">
        <f t="shared" si="170"/>
        <v>1.4333137864048247</v>
      </c>
      <c r="T259" s="354">
        <f t="shared" si="171"/>
        <v>6.1164975383685203</v>
      </c>
      <c r="U259" s="374">
        <f t="shared" si="156"/>
        <v>40.618055001889729</v>
      </c>
      <c r="V259" s="354">
        <f t="shared" si="172"/>
        <v>1.0751890044950003</v>
      </c>
      <c r="W259" s="354">
        <f t="shared" si="173"/>
        <v>36.676923827793743</v>
      </c>
      <c r="X259" s="354">
        <f t="shared" si="166"/>
        <v>2.8659421696009866</v>
      </c>
      <c r="Y259" s="374">
        <f t="shared" si="148"/>
        <v>5.954544747464567</v>
      </c>
      <c r="Z259" s="354">
        <f t="shared" si="174"/>
        <v>3.07171161121253</v>
      </c>
      <c r="AA259" s="354">
        <f t="shared" si="167"/>
        <v>2.8828331362520365</v>
      </c>
      <c r="AB259" s="374">
        <f t="shared" si="149"/>
        <v>32.532034891438201</v>
      </c>
      <c r="AC259" s="354">
        <f t="shared" si="175"/>
        <v>9.2323500734102186</v>
      </c>
      <c r="AD259" s="354">
        <f t="shared" si="176"/>
        <v>20.096775304257729</v>
      </c>
      <c r="AE259" s="354">
        <f t="shared" si="177"/>
        <v>3.2029095137702521</v>
      </c>
      <c r="AF259" s="374">
        <f t="shared" si="150"/>
        <v>26.03698869070735</v>
      </c>
      <c r="AG259" s="354">
        <f t="shared" si="178"/>
        <v>1.6733113988171284</v>
      </c>
      <c r="AH259" s="354">
        <f t="shared" si="179"/>
        <v>8.4191023234190272</v>
      </c>
      <c r="AI259" s="354">
        <f t="shared" si="159"/>
        <v>0</v>
      </c>
      <c r="AJ259" s="354">
        <f t="shared" si="160"/>
        <v>15.944574968471196</v>
      </c>
      <c r="AK259" s="374">
        <f t="shared" si="151"/>
        <v>17.19724983292507</v>
      </c>
      <c r="AL259" s="354">
        <f t="shared" si="180"/>
        <v>4.9271262325411795</v>
      </c>
      <c r="AM259" s="354">
        <f t="shared" si="181"/>
        <v>11.620934434036279</v>
      </c>
      <c r="AN259" s="354">
        <f t="shared" si="182"/>
        <v>0.64918916634761292</v>
      </c>
      <c r="AO259" s="374">
        <f t="shared" si="152"/>
        <v>9.9717424419549996</v>
      </c>
      <c r="AP259" s="354">
        <f t="shared" si="183"/>
        <v>2.2866254284108587</v>
      </c>
      <c r="AQ259" s="354">
        <f t="shared" si="161"/>
        <v>7.6851170135441409</v>
      </c>
      <c r="AR259" s="374">
        <f t="shared" si="162"/>
        <v>18.191361591959257</v>
      </c>
      <c r="AS259" s="354">
        <f t="shared" si="163"/>
        <v>7.8829345405117266</v>
      </c>
      <c r="AT259" s="354">
        <f t="shared" si="184"/>
        <v>10.308427051447532</v>
      </c>
      <c r="AU259" s="355" t="s">
        <v>396</v>
      </c>
      <c r="AV259" s="354" t="s">
        <v>345</v>
      </c>
      <c r="AW259" s="353">
        <v>0</v>
      </c>
      <c r="AX259" s="353">
        <v>0</v>
      </c>
      <c r="AY259" s="353">
        <v>0</v>
      </c>
      <c r="AZ259" s="353">
        <v>0</v>
      </c>
      <c r="BA259" s="353">
        <v>0</v>
      </c>
      <c r="BB259" s="353">
        <v>0</v>
      </c>
    </row>
    <row r="260" spans="1:54" x14ac:dyDescent="0.25">
      <c r="A260" s="348" t="s">
        <v>699</v>
      </c>
      <c r="B260" s="377">
        <v>12</v>
      </c>
      <c r="C260" s="380">
        <v>45107</v>
      </c>
      <c r="D260" s="351">
        <v>45107</v>
      </c>
      <c r="F260" s="353">
        <v>6</v>
      </c>
      <c r="G260" s="428" t="s">
        <v>318</v>
      </c>
      <c r="H260" s="353" t="s">
        <v>330</v>
      </c>
      <c r="I260" s="350" t="s">
        <v>393</v>
      </c>
      <c r="J260" s="557">
        <v>2800000</v>
      </c>
      <c r="K260" s="350" t="s">
        <v>394</v>
      </c>
      <c r="L260" s="353">
        <v>2801.6</v>
      </c>
      <c r="M260" s="375">
        <f t="shared" si="154"/>
        <v>999.42889777270136</v>
      </c>
      <c r="N260" s="354" t="s">
        <v>395</v>
      </c>
      <c r="O260" s="354">
        <v>0</v>
      </c>
      <c r="P260" s="374">
        <f t="shared" ref="P260:P325" si="185">M260*$P$2</f>
        <v>62.972150760813058</v>
      </c>
      <c r="Q260" s="354">
        <f t="shared" si="155"/>
        <v>5.9392344706635516</v>
      </c>
      <c r="R260" s="354">
        <f t="shared" si="169"/>
        <v>10.011821904765203</v>
      </c>
      <c r="S260" s="354">
        <f t="shared" si="170"/>
        <v>8.9183968931855748</v>
      </c>
      <c r="T260" s="354">
        <f t="shared" si="171"/>
        <v>38.058206905404127</v>
      </c>
      <c r="U260" s="374">
        <f t="shared" si="156"/>
        <v>252.73456445620275</v>
      </c>
      <c r="V260" s="354">
        <f t="shared" si="172"/>
        <v>6.6900649168577786</v>
      </c>
      <c r="W260" s="354">
        <f t="shared" si="173"/>
        <v>228.21197048404994</v>
      </c>
      <c r="X260" s="354">
        <f t="shared" si="166"/>
        <v>17.832529055295026</v>
      </c>
      <c r="Y260" s="374">
        <f t="shared" si="148"/>
        <v>37.05050065089064</v>
      </c>
      <c r="Z260" s="354">
        <f t="shared" si="174"/>
        <v>19.112872247544633</v>
      </c>
      <c r="AA260" s="354">
        <f t="shared" si="167"/>
        <v>17.937628403346007</v>
      </c>
      <c r="AB260" s="374">
        <f t="shared" si="149"/>
        <v>202.42155043561547</v>
      </c>
      <c r="AC260" s="354">
        <f t="shared" si="175"/>
        <v>57.445733790108029</v>
      </c>
      <c r="AD260" s="354">
        <f t="shared" si="176"/>
        <v>125.04660189315921</v>
      </c>
      <c r="AE260" s="354">
        <f t="shared" si="177"/>
        <v>19.929214752348237</v>
      </c>
      <c r="AF260" s="374">
        <f t="shared" si="150"/>
        <v>162.00792963106798</v>
      </c>
      <c r="AG260" s="354">
        <f t="shared" si="178"/>
        <v>10.41171537041769</v>
      </c>
      <c r="AH260" s="354">
        <f t="shared" si="179"/>
        <v>52.385525567940626</v>
      </c>
      <c r="AI260" s="354">
        <f t="shared" si="159"/>
        <v>0</v>
      </c>
      <c r="AJ260" s="354">
        <f t="shared" si="160"/>
        <v>99.210688692709681</v>
      </c>
      <c r="AK260" s="374">
        <f t="shared" si="151"/>
        <v>107.00511007153378</v>
      </c>
      <c r="AL260" s="354">
        <f t="shared" si="180"/>
        <v>30.657674335811787</v>
      </c>
      <c r="AM260" s="354">
        <f t="shared" si="181"/>
        <v>72.30803647844796</v>
      </c>
      <c r="AN260" s="354">
        <f t="shared" si="182"/>
        <v>4.0393992572740363</v>
      </c>
      <c r="AO260" s="374">
        <f t="shared" si="152"/>
        <v>62.046397416608897</v>
      </c>
      <c r="AP260" s="354">
        <f t="shared" si="183"/>
        <v>14.227891554556455</v>
      </c>
      <c r="AQ260" s="354">
        <f t="shared" si="161"/>
        <v>47.81850586205244</v>
      </c>
      <c r="AR260" s="374">
        <f t="shared" si="162"/>
        <v>113.19069434996872</v>
      </c>
      <c r="AS260" s="354">
        <f t="shared" si="163"/>
        <v>49.049370474295188</v>
      </c>
      <c r="AT260" s="354">
        <f t="shared" si="184"/>
        <v>64.141323875673535</v>
      </c>
      <c r="AU260" s="355" t="s">
        <v>396</v>
      </c>
      <c r="AV260" s="354" t="s">
        <v>345</v>
      </c>
      <c r="AW260" s="353">
        <v>0</v>
      </c>
      <c r="AX260" s="353">
        <v>0</v>
      </c>
      <c r="AY260" s="353">
        <v>0</v>
      </c>
      <c r="AZ260" s="353">
        <v>0</v>
      </c>
      <c r="BA260" s="353">
        <v>0</v>
      </c>
      <c r="BB260" s="353">
        <v>0</v>
      </c>
    </row>
    <row r="261" spans="1:54" x14ac:dyDescent="0.25">
      <c r="A261" s="348" t="s">
        <v>700</v>
      </c>
      <c r="B261" s="377">
        <v>13</v>
      </c>
      <c r="C261" s="380">
        <v>45107</v>
      </c>
      <c r="D261" s="351">
        <v>45107</v>
      </c>
      <c r="F261" s="353">
        <v>6</v>
      </c>
      <c r="G261" s="428" t="s">
        <v>319</v>
      </c>
      <c r="H261" s="353" t="s">
        <v>320</v>
      </c>
      <c r="I261" s="350" t="s">
        <v>393</v>
      </c>
      <c r="J261" s="557">
        <v>950000</v>
      </c>
      <c r="K261" s="350" t="s">
        <v>394</v>
      </c>
      <c r="L261" s="353">
        <v>2801.6</v>
      </c>
      <c r="M261" s="375">
        <f t="shared" si="154"/>
        <v>339.09194745859509</v>
      </c>
      <c r="N261" s="354" t="s">
        <v>395</v>
      </c>
      <c r="O261" s="354">
        <v>0</v>
      </c>
      <c r="P261" s="374">
        <f t="shared" si="185"/>
        <v>21.365551150990143</v>
      </c>
      <c r="Q261" s="354">
        <f t="shared" si="155"/>
        <v>2.0150974096894192</v>
      </c>
      <c r="R261" s="354">
        <f t="shared" si="169"/>
        <v>3.3968681462596222</v>
      </c>
      <c r="S261" s="354">
        <f t="shared" si="170"/>
        <v>3.025884660187963</v>
      </c>
      <c r="T261" s="354">
        <f t="shared" si="171"/>
        <v>12.912605914333541</v>
      </c>
      <c r="U261" s="374">
        <f t="shared" si="156"/>
        <v>85.749227226211644</v>
      </c>
      <c r="V261" s="354">
        <f t="shared" si="172"/>
        <v>2.2698434539338894</v>
      </c>
      <c r="W261" s="354">
        <f t="shared" si="173"/>
        <v>77.429061414231228</v>
      </c>
      <c r="X261" s="354">
        <f t="shared" si="166"/>
        <v>6.0503223580465271</v>
      </c>
      <c r="Y261" s="374">
        <f t="shared" si="148"/>
        <v>12.570705577980753</v>
      </c>
      <c r="Z261" s="354">
        <f t="shared" si="174"/>
        <v>6.4847245125597857</v>
      </c>
      <c r="AA261" s="354">
        <f t="shared" si="167"/>
        <v>6.0859810654209667</v>
      </c>
      <c r="AB261" s="374">
        <f t="shared" si="149"/>
        <v>68.678740326369535</v>
      </c>
      <c r="AC261" s="354">
        <f t="shared" si="175"/>
        <v>19.490516821643794</v>
      </c>
      <c r="AD261" s="354">
        <f t="shared" si="176"/>
        <v>42.42652564232187</v>
      </c>
      <c r="AE261" s="354">
        <f t="shared" si="177"/>
        <v>6.7616978624038664</v>
      </c>
      <c r="AF261" s="374">
        <f t="shared" si="150"/>
        <v>54.96697612482663</v>
      </c>
      <c r="AG261" s="354">
        <f t="shared" si="178"/>
        <v>3.5325462863917161</v>
      </c>
      <c r="AH261" s="354">
        <f t="shared" si="179"/>
        <v>17.77366046055128</v>
      </c>
      <c r="AI261" s="354">
        <f t="shared" si="159"/>
        <v>0</v>
      </c>
      <c r="AJ261" s="354">
        <f t="shared" si="160"/>
        <v>33.660769377883639</v>
      </c>
      <c r="AK261" s="374">
        <f t="shared" si="151"/>
        <v>36.305305202841815</v>
      </c>
      <c r="AL261" s="354">
        <f t="shared" si="180"/>
        <v>10.401710935364713</v>
      </c>
      <c r="AM261" s="354">
        <f t="shared" si="181"/>
        <v>24.533083805187697</v>
      </c>
      <c r="AN261" s="354">
        <f t="shared" si="182"/>
        <v>1.3705104622894051</v>
      </c>
      <c r="AO261" s="374">
        <f t="shared" si="152"/>
        <v>21.051456266349444</v>
      </c>
      <c r="AP261" s="354">
        <f t="shared" si="183"/>
        <v>4.8273203488673682</v>
      </c>
      <c r="AQ261" s="354">
        <f t="shared" si="161"/>
        <v>16.224135917482077</v>
      </c>
      <c r="AR261" s="374">
        <f t="shared" si="162"/>
        <v>38.403985583025104</v>
      </c>
      <c r="AS261" s="354">
        <f t="shared" si="163"/>
        <v>16.641750696635871</v>
      </c>
      <c r="AT261" s="354">
        <f t="shared" si="184"/>
        <v>21.762234886389237</v>
      </c>
      <c r="AU261" s="355" t="s">
        <v>396</v>
      </c>
      <c r="AV261" s="354" t="s">
        <v>345</v>
      </c>
      <c r="AW261" s="353">
        <v>0</v>
      </c>
      <c r="AX261" s="353">
        <v>0</v>
      </c>
      <c r="AY261" s="353">
        <v>0</v>
      </c>
      <c r="AZ261" s="353">
        <v>0</v>
      </c>
      <c r="BA261" s="353">
        <v>0</v>
      </c>
      <c r="BB261" s="353">
        <v>0</v>
      </c>
    </row>
    <row r="262" spans="1:54" x14ac:dyDescent="0.25">
      <c r="A262" s="348" t="s">
        <v>701</v>
      </c>
      <c r="B262" s="379">
        <v>14</v>
      </c>
      <c r="C262" s="380">
        <v>45107</v>
      </c>
      <c r="D262" s="351">
        <v>45107</v>
      </c>
      <c r="E262" s="352"/>
      <c r="F262" s="352">
        <v>6</v>
      </c>
      <c r="G262" s="428" t="s">
        <v>322</v>
      </c>
      <c r="H262" s="350" t="s">
        <v>702</v>
      </c>
      <c r="I262" s="350" t="s">
        <v>393</v>
      </c>
      <c r="J262" s="556">
        <v>450000</v>
      </c>
      <c r="K262" s="350" t="s">
        <v>394</v>
      </c>
      <c r="L262" s="353">
        <v>2801.6</v>
      </c>
      <c r="M262" s="375">
        <f t="shared" si="154"/>
        <v>160.62250142775557</v>
      </c>
      <c r="N262" s="354" t="s">
        <v>395</v>
      </c>
      <c r="O262" s="354">
        <v>0</v>
      </c>
      <c r="P262" s="374">
        <f t="shared" si="185"/>
        <v>10.120524229416384</v>
      </c>
      <c r="Q262" s="354">
        <f t="shared" si="155"/>
        <v>0.95451982564235649</v>
      </c>
      <c r="R262" s="354">
        <f t="shared" si="169"/>
        <v>1.6090428061229789</v>
      </c>
      <c r="S262" s="354">
        <f t="shared" si="170"/>
        <v>1.4333137864048247</v>
      </c>
      <c r="T262" s="354">
        <f t="shared" si="171"/>
        <v>6.1164975383685203</v>
      </c>
      <c r="U262" s="374">
        <f t="shared" si="156"/>
        <v>40.618055001889729</v>
      </c>
      <c r="V262" s="354">
        <f t="shared" si="172"/>
        <v>1.0751890044950003</v>
      </c>
      <c r="W262" s="354">
        <f t="shared" si="173"/>
        <v>36.676923827793743</v>
      </c>
      <c r="X262" s="354">
        <f t="shared" si="166"/>
        <v>2.8659421696009866</v>
      </c>
      <c r="Y262" s="374">
        <f t="shared" si="148"/>
        <v>5.954544747464567</v>
      </c>
      <c r="Z262" s="354">
        <f t="shared" si="174"/>
        <v>3.07171161121253</v>
      </c>
      <c r="AA262" s="354">
        <f t="shared" si="167"/>
        <v>2.8828331362520365</v>
      </c>
      <c r="AB262" s="374">
        <f t="shared" si="149"/>
        <v>32.532034891438201</v>
      </c>
      <c r="AC262" s="354">
        <f t="shared" si="175"/>
        <v>9.2323500734102186</v>
      </c>
      <c r="AD262" s="354">
        <f t="shared" si="176"/>
        <v>20.096775304257729</v>
      </c>
      <c r="AE262" s="354">
        <f t="shared" si="177"/>
        <v>3.2029095137702521</v>
      </c>
      <c r="AF262" s="374">
        <f t="shared" si="150"/>
        <v>26.03698869070735</v>
      </c>
      <c r="AG262" s="354">
        <f t="shared" si="178"/>
        <v>1.6733113988171284</v>
      </c>
      <c r="AH262" s="354">
        <f t="shared" si="179"/>
        <v>8.4191023234190272</v>
      </c>
      <c r="AI262" s="354">
        <f t="shared" si="159"/>
        <v>0</v>
      </c>
      <c r="AJ262" s="354">
        <f t="shared" si="160"/>
        <v>15.944574968471196</v>
      </c>
      <c r="AK262" s="374">
        <f t="shared" si="151"/>
        <v>17.19724983292507</v>
      </c>
      <c r="AL262" s="354">
        <f t="shared" si="180"/>
        <v>4.9271262325411795</v>
      </c>
      <c r="AM262" s="354">
        <f t="shared" si="181"/>
        <v>11.620934434036279</v>
      </c>
      <c r="AN262" s="354">
        <f t="shared" si="182"/>
        <v>0.64918916634761292</v>
      </c>
      <c r="AO262" s="374">
        <f t="shared" si="152"/>
        <v>9.9717424419549996</v>
      </c>
      <c r="AP262" s="354">
        <f t="shared" si="183"/>
        <v>2.2866254284108587</v>
      </c>
      <c r="AQ262" s="354">
        <f t="shared" si="161"/>
        <v>7.6851170135441409</v>
      </c>
      <c r="AR262" s="374">
        <f t="shared" si="162"/>
        <v>18.191361591959257</v>
      </c>
      <c r="AS262" s="354">
        <f t="shared" si="163"/>
        <v>7.8829345405117266</v>
      </c>
      <c r="AT262" s="354">
        <f t="shared" si="184"/>
        <v>10.308427051447532</v>
      </c>
      <c r="AU262" s="355" t="s">
        <v>396</v>
      </c>
      <c r="AV262" s="354" t="s">
        <v>345</v>
      </c>
      <c r="AW262" s="353">
        <v>0</v>
      </c>
      <c r="AX262" s="353">
        <v>0</v>
      </c>
      <c r="AY262" s="353">
        <v>0</v>
      </c>
      <c r="AZ262" s="353">
        <v>0</v>
      </c>
      <c r="BA262" s="353">
        <v>0</v>
      </c>
      <c r="BB262" s="353">
        <v>0</v>
      </c>
    </row>
    <row r="263" spans="1:54" x14ac:dyDescent="0.25">
      <c r="A263" s="348" t="s">
        <v>703</v>
      </c>
      <c r="B263" s="379">
        <v>15</v>
      </c>
      <c r="C263" s="380">
        <v>45107</v>
      </c>
      <c r="D263" s="351">
        <v>45107</v>
      </c>
      <c r="E263" s="352"/>
      <c r="F263" s="352">
        <v>6</v>
      </c>
      <c r="G263" s="428" t="s">
        <v>322</v>
      </c>
      <c r="H263" s="350" t="s">
        <v>704</v>
      </c>
      <c r="I263" s="350" t="s">
        <v>393</v>
      </c>
      <c r="J263" s="556">
        <v>150000</v>
      </c>
      <c r="K263" s="350" t="s">
        <v>394</v>
      </c>
      <c r="L263" s="353">
        <v>2801.6</v>
      </c>
      <c r="M263" s="375">
        <f t="shared" si="154"/>
        <v>53.540833809251858</v>
      </c>
      <c r="N263" s="354" t="s">
        <v>395</v>
      </c>
      <c r="O263" s="354">
        <v>0</v>
      </c>
      <c r="P263" s="374">
        <f t="shared" si="185"/>
        <v>3.3735080764721279</v>
      </c>
      <c r="Q263" s="354">
        <f t="shared" si="155"/>
        <v>0.31817327521411881</v>
      </c>
      <c r="R263" s="354">
        <f t="shared" si="169"/>
        <v>0.53634760204099297</v>
      </c>
      <c r="S263" s="354">
        <f t="shared" si="170"/>
        <v>0.47777126213494153</v>
      </c>
      <c r="T263" s="354">
        <f t="shared" si="171"/>
        <v>2.0388325127895066</v>
      </c>
      <c r="U263" s="374">
        <f t="shared" si="156"/>
        <v>13.539351667296577</v>
      </c>
      <c r="V263" s="354">
        <f t="shared" si="172"/>
        <v>0.35839633483166677</v>
      </c>
      <c r="W263" s="354">
        <f t="shared" si="173"/>
        <v>12.225641275931249</v>
      </c>
      <c r="X263" s="354">
        <f t="shared" si="166"/>
        <v>0.9553140565336623</v>
      </c>
      <c r="Y263" s="374">
        <f t="shared" si="148"/>
        <v>1.9848482491548558</v>
      </c>
      <c r="Z263" s="354">
        <f t="shared" si="174"/>
        <v>1.0239038704041767</v>
      </c>
      <c r="AA263" s="354">
        <f t="shared" si="167"/>
        <v>0.96094437875067895</v>
      </c>
      <c r="AB263" s="374">
        <f t="shared" si="149"/>
        <v>10.8440116304794</v>
      </c>
      <c r="AC263" s="354">
        <f t="shared" si="175"/>
        <v>3.0774500244700729</v>
      </c>
      <c r="AD263" s="354">
        <f t="shared" si="176"/>
        <v>6.6989251014192428</v>
      </c>
      <c r="AE263" s="354">
        <f t="shared" si="177"/>
        <v>1.0676365045900842</v>
      </c>
      <c r="AF263" s="374">
        <f t="shared" si="150"/>
        <v>8.6789962302357839</v>
      </c>
      <c r="AG263" s="354">
        <f t="shared" si="178"/>
        <v>0.55777046627237625</v>
      </c>
      <c r="AH263" s="354">
        <f t="shared" si="179"/>
        <v>2.8063674411396762</v>
      </c>
      <c r="AI263" s="354">
        <f t="shared" si="159"/>
        <v>0</v>
      </c>
      <c r="AJ263" s="354">
        <f t="shared" si="160"/>
        <v>5.3148583228237323</v>
      </c>
      <c r="AK263" s="374">
        <f t="shared" si="151"/>
        <v>5.7324166109750241</v>
      </c>
      <c r="AL263" s="354">
        <f t="shared" si="180"/>
        <v>1.6423754108470601</v>
      </c>
      <c r="AM263" s="354">
        <f t="shared" si="181"/>
        <v>3.8736448113454265</v>
      </c>
      <c r="AN263" s="354">
        <f t="shared" si="182"/>
        <v>0.21639638878253767</v>
      </c>
      <c r="AO263" s="374">
        <f t="shared" si="152"/>
        <v>3.3239141473183338</v>
      </c>
      <c r="AP263" s="354">
        <f t="shared" si="183"/>
        <v>0.76220847613695297</v>
      </c>
      <c r="AQ263" s="354">
        <f t="shared" si="161"/>
        <v>2.561705671181381</v>
      </c>
      <c r="AR263" s="374">
        <f t="shared" si="162"/>
        <v>6.063787197319753</v>
      </c>
      <c r="AS263" s="354">
        <f t="shared" si="163"/>
        <v>2.6276448468372422</v>
      </c>
      <c r="AT263" s="354">
        <f t="shared" si="184"/>
        <v>3.4361423504825108</v>
      </c>
      <c r="AU263" s="355" t="s">
        <v>396</v>
      </c>
      <c r="AV263" s="354" t="s">
        <v>345</v>
      </c>
      <c r="AW263" s="353">
        <v>0</v>
      </c>
      <c r="AX263" s="353">
        <v>0</v>
      </c>
      <c r="AY263" s="353">
        <v>0</v>
      </c>
      <c r="AZ263" s="353">
        <v>0</v>
      </c>
      <c r="BA263" s="353">
        <v>0</v>
      </c>
      <c r="BB263" s="353">
        <v>0</v>
      </c>
    </row>
    <row r="264" spans="1:54" x14ac:dyDescent="0.25">
      <c r="A264" s="348" t="s">
        <v>705</v>
      </c>
      <c r="B264" s="377">
        <v>16</v>
      </c>
      <c r="C264" s="380">
        <v>45107</v>
      </c>
      <c r="D264" s="351">
        <v>45107</v>
      </c>
      <c r="F264" s="353">
        <v>6</v>
      </c>
      <c r="G264" s="428" t="s">
        <v>327</v>
      </c>
      <c r="H264" s="350" t="s">
        <v>333</v>
      </c>
      <c r="I264" s="350" t="s">
        <v>393</v>
      </c>
      <c r="J264" s="556">
        <v>45000</v>
      </c>
      <c r="K264" s="350" t="s">
        <v>394</v>
      </c>
      <c r="L264" s="353">
        <v>2801.6</v>
      </c>
      <c r="M264" s="375">
        <f t="shared" si="154"/>
        <v>16.062250142775557</v>
      </c>
      <c r="N264" s="354" t="s">
        <v>395</v>
      </c>
      <c r="O264" s="354">
        <v>0</v>
      </c>
      <c r="P264" s="374">
        <f t="shared" si="185"/>
        <v>1.0120524229416383</v>
      </c>
      <c r="Q264" s="354">
        <f t="shared" si="155"/>
        <v>9.5451982564235635E-2</v>
      </c>
      <c r="R264" s="354">
        <f t="shared" si="169"/>
        <v>0.16090428061229789</v>
      </c>
      <c r="S264" s="354">
        <f t="shared" si="170"/>
        <v>0.14333137864048245</v>
      </c>
      <c r="T264" s="354">
        <f t="shared" si="171"/>
        <v>0.61164975383685194</v>
      </c>
      <c r="U264" s="374">
        <f t="shared" si="156"/>
        <v>4.0618055001889726</v>
      </c>
      <c r="V264" s="354">
        <f t="shared" si="172"/>
        <v>0.10751890044950002</v>
      </c>
      <c r="W264" s="354">
        <f t="shared" si="173"/>
        <v>3.6676923827793741</v>
      </c>
      <c r="X264" s="354">
        <f t="shared" si="166"/>
        <v>0.28659421696009862</v>
      </c>
      <c r="Y264" s="374">
        <f t="shared" ref="Y264:Y285" si="186">M264*$Y$2</f>
        <v>0.59545447474645674</v>
      </c>
      <c r="Z264" s="354">
        <f t="shared" si="174"/>
        <v>0.30717116112125303</v>
      </c>
      <c r="AA264" s="354">
        <f t="shared" si="167"/>
        <v>0.28828331362520371</v>
      </c>
      <c r="AB264" s="374">
        <f t="shared" ref="AB264:AB285" si="187">M264*$AB$2</f>
        <v>3.2532034891438202</v>
      </c>
      <c r="AC264" s="354">
        <f t="shared" si="175"/>
        <v>0.92323500734102193</v>
      </c>
      <c r="AD264" s="354">
        <f t="shared" si="176"/>
        <v>2.009677530425773</v>
      </c>
      <c r="AE264" s="354">
        <f t="shared" si="177"/>
        <v>0.32029095137702523</v>
      </c>
      <c r="AF264" s="374">
        <f t="shared" ref="AF264:AF285" si="188">M264*$AF$2</f>
        <v>2.6036988690707354</v>
      </c>
      <c r="AG264" s="354">
        <f t="shared" si="178"/>
        <v>0.16733113988171289</v>
      </c>
      <c r="AH264" s="354">
        <f t="shared" si="179"/>
        <v>0.84191023234190299</v>
      </c>
      <c r="AI264" s="354">
        <f t="shared" si="159"/>
        <v>0</v>
      </c>
      <c r="AJ264" s="354">
        <f t="shared" si="160"/>
        <v>1.5944574968471199</v>
      </c>
      <c r="AK264" s="374">
        <f t="shared" ref="AK264:AK285" si="189">M264*$AK$2</f>
        <v>1.7197249832925072</v>
      </c>
      <c r="AL264" s="354">
        <f t="shared" si="180"/>
        <v>0.49271262325411802</v>
      </c>
      <c r="AM264" s="354">
        <f t="shared" si="181"/>
        <v>1.1620934434036279</v>
      </c>
      <c r="AN264" s="354">
        <f t="shared" si="182"/>
        <v>6.4918916634761292E-2</v>
      </c>
      <c r="AO264" s="374">
        <f t="shared" ref="AO264:AO285" si="190">M264*$AO$2</f>
        <v>0.99717424419550005</v>
      </c>
      <c r="AP264" s="354">
        <f t="shared" si="183"/>
        <v>0.22866254284108589</v>
      </c>
      <c r="AQ264" s="354">
        <f t="shared" si="161"/>
        <v>0.76851170135441416</v>
      </c>
      <c r="AR264" s="374">
        <f t="shared" si="162"/>
        <v>1.8191361591959259</v>
      </c>
      <c r="AS264" s="354">
        <f t="shared" si="163"/>
        <v>0.78829345405117268</v>
      </c>
      <c r="AT264" s="354">
        <f t="shared" si="184"/>
        <v>1.0308427051447533</v>
      </c>
      <c r="AU264" s="355" t="s">
        <v>396</v>
      </c>
      <c r="AV264" s="354" t="s">
        <v>345</v>
      </c>
      <c r="AW264" s="353">
        <v>0</v>
      </c>
      <c r="AX264" s="353">
        <v>0</v>
      </c>
      <c r="AY264" s="353">
        <v>0</v>
      </c>
      <c r="AZ264" s="353">
        <v>0</v>
      </c>
      <c r="BA264" s="353">
        <v>0</v>
      </c>
      <c r="BB264" s="353">
        <v>0</v>
      </c>
    </row>
    <row r="265" spans="1:54" x14ac:dyDescent="0.25">
      <c r="A265" s="348" t="s">
        <v>706</v>
      </c>
      <c r="B265" s="379">
        <v>17</v>
      </c>
      <c r="C265" s="380">
        <v>45107</v>
      </c>
      <c r="D265" s="351">
        <v>45107</v>
      </c>
      <c r="E265" s="352"/>
      <c r="F265" s="352">
        <v>6</v>
      </c>
      <c r="G265" s="428" t="s">
        <v>321</v>
      </c>
      <c r="H265" s="350" t="s">
        <v>707</v>
      </c>
      <c r="I265" s="350" t="s">
        <v>393</v>
      </c>
      <c r="J265" s="556">
        <f>80000*10%</f>
        <v>8000</v>
      </c>
      <c r="K265" s="350" t="s">
        <v>394</v>
      </c>
      <c r="L265" s="353">
        <v>2801.6</v>
      </c>
      <c r="M265" s="375">
        <f t="shared" si="154"/>
        <v>2.8555111364934325</v>
      </c>
      <c r="N265" s="354" t="s">
        <v>395</v>
      </c>
      <c r="O265" s="354">
        <v>0</v>
      </c>
      <c r="P265" s="374">
        <f t="shared" si="185"/>
        <v>0.17992043074518016</v>
      </c>
      <c r="Q265" s="354">
        <f t="shared" si="155"/>
        <v>1.6969241344753003E-2</v>
      </c>
      <c r="R265" s="354">
        <f t="shared" si="169"/>
        <v>2.8605205442186293E-2</v>
      </c>
      <c r="S265" s="354">
        <f t="shared" si="170"/>
        <v>2.5481133980530216E-2</v>
      </c>
      <c r="T265" s="354">
        <f t="shared" si="171"/>
        <v>0.10873773401544036</v>
      </c>
      <c r="U265" s="374">
        <f t="shared" si="156"/>
        <v>0.72209875558915071</v>
      </c>
      <c r="V265" s="354">
        <f t="shared" si="172"/>
        <v>1.9114471191022227E-2</v>
      </c>
      <c r="W265" s="354">
        <f t="shared" si="173"/>
        <v>0.65203420138299983</v>
      </c>
      <c r="X265" s="354">
        <f t="shared" si="166"/>
        <v>5.0950083015128649E-2</v>
      </c>
      <c r="Y265" s="374">
        <f t="shared" si="186"/>
        <v>0.10585857328825898</v>
      </c>
      <c r="Z265" s="354">
        <f t="shared" si="174"/>
        <v>5.4608206421556095E-2</v>
      </c>
      <c r="AA265" s="354">
        <f t="shared" si="167"/>
        <v>5.1250366866702882E-2</v>
      </c>
      <c r="AB265" s="374">
        <f t="shared" si="187"/>
        <v>0.57834728695890136</v>
      </c>
      <c r="AC265" s="354">
        <f t="shared" si="175"/>
        <v>0.16413066797173723</v>
      </c>
      <c r="AD265" s="354">
        <f t="shared" si="176"/>
        <v>0.35727600540902632</v>
      </c>
      <c r="AE265" s="354">
        <f t="shared" si="177"/>
        <v>5.6940613578137823E-2</v>
      </c>
      <c r="AF265" s="374">
        <f t="shared" si="188"/>
        <v>0.46287979894590847</v>
      </c>
      <c r="AG265" s="354">
        <f t="shared" si="178"/>
        <v>2.9747758201193398E-2</v>
      </c>
      <c r="AH265" s="354">
        <f t="shared" si="179"/>
        <v>0.14967293019411607</v>
      </c>
      <c r="AI265" s="354">
        <f t="shared" si="159"/>
        <v>0</v>
      </c>
      <c r="AJ265" s="354">
        <f t="shared" si="160"/>
        <v>0.28345911055059902</v>
      </c>
      <c r="AK265" s="374">
        <f t="shared" si="189"/>
        <v>0.30572888591866798</v>
      </c>
      <c r="AL265" s="354">
        <f t="shared" si="180"/>
        <v>8.7593355245176543E-2</v>
      </c>
      <c r="AM265" s="354">
        <f t="shared" si="181"/>
        <v>0.20659438993842277</v>
      </c>
      <c r="AN265" s="354">
        <f t="shared" si="182"/>
        <v>1.1541140735068676E-2</v>
      </c>
      <c r="AO265" s="374">
        <f t="shared" si="190"/>
        <v>0.17727542119031112</v>
      </c>
      <c r="AP265" s="354">
        <f t="shared" si="183"/>
        <v>4.0651118727304154E-2</v>
      </c>
      <c r="AQ265" s="354">
        <f t="shared" si="161"/>
        <v>0.13662430246300697</v>
      </c>
      <c r="AR265" s="374">
        <f>M265*$AR$2</f>
        <v>0.32340198385705349</v>
      </c>
      <c r="AS265" s="354">
        <f t="shared" si="163"/>
        <v>0.14014105849798625</v>
      </c>
      <c r="AT265" s="354">
        <f t="shared" si="184"/>
        <v>0.18326092535906724</v>
      </c>
      <c r="AU265" s="355" t="s">
        <v>396</v>
      </c>
      <c r="AV265" s="354" t="s">
        <v>345</v>
      </c>
      <c r="AW265" s="353">
        <v>0</v>
      </c>
      <c r="AX265" s="353">
        <v>0</v>
      </c>
      <c r="AY265" s="353">
        <v>0</v>
      </c>
      <c r="AZ265" s="353">
        <v>0</v>
      </c>
      <c r="BA265" s="353">
        <v>0</v>
      </c>
      <c r="BB265" s="353">
        <v>0</v>
      </c>
    </row>
    <row r="266" spans="1:54" x14ac:dyDescent="0.25">
      <c r="A266" s="348" t="s">
        <v>819</v>
      </c>
      <c r="B266" s="379">
        <v>18</v>
      </c>
      <c r="C266" s="380">
        <v>45107</v>
      </c>
      <c r="D266" s="351">
        <v>45107</v>
      </c>
      <c r="E266" s="352"/>
      <c r="F266" s="352">
        <v>6</v>
      </c>
      <c r="G266" s="428" t="s">
        <v>325</v>
      </c>
      <c r="H266" s="350" t="s">
        <v>818</v>
      </c>
      <c r="I266" s="350" t="s">
        <v>393</v>
      </c>
      <c r="J266" s="556">
        <v>10700</v>
      </c>
      <c r="K266" s="350" t="s">
        <v>394</v>
      </c>
      <c r="L266" s="353">
        <v>2801.6</v>
      </c>
      <c r="M266" s="375">
        <f>+J266/L266</f>
        <v>3.819246145059966</v>
      </c>
      <c r="N266" s="354" t="s">
        <v>395</v>
      </c>
      <c r="O266" s="354">
        <v>0</v>
      </c>
      <c r="P266" s="374">
        <f t="shared" ref="P266:P267" si="191">M266*$P$2</f>
        <v>0.24064357612167847</v>
      </c>
      <c r="Q266" s="354">
        <f t="shared" ref="Q266:Q267" si="192">P266*$Q$2</f>
        <v>2.2696360298607145E-2</v>
      </c>
      <c r="R266" s="354">
        <f t="shared" ref="R266:R267" si="193">P266*$R$2</f>
        <v>3.825946227892417E-2</v>
      </c>
      <c r="S266" s="354">
        <f t="shared" ref="S266:S267" si="194">P266*$S$2</f>
        <v>3.4081016698959167E-2</v>
      </c>
      <c r="T266" s="354">
        <f t="shared" ref="T266:T267" si="195">P266*$T$2</f>
        <v>0.14543671924565149</v>
      </c>
      <c r="U266" s="374">
        <f t="shared" ref="U266:U267" si="196">M266*$U$2</f>
        <v>0.96580708560048911</v>
      </c>
      <c r="V266" s="354">
        <f t="shared" ref="V266:V267" si="197">U266*$V$2</f>
        <v>2.5565605217992227E-2</v>
      </c>
      <c r="W266" s="354">
        <f t="shared" ref="W266:W267" si="198">U266*$W$2</f>
        <v>0.87209574434976234</v>
      </c>
      <c r="X266" s="354">
        <f t="shared" ref="X266:X267" si="199">U266*$X$2</f>
        <v>6.8145736032734577E-2</v>
      </c>
      <c r="Y266" s="374">
        <f t="shared" ref="Y266:Y267" si="200">M266*$Y$2</f>
        <v>0.14158584177304639</v>
      </c>
      <c r="Z266" s="354">
        <f t="shared" ref="Z266:Z267" si="201">Y266*$Z$2</f>
        <v>7.3038476088831281E-2</v>
      </c>
      <c r="AA266" s="354">
        <f t="shared" ref="AA266:AA267" si="202">Y266*$AA$2</f>
        <v>6.85473656842151E-2</v>
      </c>
      <c r="AB266" s="374">
        <f t="shared" ref="AB266:AB267" si="203">M266*$AB$2</f>
        <v>0.77353949630753061</v>
      </c>
      <c r="AC266" s="354">
        <f t="shared" ref="AC266:AC267" si="204">AB266*$AC$2</f>
        <v>0.21952476841219856</v>
      </c>
      <c r="AD266" s="354">
        <f t="shared" ref="AD266:AD267" si="205">AB266*$AD$2</f>
        <v>0.47785665723457271</v>
      </c>
      <c r="AE266" s="354">
        <f t="shared" ref="AE266:AE267" si="206">AB266*$AE$2</f>
        <v>7.6158070660759344E-2</v>
      </c>
      <c r="AF266" s="374">
        <f t="shared" ref="AF266:AF267" si="207">M266*$AF$2</f>
        <v>0.61910173109015265</v>
      </c>
      <c r="AG266" s="354">
        <f t="shared" ref="AG266:AG267" si="208">AF266*$AG$2</f>
        <v>3.9787626594096175E-2</v>
      </c>
      <c r="AH266" s="354">
        <f t="shared" ref="AH266:AH267" si="209">AF266*$AH$2</f>
        <v>0.20018754413463025</v>
      </c>
      <c r="AI266" s="354">
        <f t="shared" ref="AI266:AI267" si="210">AF266*$AI$2</f>
        <v>0</v>
      </c>
      <c r="AJ266" s="354">
        <f t="shared" ref="AJ266:AJ267" si="211">AF266*$AJ$2</f>
        <v>0.37912656036142628</v>
      </c>
      <c r="AK266" s="374">
        <f t="shared" ref="AK266:AK267" si="212">M266*$AK$2</f>
        <v>0.4089123849162184</v>
      </c>
      <c r="AL266" s="354">
        <f t="shared" ref="AL266:AL267" si="213">AK266*$AL$2</f>
        <v>0.11715611264042362</v>
      </c>
      <c r="AM266" s="354">
        <f t="shared" ref="AM266:AM267" si="214">AK266*$AM$2</f>
        <v>0.27631999654264044</v>
      </c>
      <c r="AN266" s="354">
        <f t="shared" ref="AN266:AN267" si="215">AK266*$AN$2</f>
        <v>1.5436275733154354E-2</v>
      </c>
      <c r="AO266" s="374">
        <f t="shared" ref="AO266:AO267" si="216">M266*$AO$2</f>
        <v>0.23710587584204112</v>
      </c>
      <c r="AP266" s="354">
        <f t="shared" ref="AP266:AP267" si="217">AO266*$AP$2</f>
        <v>5.437087129776931E-2</v>
      </c>
      <c r="AQ266" s="354">
        <f t="shared" ref="AQ266:AQ267" si="218">AO266*$AQ$2</f>
        <v>0.18273500454427183</v>
      </c>
      <c r="AR266" s="374">
        <f t="shared" ref="AR266:AR267" si="219">M266*$AR$2</f>
        <v>0.43255015340880909</v>
      </c>
      <c r="AS266" s="354">
        <f t="shared" ref="AS266:AS267" si="220">AR266*$AS$2</f>
        <v>0.18743866574105664</v>
      </c>
      <c r="AT266" s="354">
        <f t="shared" ref="AT266:AT267" si="221">AR266*$AT$2</f>
        <v>0.24511148766775248</v>
      </c>
      <c r="AU266" s="355" t="s">
        <v>396</v>
      </c>
      <c r="AV266" s="354" t="s">
        <v>345</v>
      </c>
      <c r="AW266" s="353">
        <v>0</v>
      </c>
      <c r="AX266" s="353">
        <v>0</v>
      </c>
      <c r="AY266" s="353">
        <v>0</v>
      </c>
      <c r="AZ266" s="353">
        <v>0</v>
      </c>
      <c r="BA266" s="353">
        <v>0</v>
      </c>
      <c r="BB266" s="353">
        <v>0</v>
      </c>
    </row>
    <row r="267" spans="1:54" x14ac:dyDescent="0.25">
      <c r="A267" s="348" t="s">
        <v>820</v>
      </c>
      <c r="B267" s="379">
        <v>19</v>
      </c>
      <c r="C267" s="380">
        <v>45100</v>
      </c>
      <c r="D267" s="351">
        <v>45107</v>
      </c>
      <c r="E267" s="352"/>
      <c r="F267" s="352">
        <v>6</v>
      </c>
      <c r="G267" s="428" t="s">
        <v>325</v>
      </c>
      <c r="H267" s="350" t="s">
        <v>821</v>
      </c>
      <c r="I267" s="350" t="s">
        <v>393</v>
      </c>
      <c r="J267" s="556">
        <f>70.82*2823.97</f>
        <v>199993.55539999995</v>
      </c>
      <c r="K267" s="350" t="s">
        <v>394</v>
      </c>
      <c r="L267" s="353">
        <v>2823.97</v>
      </c>
      <c r="M267" s="375">
        <f>+J267/L267</f>
        <v>70.819999999999993</v>
      </c>
      <c r="N267" s="354" t="s">
        <v>395</v>
      </c>
      <c r="O267" s="354">
        <v>0</v>
      </c>
      <c r="P267" s="374">
        <f t="shared" si="191"/>
        <v>4.4622361098618546</v>
      </c>
      <c r="Q267" s="354">
        <f t="shared" si="192"/>
        <v>0.4208569375467997</v>
      </c>
      <c r="R267" s="354">
        <f t="shared" si="193"/>
        <v>0.70944239142535459</v>
      </c>
      <c r="S267" s="354">
        <f t="shared" si="194"/>
        <v>0.63196178275710257</v>
      </c>
      <c r="T267" s="354">
        <f t="shared" si="195"/>
        <v>2.6968223743053144</v>
      </c>
      <c r="U267" s="374">
        <f t="shared" si="196"/>
        <v>17.908889661562441</v>
      </c>
      <c r="V267" s="354">
        <f t="shared" si="197"/>
        <v>0.47406113478181749</v>
      </c>
      <c r="W267" s="354">
        <f t="shared" si="198"/>
        <v>16.171207162108804</v>
      </c>
      <c r="X267" s="354">
        <f t="shared" si="199"/>
        <v>1.26362136467182</v>
      </c>
      <c r="Y267" s="374">
        <f t="shared" si="200"/>
        <v>2.6254158369281297</v>
      </c>
      <c r="Z267" s="354">
        <f t="shared" si="201"/>
        <v>1.3543470832068656</v>
      </c>
      <c r="AA267" s="354">
        <f t="shared" si="202"/>
        <v>1.2710687537212639</v>
      </c>
      <c r="AB267" s="374">
        <f t="shared" si="203"/>
        <v>14.343685912822771</v>
      </c>
      <c r="AC267" s="354">
        <f t="shared" si="204"/>
        <v>4.0706316137966017</v>
      </c>
      <c r="AD267" s="354">
        <f t="shared" si="205"/>
        <v>8.8608608034141465</v>
      </c>
      <c r="AE267" s="354">
        <f t="shared" si="206"/>
        <v>1.4121934956120226</v>
      </c>
      <c r="AF267" s="374">
        <f t="shared" si="207"/>
        <v>11.479957805944503</v>
      </c>
      <c r="AG267" s="354">
        <f t="shared" si="208"/>
        <v>0.73777902978014243</v>
      </c>
      <c r="AH267" s="354">
        <f t="shared" si="209"/>
        <v>3.7120628881048243</v>
      </c>
      <c r="AI267" s="354">
        <f t="shared" si="210"/>
        <v>0</v>
      </c>
      <c r="AJ267" s="354">
        <f t="shared" si="211"/>
        <v>7.0301158880595374</v>
      </c>
      <c r="AK267" s="374">
        <f t="shared" si="212"/>
        <v>7.5824322392061738</v>
      </c>
      <c r="AL267" s="354">
        <f t="shared" si="213"/>
        <v>2.1724171687458833</v>
      </c>
      <c r="AM267" s="354">
        <f t="shared" si="214"/>
        <v>5.1237813463427715</v>
      </c>
      <c r="AN267" s="354">
        <f t="shared" si="215"/>
        <v>0.28623372411751874</v>
      </c>
      <c r="AO267" s="374">
        <f t="shared" si="216"/>
        <v>4.3966367941099804</v>
      </c>
      <c r="AP267" s="354">
        <f t="shared" si="217"/>
        <v>1.0081950623393414</v>
      </c>
      <c r="AQ267" s="354">
        <f t="shared" si="218"/>
        <v>3.388441731770639</v>
      </c>
      <c r="AR267" s="374">
        <f t="shared" si="219"/>
        <v>8.0207456395641348</v>
      </c>
      <c r="AS267" s="354">
        <f t="shared" si="220"/>
        <v>3.4756613749421503</v>
      </c>
      <c r="AT267" s="354">
        <f t="shared" si="221"/>
        <v>4.5450842646219849</v>
      </c>
      <c r="AU267" s="355" t="s">
        <v>396</v>
      </c>
      <c r="AV267" s="354" t="s">
        <v>345</v>
      </c>
      <c r="AW267" s="353">
        <v>0</v>
      </c>
      <c r="AX267" s="353">
        <v>0</v>
      </c>
      <c r="AY267" s="353">
        <v>0</v>
      </c>
      <c r="AZ267" s="353">
        <v>0</v>
      </c>
      <c r="BA267" s="353">
        <v>0</v>
      </c>
      <c r="BB267" s="353">
        <v>0</v>
      </c>
    </row>
    <row r="268" spans="1:54" x14ac:dyDescent="0.25">
      <c r="A268" s="348" t="s">
        <v>712</v>
      </c>
      <c r="B268" s="349">
        <v>27</v>
      </c>
      <c r="C268" s="380">
        <v>45107</v>
      </c>
      <c r="D268" s="351">
        <v>45103</v>
      </c>
      <c r="E268" s="352"/>
      <c r="F268" s="352">
        <v>6</v>
      </c>
      <c r="G268" s="348" t="s">
        <v>312</v>
      </c>
      <c r="H268" s="424" t="s">
        <v>714</v>
      </c>
      <c r="I268" s="350" t="s">
        <v>393</v>
      </c>
      <c r="J268" s="375">
        <f>3827662*10%</f>
        <v>382766.2</v>
      </c>
      <c r="K268" s="350" t="s">
        <v>394</v>
      </c>
      <c r="L268" s="354">
        <v>2802.3999950000002</v>
      </c>
      <c r="M268" s="375">
        <f t="shared" ref="M268:M285" si="222">J268/L268</f>
        <v>136.58514155114392</v>
      </c>
      <c r="N268" s="354" t="s">
        <v>395</v>
      </c>
      <c r="O268" s="354">
        <v>0</v>
      </c>
      <c r="P268" s="374">
        <f t="shared" si="185"/>
        <v>8.6059750169458802</v>
      </c>
      <c r="Q268" s="354">
        <f t="shared" si="155"/>
        <v>0.81167473012723212</v>
      </c>
      <c r="R268" s="354">
        <f t="shared" si="169"/>
        <v>1.3682475212540826</v>
      </c>
      <c r="S268" s="354">
        <f t="shared" si="170"/>
        <v>1.2188165709233567</v>
      </c>
      <c r="T268" s="354">
        <f t="shared" si="171"/>
        <v>5.2011559691158347</v>
      </c>
      <c r="U268" s="374">
        <f t="shared" si="156"/>
        <v>34.539511853266369</v>
      </c>
      <c r="V268" s="354">
        <f t="shared" si="172"/>
        <v>0.91428561420602183</v>
      </c>
      <c r="W268" s="354">
        <f t="shared" si="173"/>
        <v>31.188175928967858</v>
      </c>
      <c r="X268" s="354">
        <f t="shared" si="166"/>
        <v>2.437050310092491</v>
      </c>
      <c r="Y268" s="374">
        <f t="shared" si="186"/>
        <v>5.0634396175860443</v>
      </c>
      <c r="Z268" s="354">
        <f t="shared" si="174"/>
        <v>2.6120260953006023</v>
      </c>
      <c r="AA268" s="354">
        <f t="shared" si="167"/>
        <v>2.4514135222854416</v>
      </c>
      <c r="AB268" s="374">
        <f t="shared" si="187"/>
        <v>27.663574848461558</v>
      </c>
      <c r="AC268" s="354">
        <f t="shared" si="175"/>
        <v>7.8507172433347971</v>
      </c>
      <c r="AD268" s="354">
        <f t="shared" si="176"/>
        <v>17.089267538821016</v>
      </c>
      <c r="AE268" s="354">
        <f t="shared" si="177"/>
        <v>2.7235900663057455</v>
      </c>
      <c r="AF268" s="374">
        <f t="shared" si="188"/>
        <v>22.140520501639219</v>
      </c>
      <c r="AG268" s="354">
        <f t="shared" si="178"/>
        <v>1.4228982380116688</v>
      </c>
      <c r="AH268" s="354">
        <f t="shared" si="179"/>
        <v>7.1591730445996262</v>
      </c>
      <c r="AI268" s="354">
        <f t="shared" si="159"/>
        <v>0</v>
      </c>
      <c r="AJ268" s="354">
        <f t="shared" si="160"/>
        <v>13.558449219027926</v>
      </c>
      <c r="AK268" s="374">
        <f t="shared" si="189"/>
        <v>14.623659710448072</v>
      </c>
      <c r="AL268" s="354">
        <f t="shared" si="180"/>
        <v>4.1897755789507451</v>
      </c>
      <c r="AM268" s="354">
        <f t="shared" si="181"/>
        <v>9.8818469424927748</v>
      </c>
      <c r="AN268" s="354">
        <f t="shared" si="182"/>
        <v>0.55203718900455201</v>
      </c>
      <c r="AO268" s="374">
        <f t="shared" si="190"/>
        <v>8.4794586115854198</v>
      </c>
      <c r="AP268" s="354">
        <f t="shared" si="183"/>
        <v>1.9444290497145349</v>
      </c>
      <c r="AQ268" s="354">
        <f t="shared" si="161"/>
        <v>6.5350295618708856</v>
      </c>
      <c r="AR268" s="374">
        <f t="shared" ref="AR268:AR285" si="223">M268*$AR$2</f>
        <v>15.469001391211352</v>
      </c>
      <c r="AS268" s="354">
        <f t="shared" si="163"/>
        <v>6.7032434464885231</v>
      </c>
      <c r="AT268" s="354">
        <f t="shared" si="184"/>
        <v>8.7657579447228304</v>
      </c>
      <c r="AU268" s="355" t="s">
        <v>396</v>
      </c>
      <c r="AV268" s="354" t="s">
        <v>397</v>
      </c>
      <c r="AW268" s="353">
        <v>0</v>
      </c>
      <c r="AX268" s="353">
        <v>0</v>
      </c>
      <c r="AY268" s="353">
        <v>0</v>
      </c>
      <c r="AZ268" s="353">
        <v>0</v>
      </c>
      <c r="BA268" s="353">
        <v>0</v>
      </c>
      <c r="BB268" s="353">
        <v>0</v>
      </c>
    </row>
    <row r="269" spans="1:54" ht="30" x14ac:dyDescent="0.25">
      <c r="A269" s="348" t="s">
        <v>712</v>
      </c>
      <c r="B269" s="349">
        <v>27</v>
      </c>
      <c r="C269" s="380">
        <v>45107</v>
      </c>
      <c r="D269" s="351">
        <v>45103</v>
      </c>
      <c r="E269" s="352"/>
      <c r="F269" s="352">
        <v>6</v>
      </c>
      <c r="G269" s="348" t="s">
        <v>313</v>
      </c>
      <c r="H269" s="424" t="s">
        <v>715</v>
      </c>
      <c r="I269" s="350" t="s">
        <v>393</v>
      </c>
      <c r="J269" s="375">
        <f>2279846*5%</f>
        <v>113992.3</v>
      </c>
      <c r="K269" s="350" t="s">
        <v>394</v>
      </c>
      <c r="L269" s="354">
        <v>2802.3999950000002</v>
      </c>
      <c r="M269" s="375">
        <f t="shared" si="222"/>
        <v>40.676670069720004</v>
      </c>
      <c r="N269" s="354" t="s">
        <v>395</v>
      </c>
      <c r="O269" s="354">
        <v>0</v>
      </c>
      <c r="P269" s="374">
        <f t="shared" si="185"/>
        <v>2.562961112878305</v>
      </c>
      <c r="Q269" s="354">
        <f t="shared" si="155"/>
        <v>0.24172633147619221</v>
      </c>
      <c r="R269" s="354">
        <f t="shared" si="169"/>
        <v>0.4074802893177395</v>
      </c>
      <c r="S269" s="354">
        <f t="shared" si="170"/>
        <v>0.36297798551091126</v>
      </c>
      <c r="T269" s="354">
        <f t="shared" si="171"/>
        <v>1.5489657435223982</v>
      </c>
      <c r="U269" s="374">
        <f t="shared" si="156"/>
        <v>10.286275008167115</v>
      </c>
      <c r="V269" s="354">
        <f t="shared" si="172"/>
        <v>0.27228506597567154</v>
      </c>
      <c r="W269" s="354">
        <f t="shared" si="173"/>
        <v>9.288207545357146</v>
      </c>
      <c r="X269" s="354">
        <f t="shared" si="166"/>
        <v>0.72578239683429779</v>
      </c>
      <c r="Y269" s="374">
        <f t="shared" si="186"/>
        <v>1.5079521857461644</v>
      </c>
      <c r="Z269" s="354">
        <f t="shared" si="174"/>
        <v>0.77789225449722255</v>
      </c>
      <c r="AA269" s="354">
        <f t="shared" si="167"/>
        <v>0.73005993124894175</v>
      </c>
      <c r="AB269" s="374">
        <f t="shared" si="187"/>
        <v>8.2385396704261868</v>
      </c>
      <c r="AC269" s="354">
        <f t="shared" si="175"/>
        <v>2.338036418099072</v>
      </c>
      <c r="AD269" s="354">
        <f t="shared" si="176"/>
        <v>5.0893859281868314</v>
      </c>
      <c r="AE269" s="354">
        <f t="shared" si="177"/>
        <v>0.81111732414028292</v>
      </c>
      <c r="AF269" s="374">
        <f t="shared" si="188"/>
        <v>6.5937087840540993</v>
      </c>
      <c r="AG269" s="354">
        <f t="shared" si="178"/>
        <v>0.42375591893144571</v>
      </c>
      <c r="AH269" s="354">
        <f t="shared" si="179"/>
        <v>2.1320863792359774</v>
      </c>
      <c r="AI269" s="354">
        <f t="shared" si="159"/>
        <v>0</v>
      </c>
      <c r="AJ269" s="354">
        <f t="shared" si="160"/>
        <v>4.0378664858866768</v>
      </c>
      <c r="AK269" s="374">
        <f t="shared" si="189"/>
        <v>4.3550987647585115</v>
      </c>
      <c r="AL269" s="354">
        <f t="shared" si="180"/>
        <v>1.2477647052650598</v>
      </c>
      <c r="AM269" s="354">
        <f t="shared" si="181"/>
        <v>2.9429308575906621</v>
      </c>
      <c r="AN269" s="354">
        <f t="shared" si="182"/>
        <v>0.1644032019027897</v>
      </c>
      <c r="AO269" s="374">
        <f t="shared" si="190"/>
        <v>2.5252830314939732</v>
      </c>
      <c r="AP269" s="354">
        <f t="shared" si="183"/>
        <v>0.57907396098133568</v>
      </c>
      <c r="AQ269" s="354">
        <f t="shared" si="161"/>
        <v>1.9462090705126376</v>
      </c>
      <c r="AR269" s="374">
        <f t="shared" si="223"/>
        <v>4.6068515121956475</v>
      </c>
      <c r="AS269" s="354">
        <f t="shared" si="163"/>
        <v>1.9963051542303203</v>
      </c>
      <c r="AT269" s="354">
        <f t="shared" si="184"/>
        <v>2.6105463579653274</v>
      </c>
      <c r="AU269" s="355" t="s">
        <v>396</v>
      </c>
      <c r="AV269" s="354" t="s">
        <v>397</v>
      </c>
      <c r="AW269" s="353">
        <v>0</v>
      </c>
      <c r="AX269" s="353">
        <v>0</v>
      </c>
      <c r="AY269" s="353">
        <v>0</v>
      </c>
      <c r="AZ269" s="353">
        <v>0</v>
      </c>
      <c r="BA269" s="353">
        <v>0</v>
      </c>
      <c r="BB269" s="353">
        <v>0</v>
      </c>
    </row>
    <row r="270" spans="1:54" x14ac:dyDescent="0.25">
      <c r="A270" s="348" t="s">
        <v>712</v>
      </c>
      <c r="B270" s="349">
        <v>27</v>
      </c>
      <c r="C270" s="380">
        <v>45107</v>
      </c>
      <c r="D270" s="351">
        <v>45103</v>
      </c>
      <c r="E270" s="352"/>
      <c r="F270" s="352">
        <v>6</v>
      </c>
      <c r="G270" s="348" t="s">
        <v>314</v>
      </c>
      <c r="H270" s="424" t="s">
        <v>716</v>
      </c>
      <c r="I270" s="350" t="s">
        <v>393</v>
      </c>
      <c r="J270" s="375">
        <f>1831466*10%</f>
        <v>183146.6</v>
      </c>
      <c r="K270" s="350" t="s">
        <v>394</v>
      </c>
      <c r="L270" s="354">
        <v>2802.3999950000002</v>
      </c>
      <c r="M270" s="375">
        <f t="shared" si="222"/>
        <v>65.353482845692056</v>
      </c>
      <c r="N270" s="354" t="s">
        <v>395</v>
      </c>
      <c r="O270" s="354">
        <v>0</v>
      </c>
      <c r="P270" s="374">
        <f t="shared" si="185"/>
        <v>4.117801059859989</v>
      </c>
      <c r="Q270" s="354">
        <f t="shared" si="155"/>
        <v>0.38837145789967908</v>
      </c>
      <c r="R270" s="354">
        <f t="shared" si="169"/>
        <v>0.65468132106782928</v>
      </c>
      <c r="S270" s="354">
        <f t="shared" si="170"/>
        <v>0.5831813545403739</v>
      </c>
      <c r="T270" s="354">
        <f t="shared" si="171"/>
        <v>2.4886576500570592</v>
      </c>
      <c r="U270" s="374">
        <f t="shared" si="156"/>
        <v>16.526522356429158</v>
      </c>
      <c r="V270" s="354">
        <f t="shared" si="172"/>
        <v>0.43746888223344849</v>
      </c>
      <c r="W270" s="354">
        <f t="shared" si="173"/>
        <v>14.922969639409919</v>
      </c>
      <c r="X270" s="354">
        <f t="shared" si="166"/>
        <v>1.166083834785792</v>
      </c>
      <c r="Y270" s="374">
        <f t="shared" si="186"/>
        <v>2.4227629040029766</v>
      </c>
      <c r="Z270" s="354">
        <f t="shared" si="174"/>
        <v>1.2498065358581329</v>
      </c>
      <c r="AA270" s="354">
        <f t="shared" si="167"/>
        <v>1.1729563681448436</v>
      </c>
      <c r="AB270" s="374">
        <f t="shared" si="187"/>
        <v>13.236512725891808</v>
      </c>
      <c r="AC270" s="354">
        <f t="shared" si="175"/>
        <v>3.7564240799687658</v>
      </c>
      <c r="AD270" s="354">
        <f t="shared" si="176"/>
        <v>8.176900797994799</v>
      </c>
      <c r="AE270" s="354">
        <f t="shared" si="177"/>
        <v>1.3031878479282439</v>
      </c>
      <c r="AF270" s="374">
        <f t="shared" si="188"/>
        <v>10.593832611410091</v>
      </c>
      <c r="AG270" s="354">
        <f t="shared" si="178"/>
        <v>0.68083068577588057</v>
      </c>
      <c r="AH270" s="354">
        <f t="shared" si="179"/>
        <v>3.4255328760221508</v>
      </c>
      <c r="AI270" s="354">
        <f t="shared" si="159"/>
        <v>0</v>
      </c>
      <c r="AJ270" s="354">
        <f t="shared" si="160"/>
        <v>6.4874690496120602</v>
      </c>
      <c r="AK270" s="374">
        <f t="shared" si="189"/>
        <v>6.9971527149616364</v>
      </c>
      <c r="AL270" s="354">
        <f t="shared" si="180"/>
        <v>2.0047306999621717</v>
      </c>
      <c r="AM270" s="354">
        <f t="shared" si="181"/>
        <v>4.7282823541836949</v>
      </c>
      <c r="AN270" s="354">
        <f t="shared" si="182"/>
        <v>0.26413966081576973</v>
      </c>
      <c r="AO270" s="374">
        <f t="shared" si="190"/>
        <v>4.0572652824428861</v>
      </c>
      <c r="AP270" s="354">
        <f t="shared" si="183"/>
        <v>0.93037360507915279</v>
      </c>
      <c r="AQ270" s="354">
        <f t="shared" si="161"/>
        <v>3.1268916773637332</v>
      </c>
      <c r="AR270" s="374">
        <f t="shared" si="223"/>
        <v>7.4016331906935067</v>
      </c>
      <c r="AS270" s="354">
        <f t="shared" si="163"/>
        <v>3.2073789331363503</v>
      </c>
      <c r="AT270" s="354">
        <f t="shared" si="184"/>
        <v>4.1942542575571569</v>
      </c>
      <c r="AU270" s="355" t="s">
        <v>396</v>
      </c>
      <c r="AV270" s="354" t="s">
        <v>397</v>
      </c>
      <c r="AW270" s="353">
        <v>0</v>
      </c>
      <c r="AX270" s="353">
        <v>0</v>
      </c>
      <c r="AY270" s="353">
        <v>0</v>
      </c>
      <c r="AZ270" s="353">
        <v>0</v>
      </c>
      <c r="BA270" s="353">
        <v>0</v>
      </c>
      <c r="BB270" s="353">
        <v>0</v>
      </c>
    </row>
    <row r="271" spans="1:54" ht="30" x14ac:dyDescent="0.25">
      <c r="A271" s="348" t="s">
        <v>712</v>
      </c>
      <c r="B271" s="349">
        <v>27</v>
      </c>
      <c r="C271" s="380">
        <v>45107</v>
      </c>
      <c r="D271" s="351">
        <v>45103</v>
      </c>
      <c r="E271" s="352"/>
      <c r="F271" s="352">
        <v>6</v>
      </c>
      <c r="G271" s="348" t="s">
        <v>315</v>
      </c>
      <c r="H271" s="424" t="s">
        <v>717</v>
      </c>
      <c r="I271" s="350" t="s">
        <v>393</v>
      </c>
      <c r="J271" s="375">
        <f>1334036*10%</f>
        <v>133403.6</v>
      </c>
      <c r="K271" s="350" t="s">
        <v>394</v>
      </c>
      <c r="L271" s="354">
        <v>2802.3999950000002</v>
      </c>
      <c r="M271" s="375">
        <f t="shared" si="222"/>
        <v>47.60334007922377</v>
      </c>
      <c r="N271" s="354" t="s">
        <v>395</v>
      </c>
      <c r="O271" s="354">
        <v>0</v>
      </c>
      <c r="P271" s="374">
        <f t="shared" si="185"/>
        <v>2.9993976708775265</v>
      </c>
      <c r="Q271" s="354">
        <f t="shared" si="155"/>
        <v>0.28288895683056975</v>
      </c>
      <c r="R271" s="354">
        <f t="shared" si="169"/>
        <v>0.47686850360969996</v>
      </c>
      <c r="S271" s="354">
        <f t="shared" si="170"/>
        <v>0.42478807768510157</v>
      </c>
      <c r="T271" s="354">
        <f t="shared" si="171"/>
        <v>1.8127330219897713</v>
      </c>
      <c r="U271" s="374">
        <f t="shared" si="156"/>
        <v>12.037884284109738</v>
      </c>
      <c r="V271" s="354">
        <f t="shared" si="172"/>
        <v>0.31865141792377288</v>
      </c>
      <c r="W271" s="354">
        <f t="shared" si="173"/>
        <v>10.869859842268351</v>
      </c>
      <c r="X271" s="354">
        <f t="shared" si="166"/>
        <v>0.84937302391761493</v>
      </c>
      <c r="Y271" s="374">
        <f t="shared" si="186"/>
        <v>1.7647354269227573</v>
      </c>
      <c r="Z271" s="354">
        <f t="shared" si="174"/>
        <v>0.91035646409490545</v>
      </c>
      <c r="AA271" s="354">
        <f t="shared" si="167"/>
        <v>0.85437896282785175</v>
      </c>
      <c r="AB271" s="374">
        <f t="shared" si="187"/>
        <v>9.6414481572673498</v>
      </c>
      <c r="AC271" s="354">
        <f t="shared" si="175"/>
        <v>2.7361714353120465</v>
      </c>
      <c r="AD271" s="354">
        <f t="shared" si="176"/>
        <v>5.9560374219088912</v>
      </c>
      <c r="AE271" s="354">
        <f t="shared" si="177"/>
        <v>0.94923930004641233</v>
      </c>
      <c r="AF271" s="374">
        <f t="shared" si="188"/>
        <v>7.7165254946556869</v>
      </c>
      <c r="AG271" s="354">
        <f t="shared" si="178"/>
        <v>0.49591564611612371</v>
      </c>
      <c r="AH271" s="354">
        <f t="shared" si="179"/>
        <v>2.4951509751188863</v>
      </c>
      <c r="AI271" s="354">
        <f t="shared" si="159"/>
        <v>0</v>
      </c>
      <c r="AJ271" s="354">
        <f t="shared" si="160"/>
        <v>4.7254588734206777</v>
      </c>
      <c r="AK271" s="374">
        <f t="shared" si="189"/>
        <v>5.0967113881756809</v>
      </c>
      <c r="AL271" s="354">
        <f t="shared" si="180"/>
        <v>1.4602416447014226</v>
      </c>
      <c r="AM271" s="354">
        <f t="shared" si="181"/>
        <v>3.4440709675450161</v>
      </c>
      <c r="AN271" s="354">
        <f t="shared" si="182"/>
        <v>0.19239877592924259</v>
      </c>
      <c r="AO271" s="374">
        <f t="shared" si="190"/>
        <v>2.9553035373460261</v>
      </c>
      <c r="AP271" s="354">
        <f t="shared" si="183"/>
        <v>0.677682186087742</v>
      </c>
      <c r="AQ271" s="354">
        <f t="shared" si="161"/>
        <v>2.2776213512582841</v>
      </c>
      <c r="AR271" s="374">
        <f t="shared" si="223"/>
        <v>5.3913341198690024</v>
      </c>
      <c r="AS271" s="354">
        <f t="shared" si="163"/>
        <v>2.3362480998530599</v>
      </c>
      <c r="AT271" s="354">
        <f t="shared" si="184"/>
        <v>3.0550860200159429</v>
      </c>
      <c r="AU271" s="355" t="s">
        <v>396</v>
      </c>
      <c r="AV271" s="354" t="s">
        <v>397</v>
      </c>
      <c r="AW271" s="353">
        <v>0</v>
      </c>
      <c r="AX271" s="353">
        <v>0</v>
      </c>
      <c r="AY271" s="353">
        <v>0</v>
      </c>
      <c r="AZ271" s="353">
        <v>0</v>
      </c>
      <c r="BA271" s="353">
        <v>0</v>
      </c>
      <c r="BB271" s="353">
        <v>0</v>
      </c>
    </row>
    <row r="272" spans="1:54" x14ac:dyDescent="0.25">
      <c r="A272" s="348" t="s">
        <v>712</v>
      </c>
      <c r="B272" s="349">
        <v>27</v>
      </c>
      <c r="C272" s="380">
        <v>45107</v>
      </c>
      <c r="D272" s="351">
        <v>45103</v>
      </c>
      <c r="E272" s="352"/>
      <c r="F272" s="352">
        <v>6</v>
      </c>
      <c r="G272" s="348" t="s">
        <v>316</v>
      </c>
      <c r="H272" s="424" t="s">
        <v>718</v>
      </c>
      <c r="I272" s="350" t="s">
        <v>393</v>
      </c>
      <c r="J272" s="375">
        <f>690937*50%</f>
        <v>345468.5</v>
      </c>
      <c r="K272" s="350" t="s">
        <v>394</v>
      </c>
      <c r="L272" s="354">
        <v>2802.3999950000002</v>
      </c>
      <c r="M272" s="375">
        <f t="shared" si="222"/>
        <v>123.27594226961878</v>
      </c>
      <c r="N272" s="354" t="s">
        <v>395</v>
      </c>
      <c r="O272" s="354">
        <v>0</v>
      </c>
      <c r="P272" s="374">
        <f t="shared" si="185"/>
        <v>7.7673871939104542</v>
      </c>
      <c r="Q272" s="354">
        <f t="shared" si="155"/>
        <v>0.73258310557452477</v>
      </c>
      <c r="R272" s="354">
        <f t="shared" si="169"/>
        <v>1.2349220458764802</v>
      </c>
      <c r="S272" s="354">
        <f t="shared" si="170"/>
        <v>1.1000520227022021</v>
      </c>
      <c r="T272" s="354">
        <f t="shared" si="171"/>
        <v>4.6943422666800094</v>
      </c>
      <c r="U272" s="374">
        <f t="shared" si="156"/>
        <v>31.17389505834149</v>
      </c>
      <c r="V272" s="354">
        <f t="shared" si="172"/>
        <v>0.82519532735997325</v>
      </c>
      <c r="W272" s="354">
        <f t="shared" si="173"/>
        <v>28.149121724741189</v>
      </c>
      <c r="X272" s="354">
        <f t="shared" si="166"/>
        <v>2.1995780062403303</v>
      </c>
      <c r="Y272" s="374">
        <f t="shared" si="186"/>
        <v>4.570045342373553</v>
      </c>
      <c r="Z272" s="354">
        <f t="shared" si="174"/>
        <v>2.3575037114153652</v>
      </c>
      <c r="AA272" s="354">
        <f t="shared" si="167"/>
        <v>2.2125416309581878</v>
      </c>
      <c r="AB272" s="374">
        <f t="shared" si="187"/>
        <v>24.967966626979447</v>
      </c>
      <c r="AC272" s="354">
        <f t="shared" si="175"/>
        <v>7.0857236348951584</v>
      </c>
      <c r="AD272" s="354">
        <f t="shared" si="176"/>
        <v>15.42404638323652</v>
      </c>
      <c r="AE272" s="354">
        <f t="shared" si="177"/>
        <v>2.4581966088477674</v>
      </c>
      <c r="AF272" s="374">
        <f t="shared" si="188"/>
        <v>19.983092569094524</v>
      </c>
      <c r="AG272" s="354">
        <f t="shared" si="178"/>
        <v>1.2842474595158457</v>
      </c>
      <c r="AH272" s="354">
        <f t="shared" si="179"/>
        <v>6.4615652399774737</v>
      </c>
      <c r="AI272" s="354">
        <f t="shared" si="159"/>
        <v>0</v>
      </c>
      <c r="AJ272" s="354">
        <f t="shared" si="160"/>
        <v>12.237279869601204</v>
      </c>
      <c r="AK272" s="374">
        <f t="shared" si="189"/>
        <v>13.198693575030735</v>
      </c>
      <c r="AL272" s="354">
        <f t="shared" si="180"/>
        <v>3.7815133222231885</v>
      </c>
      <c r="AM272" s="354">
        <f t="shared" si="181"/>
        <v>8.9189349541640954</v>
      </c>
      <c r="AN272" s="354">
        <f t="shared" si="182"/>
        <v>0.49824529864345146</v>
      </c>
      <c r="AO272" s="374">
        <f t="shared" si="190"/>
        <v>7.6531988648853977</v>
      </c>
      <c r="AP272" s="354">
        <f t="shared" si="183"/>
        <v>1.7549589988909826</v>
      </c>
      <c r="AQ272" s="354">
        <f t="shared" si="161"/>
        <v>5.8982398659944151</v>
      </c>
      <c r="AR272" s="374">
        <f t="shared" si="223"/>
        <v>13.961663039003177</v>
      </c>
      <c r="AS272" s="354">
        <f t="shared" si="163"/>
        <v>6.0500625671577577</v>
      </c>
      <c r="AT272" s="354">
        <f t="shared" si="184"/>
        <v>7.9116004718454196</v>
      </c>
      <c r="AU272" s="355" t="s">
        <v>396</v>
      </c>
      <c r="AV272" s="354" t="s">
        <v>397</v>
      </c>
      <c r="AW272" s="353">
        <v>0</v>
      </c>
      <c r="AX272" s="353">
        <v>0</v>
      </c>
      <c r="AY272" s="353">
        <v>0</v>
      </c>
      <c r="AZ272" s="353">
        <v>0</v>
      </c>
      <c r="BA272" s="353">
        <v>0</v>
      </c>
      <c r="BB272" s="353">
        <v>0</v>
      </c>
    </row>
    <row r="273" spans="1:54" x14ac:dyDescent="0.25">
      <c r="A273" s="348" t="s">
        <v>712</v>
      </c>
      <c r="B273" s="349">
        <v>27</v>
      </c>
      <c r="C273" s="380">
        <v>45107</v>
      </c>
      <c r="D273" s="351">
        <v>45103</v>
      </c>
      <c r="E273" s="352"/>
      <c r="F273" s="352">
        <v>6</v>
      </c>
      <c r="G273" s="348" t="s">
        <v>317</v>
      </c>
      <c r="H273" s="424" t="s">
        <v>719</v>
      </c>
      <c r="I273" s="350" t="s">
        <v>393</v>
      </c>
      <c r="J273" s="375">
        <f>1251995+169809+29400+18000+40000</f>
        <v>1509204</v>
      </c>
      <c r="K273" s="350" t="s">
        <v>394</v>
      </c>
      <c r="L273" s="354">
        <v>2802.3999950000002</v>
      </c>
      <c r="M273" s="375">
        <f t="shared" si="222"/>
        <v>538.53982396970423</v>
      </c>
      <c r="N273" s="354" t="s">
        <v>395</v>
      </c>
      <c r="O273" s="354">
        <v>0</v>
      </c>
      <c r="P273" s="374">
        <f t="shared" si="185"/>
        <v>33.932389849142353</v>
      </c>
      <c r="Q273" s="354">
        <f t="shared" ref="Q273:Q285" si="224">P273*$Q$2</f>
        <v>3.200342008795289</v>
      </c>
      <c r="R273" s="354">
        <f t="shared" si="169"/>
        <v>5.3948458146689715</v>
      </c>
      <c r="S273" s="354">
        <f t="shared" si="170"/>
        <v>4.8056564140298015</v>
      </c>
      <c r="T273" s="354">
        <f t="shared" si="171"/>
        <v>20.507571967466028</v>
      </c>
      <c r="U273" s="374">
        <f t="shared" ref="U273:U285" si="225">M273*$U$2</f>
        <v>136.18540364064805</v>
      </c>
      <c r="V273" s="354">
        <f t="shared" si="172"/>
        <v>3.6049251634605799</v>
      </c>
      <c r="W273" s="354">
        <f t="shared" si="173"/>
        <v>122.97146368906661</v>
      </c>
      <c r="X273" s="354">
        <f t="shared" si="166"/>
        <v>9.609014788120863</v>
      </c>
      <c r="Y273" s="374">
        <f t="shared" si="186"/>
        <v>19.964571910004928</v>
      </c>
      <c r="Z273" s="354">
        <f t="shared" si="174"/>
        <v>10.298924594522845</v>
      </c>
      <c r="AA273" s="354">
        <f t="shared" si="167"/>
        <v>9.6656473154820812</v>
      </c>
      <c r="AB273" s="374">
        <f t="shared" si="187"/>
        <v>109.0743587484934</v>
      </c>
      <c r="AC273" s="354">
        <f t="shared" si="175"/>
        <v>30.954493543342771</v>
      </c>
      <c r="AD273" s="354">
        <f t="shared" si="176"/>
        <v>67.381056442963953</v>
      </c>
      <c r="AE273" s="354">
        <f t="shared" si="177"/>
        <v>10.73880876218667</v>
      </c>
      <c r="AF273" s="374">
        <f t="shared" si="188"/>
        <v>87.297577746300263</v>
      </c>
      <c r="AG273" s="354">
        <f t="shared" si="178"/>
        <v>5.6103274333004389</v>
      </c>
      <c r="AH273" s="354">
        <f t="shared" si="179"/>
        <v>28.227812684615134</v>
      </c>
      <c r="AI273" s="354">
        <f t="shared" ref="AI273:AI285" si="226">AF273*$AI$2</f>
        <v>0</v>
      </c>
      <c r="AJ273" s="354">
        <f t="shared" ref="AJ273:AJ285" si="227">AF273*$AJ$2</f>
        <v>53.459437628384691</v>
      </c>
      <c r="AK273" s="374">
        <f t="shared" si="189"/>
        <v>57.659442577863643</v>
      </c>
      <c r="AL273" s="354">
        <f t="shared" si="180"/>
        <v>16.519813042151529</v>
      </c>
      <c r="AM273" s="354">
        <f t="shared" si="181"/>
        <v>38.963009097976425</v>
      </c>
      <c r="AN273" s="354">
        <f t="shared" si="182"/>
        <v>2.1766204377356879</v>
      </c>
      <c r="AO273" s="374">
        <f t="shared" si="190"/>
        <v>33.433549917519258</v>
      </c>
      <c r="AP273" s="354">
        <f t="shared" si="183"/>
        <v>7.666664662515589</v>
      </c>
      <c r="AQ273" s="354">
        <f t="shared" ref="AQ273:AQ285" si="228">AO273*$AQ$2</f>
        <v>25.766885255003672</v>
      </c>
      <c r="AR273" s="374">
        <f t="shared" si="223"/>
        <v>60.99252957973232</v>
      </c>
      <c r="AS273" s="354">
        <f t="shared" ref="AS273:AS285" si="229">AR273*$AS$2</f>
        <v>26.430133649246628</v>
      </c>
      <c r="AT273" s="354">
        <f t="shared" si="184"/>
        <v>34.562395930485692</v>
      </c>
      <c r="AU273" s="355" t="s">
        <v>396</v>
      </c>
      <c r="AV273" s="354" t="s">
        <v>397</v>
      </c>
      <c r="AW273" s="353">
        <v>0</v>
      </c>
      <c r="AX273" s="353">
        <v>0</v>
      </c>
      <c r="AY273" s="353">
        <v>0</v>
      </c>
      <c r="AZ273" s="353">
        <v>0</v>
      </c>
      <c r="BA273" s="353">
        <v>0</v>
      </c>
      <c r="BB273" s="353">
        <v>0</v>
      </c>
    </row>
    <row r="274" spans="1:54" x14ac:dyDescent="0.25">
      <c r="A274" s="348" t="s">
        <v>720</v>
      </c>
      <c r="B274" s="349">
        <v>28</v>
      </c>
      <c r="C274" s="380">
        <v>45107</v>
      </c>
      <c r="D274" s="351">
        <v>45089</v>
      </c>
      <c r="E274" s="352"/>
      <c r="F274" s="352">
        <v>6</v>
      </c>
      <c r="G274" s="348" t="s">
        <v>337</v>
      </c>
      <c r="H274" s="424" t="s">
        <v>721</v>
      </c>
      <c r="I274" s="350" t="s">
        <v>393</v>
      </c>
      <c r="J274" s="375">
        <f>100000*30%</f>
        <v>30000</v>
      </c>
      <c r="K274" s="350" t="s">
        <v>394</v>
      </c>
      <c r="L274" s="354">
        <v>2802.3999950000002</v>
      </c>
      <c r="M274" s="375">
        <f t="shared" si="222"/>
        <v>10.705109924894929</v>
      </c>
      <c r="N274" s="354" t="s">
        <v>395</v>
      </c>
      <c r="O274" s="354">
        <v>0</v>
      </c>
      <c r="P274" s="374">
        <f t="shared" si="185"/>
        <v>0.67450900969933192</v>
      </c>
      <c r="Q274" s="354">
        <f t="shared" si="224"/>
        <v>6.3616489396966E-2</v>
      </c>
      <c r="R274" s="354">
        <f t="shared" si="169"/>
        <v>0.10723889841271898</v>
      </c>
      <c r="S274" s="354">
        <f t="shared" si="170"/>
        <v>9.5526974763447514E-2</v>
      </c>
      <c r="T274" s="354">
        <f t="shared" si="171"/>
        <v>0.40765009834587029</v>
      </c>
      <c r="U274" s="374">
        <f t="shared" si="225"/>
        <v>2.7070973236351357</v>
      </c>
      <c r="V274" s="354">
        <f t="shared" si="172"/>
        <v>7.1658804842696808E-2</v>
      </c>
      <c r="W274" s="354">
        <f t="shared" si="173"/>
        <v>2.4444302497687511</v>
      </c>
      <c r="X274" s="354">
        <f t="shared" si="166"/>
        <v>0.19100826902368789</v>
      </c>
      <c r="Y274" s="374">
        <f t="shared" si="186"/>
        <v>0.3968563277728841</v>
      </c>
      <c r="Z274" s="354">
        <f t="shared" si="174"/>
        <v>0.20472231576094771</v>
      </c>
      <c r="AA274" s="354">
        <f t="shared" si="167"/>
        <v>0.19213401201193636</v>
      </c>
      <c r="AB274" s="374">
        <f t="shared" si="187"/>
        <v>2.1681832028372585</v>
      </c>
      <c r="AC274" s="354">
        <f t="shared" si="175"/>
        <v>0.61531430230789419</v>
      </c>
      <c r="AD274" s="354">
        <f t="shared" si="176"/>
        <v>1.3394025547831296</v>
      </c>
      <c r="AE274" s="354">
        <f t="shared" si="177"/>
        <v>0.21346634574623452</v>
      </c>
      <c r="AF274" s="374">
        <f t="shared" si="188"/>
        <v>1.7353037312311708</v>
      </c>
      <c r="AG274" s="354">
        <f t="shared" si="178"/>
        <v>0.11152224815135207</v>
      </c>
      <c r="AH274" s="354">
        <f t="shared" si="179"/>
        <v>0.5611132627123</v>
      </c>
      <c r="AI274" s="354">
        <f t="shared" si="226"/>
        <v>0</v>
      </c>
      <c r="AJ274" s="354">
        <f t="shared" si="227"/>
        <v>1.0626682203675188</v>
      </c>
      <c r="AK274" s="374">
        <f t="shared" si="189"/>
        <v>1.1461560381074456</v>
      </c>
      <c r="AL274" s="354">
        <f t="shared" si="180"/>
        <v>0.32838131310581331</v>
      </c>
      <c r="AM274" s="354">
        <f t="shared" si="181"/>
        <v>0.77450780208592929</v>
      </c>
      <c r="AN274" s="354">
        <f t="shared" si="182"/>
        <v>4.3266922915703006E-2</v>
      </c>
      <c r="AO274" s="374">
        <f t="shared" si="190"/>
        <v>0.66459305536267976</v>
      </c>
      <c r="AP274" s="354">
        <f t="shared" si="183"/>
        <v>0.1523981780299202</v>
      </c>
      <c r="AQ274" s="354">
        <f t="shared" si="228"/>
        <v>0.51219487733275959</v>
      </c>
      <c r="AR274" s="374">
        <f t="shared" si="223"/>
        <v>1.2124112362490223</v>
      </c>
      <c r="AS274" s="354">
        <f t="shared" si="229"/>
        <v>0.5253789477614681</v>
      </c>
      <c r="AT274" s="354">
        <f t="shared" si="184"/>
        <v>0.68703228848755415</v>
      </c>
      <c r="AU274" s="355" t="s">
        <v>396</v>
      </c>
      <c r="AV274" s="354" t="s">
        <v>397</v>
      </c>
      <c r="AW274" s="353">
        <v>0</v>
      </c>
      <c r="AX274" s="353">
        <v>0</v>
      </c>
      <c r="AY274" s="353">
        <v>0</v>
      </c>
      <c r="AZ274" s="353">
        <v>0</v>
      </c>
      <c r="BA274" s="353">
        <v>0</v>
      </c>
      <c r="BB274" s="353">
        <v>0</v>
      </c>
    </row>
    <row r="275" spans="1:54" x14ac:dyDescent="0.25">
      <c r="A275" s="348" t="s">
        <v>722</v>
      </c>
      <c r="B275" s="349">
        <v>29</v>
      </c>
      <c r="C275" s="380">
        <v>45107</v>
      </c>
      <c r="D275" s="351">
        <v>45103</v>
      </c>
      <c r="E275" s="352"/>
      <c r="F275" s="352">
        <v>6</v>
      </c>
      <c r="G275" s="348" t="s">
        <v>336</v>
      </c>
      <c r="H275" s="424" t="s">
        <v>723</v>
      </c>
      <c r="I275" s="350" t="s">
        <v>393</v>
      </c>
      <c r="J275" s="375">
        <v>600000</v>
      </c>
      <c r="K275" s="350" t="s">
        <v>394</v>
      </c>
      <c r="L275" s="354">
        <v>2802.3999950000002</v>
      </c>
      <c r="M275" s="375">
        <f t="shared" si="222"/>
        <v>214.10219849789857</v>
      </c>
      <c r="N275" s="354" t="s">
        <v>395</v>
      </c>
      <c r="O275" s="354">
        <v>0</v>
      </c>
      <c r="P275" s="374">
        <f t="shared" si="185"/>
        <v>13.490180193986637</v>
      </c>
      <c r="Q275" s="354">
        <f t="shared" si="224"/>
        <v>1.2723297879393198</v>
      </c>
      <c r="R275" s="354">
        <f t="shared" si="169"/>
        <v>2.1447779682543793</v>
      </c>
      <c r="S275" s="354">
        <f t="shared" si="170"/>
        <v>1.9105394952689501</v>
      </c>
      <c r="T275" s="354">
        <f t="shared" si="171"/>
        <v>8.1530019669174045</v>
      </c>
      <c r="U275" s="374">
        <f t="shared" si="225"/>
        <v>54.141946472702706</v>
      </c>
      <c r="V275" s="354">
        <f t="shared" si="172"/>
        <v>1.433176096853936</v>
      </c>
      <c r="W275" s="354">
        <f t="shared" si="173"/>
        <v>48.888604995375019</v>
      </c>
      <c r="X275" s="354">
        <f t="shared" si="166"/>
        <v>3.8201653804737572</v>
      </c>
      <c r="Y275" s="374">
        <f t="shared" si="186"/>
        <v>7.9371265554576818</v>
      </c>
      <c r="Z275" s="354">
        <f t="shared" si="174"/>
        <v>4.0944463152189536</v>
      </c>
      <c r="AA275" s="354">
        <f t="shared" si="167"/>
        <v>3.8426802402387272</v>
      </c>
      <c r="AB275" s="374">
        <f t="shared" si="187"/>
        <v>43.363664056745165</v>
      </c>
      <c r="AC275" s="354">
        <f t="shared" si="175"/>
        <v>12.306286046157883</v>
      </c>
      <c r="AD275" s="354">
        <f t="shared" si="176"/>
        <v>26.788051095662592</v>
      </c>
      <c r="AE275" s="354">
        <f t="shared" si="177"/>
        <v>4.2693269149246902</v>
      </c>
      <c r="AF275" s="374">
        <f t="shared" si="188"/>
        <v>34.706074624623412</v>
      </c>
      <c r="AG275" s="354">
        <f t="shared" si="178"/>
        <v>2.2304449630270415</v>
      </c>
      <c r="AH275" s="354">
        <f t="shared" si="179"/>
        <v>11.222265254245999</v>
      </c>
      <c r="AI275" s="354">
        <f t="shared" si="226"/>
        <v>0</v>
      </c>
      <c r="AJ275" s="354">
        <f t="shared" si="227"/>
        <v>21.253364407350372</v>
      </c>
      <c r="AK275" s="374">
        <f t="shared" si="189"/>
        <v>22.923120762148912</v>
      </c>
      <c r="AL275" s="354">
        <f t="shared" si="180"/>
        <v>6.5676262621162662</v>
      </c>
      <c r="AM275" s="354">
        <f t="shared" si="181"/>
        <v>15.490156041718587</v>
      </c>
      <c r="AN275" s="354">
        <f t="shared" si="182"/>
        <v>0.8653384583140602</v>
      </c>
      <c r="AO275" s="374">
        <f t="shared" si="190"/>
        <v>13.291861107253595</v>
      </c>
      <c r="AP275" s="354">
        <f t="shared" si="183"/>
        <v>3.0479635605984039</v>
      </c>
      <c r="AQ275" s="354">
        <f t="shared" si="228"/>
        <v>10.243897546655193</v>
      </c>
      <c r="AR275" s="374">
        <f t="shared" si="223"/>
        <v>24.248224724980446</v>
      </c>
      <c r="AS275" s="354">
        <f t="shared" si="229"/>
        <v>10.507578955229363</v>
      </c>
      <c r="AT275" s="354">
        <f t="shared" si="184"/>
        <v>13.740645769751085</v>
      </c>
      <c r="AU275" s="355" t="s">
        <v>396</v>
      </c>
      <c r="AV275" s="354" t="s">
        <v>397</v>
      </c>
      <c r="AW275" s="353">
        <v>0</v>
      </c>
      <c r="AX275" s="353">
        <v>0</v>
      </c>
      <c r="AY275" s="353">
        <v>0</v>
      </c>
      <c r="AZ275" s="353">
        <v>0</v>
      </c>
      <c r="BA275" s="353">
        <v>0</v>
      </c>
      <c r="BB275" s="353">
        <v>0</v>
      </c>
    </row>
    <row r="276" spans="1:54" x14ac:dyDescent="0.25">
      <c r="A276" s="348" t="s">
        <v>724</v>
      </c>
      <c r="B276" s="349">
        <v>30</v>
      </c>
      <c r="C276" s="380">
        <v>45107</v>
      </c>
      <c r="D276" s="351">
        <v>45107</v>
      </c>
      <c r="E276" s="352"/>
      <c r="F276" s="352">
        <v>6</v>
      </c>
      <c r="G276" s="348" t="s">
        <v>335</v>
      </c>
      <c r="H276" s="424" t="s">
        <v>725</v>
      </c>
      <c r="I276" s="350" t="s">
        <v>393</v>
      </c>
      <c r="J276" s="375">
        <v>200000</v>
      </c>
      <c r="K276" s="350" t="s">
        <v>394</v>
      </c>
      <c r="L276" s="354">
        <v>2802.3999950000002</v>
      </c>
      <c r="M276" s="375">
        <f t="shared" si="222"/>
        <v>71.367399499299523</v>
      </c>
      <c r="N276" s="354" t="s">
        <v>395</v>
      </c>
      <c r="O276" s="354">
        <v>0</v>
      </c>
      <c r="P276" s="374">
        <f t="shared" si="185"/>
        <v>4.496726731328879</v>
      </c>
      <c r="Q276" s="354">
        <f t="shared" si="224"/>
        <v>0.42410992931310659</v>
      </c>
      <c r="R276" s="354">
        <f t="shared" si="169"/>
        <v>0.71492598941812646</v>
      </c>
      <c r="S276" s="354">
        <f t="shared" si="170"/>
        <v>0.63684649842298335</v>
      </c>
      <c r="T276" s="354">
        <f t="shared" si="171"/>
        <v>2.7176673223058017</v>
      </c>
      <c r="U276" s="374">
        <f t="shared" si="225"/>
        <v>18.047315490900903</v>
      </c>
      <c r="V276" s="354">
        <f t="shared" si="172"/>
        <v>0.47772536561797868</v>
      </c>
      <c r="W276" s="354">
        <f t="shared" si="173"/>
        <v>16.296201665125007</v>
      </c>
      <c r="X276" s="354">
        <f t="shared" si="166"/>
        <v>1.2733884601579193</v>
      </c>
      <c r="Y276" s="374">
        <f t="shared" si="186"/>
        <v>2.6457088518192271</v>
      </c>
      <c r="Z276" s="354">
        <f t="shared" si="174"/>
        <v>1.364815438406318</v>
      </c>
      <c r="AA276" s="354">
        <f t="shared" si="167"/>
        <v>1.2808934134129091</v>
      </c>
      <c r="AB276" s="374">
        <f t="shared" si="187"/>
        <v>14.454554685581723</v>
      </c>
      <c r="AC276" s="354">
        <f t="shared" si="175"/>
        <v>4.1020953487192946</v>
      </c>
      <c r="AD276" s="354">
        <f t="shared" si="176"/>
        <v>8.9293503652208646</v>
      </c>
      <c r="AE276" s="354">
        <f t="shared" si="177"/>
        <v>1.4231089716415635</v>
      </c>
      <c r="AF276" s="374">
        <f t="shared" si="188"/>
        <v>11.568691541541138</v>
      </c>
      <c r="AG276" s="354">
        <f t="shared" si="178"/>
        <v>0.74348165434234714</v>
      </c>
      <c r="AH276" s="354">
        <f t="shared" si="179"/>
        <v>3.7407550847486668</v>
      </c>
      <c r="AI276" s="354">
        <f t="shared" si="226"/>
        <v>0</v>
      </c>
      <c r="AJ276" s="354">
        <f t="shared" si="227"/>
        <v>7.084454802450125</v>
      </c>
      <c r="AK276" s="374">
        <f t="shared" si="189"/>
        <v>7.6410402540496367</v>
      </c>
      <c r="AL276" s="354">
        <f t="shared" si="180"/>
        <v>2.1892087540387553</v>
      </c>
      <c r="AM276" s="354">
        <f t="shared" si="181"/>
        <v>5.1633853472395286</v>
      </c>
      <c r="AN276" s="354">
        <f t="shared" si="182"/>
        <v>0.28844615277135338</v>
      </c>
      <c r="AO276" s="374">
        <f t="shared" si="190"/>
        <v>4.4306203690845321</v>
      </c>
      <c r="AP276" s="354">
        <f t="shared" si="183"/>
        <v>1.0159878535328013</v>
      </c>
      <c r="AQ276" s="354">
        <f t="shared" si="228"/>
        <v>3.4146325155517308</v>
      </c>
      <c r="AR276" s="374">
        <f t="shared" si="223"/>
        <v>8.0827415749934826</v>
      </c>
      <c r="AS276" s="354">
        <f t="shared" si="229"/>
        <v>3.5025263184097879</v>
      </c>
      <c r="AT276" s="354">
        <f t="shared" si="184"/>
        <v>4.5802152565836947</v>
      </c>
      <c r="AU276" s="355" t="s">
        <v>396</v>
      </c>
      <c r="AV276" s="354" t="s">
        <v>397</v>
      </c>
      <c r="AW276" s="353">
        <v>0</v>
      </c>
      <c r="AX276" s="353">
        <v>0</v>
      </c>
      <c r="AY276" s="353">
        <v>0</v>
      </c>
      <c r="AZ276" s="353">
        <v>0</v>
      </c>
      <c r="BA276" s="353">
        <v>0</v>
      </c>
      <c r="BB276" s="353">
        <v>0</v>
      </c>
    </row>
    <row r="277" spans="1:54" x14ac:dyDescent="0.25">
      <c r="A277" s="348" t="s">
        <v>724</v>
      </c>
      <c r="B277" s="349">
        <v>31</v>
      </c>
      <c r="C277" s="380">
        <v>45107</v>
      </c>
      <c r="D277" s="351">
        <v>45107</v>
      </c>
      <c r="E277" s="352"/>
      <c r="F277" s="352">
        <v>6</v>
      </c>
      <c r="G277" s="348" t="s">
        <v>338</v>
      </c>
      <c r="H277" s="424" t="s">
        <v>726</v>
      </c>
      <c r="I277" s="350" t="s">
        <v>393</v>
      </c>
      <c r="J277" s="375">
        <v>70000</v>
      </c>
      <c r="K277" s="350" t="s">
        <v>394</v>
      </c>
      <c r="L277" s="354">
        <v>2802.3999950000002</v>
      </c>
      <c r="M277" s="375">
        <f t="shared" si="222"/>
        <v>24.978589824754835</v>
      </c>
      <c r="N277" s="354" t="s">
        <v>395</v>
      </c>
      <c r="O277" s="354">
        <v>0</v>
      </c>
      <c r="P277" s="374">
        <f t="shared" si="185"/>
        <v>1.5738543559651077</v>
      </c>
      <c r="Q277" s="354">
        <f t="shared" si="224"/>
        <v>0.14843847525958731</v>
      </c>
      <c r="R277" s="354">
        <f t="shared" si="169"/>
        <v>0.25022409629634429</v>
      </c>
      <c r="S277" s="354">
        <f t="shared" si="170"/>
        <v>0.22289627444804419</v>
      </c>
      <c r="T277" s="354">
        <f t="shared" si="171"/>
        <v>0.95118356280703054</v>
      </c>
      <c r="U277" s="374">
        <f t="shared" si="225"/>
        <v>6.316560421815316</v>
      </c>
      <c r="V277" s="354">
        <f t="shared" si="172"/>
        <v>0.16720387796629255</v>
      </c>
      <c r="W277" s="354">
        <f t="shared" si="173"/>
        <v>5.7036705827937517</v>
      </c>
      <c r="X277" s="354">
        <f t="shared" si="166"/>
        <v>0.4456859610552717</v>
      </c>
      <c r="Y277" s="374">
        <f t="shared" si="186"/>
        <v>0.92599809813672962</v>
      </c>
      <c r="Z277" s="354">
        <f t="shared" si="174"/>
        <v>0.47768540344221133</v>
      </c>
      <c r="AA277" s="354">
        <f t="shared" si="167"/>
        <v>0.44831269469451823</v>
      </c>
      <c r="AB277" s="374">
        <f t="shared" si="187"/>
        <v>5.0590941399536034</v>
      </c>
      <c r="AC277" s="354">
        <f t="shared" si="175"/>
        <v>1.4357333720517531</v>
      </c>
      <c r="AD277" s="354">
        <f t="shared" si="176"/>
        <v>3.1252726278273029</v>
      </c>
      <c r="AE277" s="354">
        <f t="shared" si="177"/>
        <v>0.49808814007454721</v>
      </c>
      <c r="AF277" s="374">
        <f t="shared" si="188"/>
        <v>4.0490420395393985</v>
      </c>
      <c r="AG277" s="354">
        <f t="shared" si="178"/>
        <v>0.26021857901982154</v>
      </c>
      <c r="AH277" s="354">
        <f t="shared" si="179"/>
        <v>1.3092642796620335</v>
      </c>
      <c r="AI277" s="354">
        <f t="shared" si="226"/>
        <v>0</v>
      </c>
      <c r="AJ277" s="354">
        <f t="shared" si="227"/>
        <v>2.4795591808575437</v>
      </c>
      <c r="AK277" s="374">
        <f t="shared" si="189"/>
        <v>2.6743640889173732</v>
      </c>
      <c r="AL277" s="354">
        <f t="shared" si="180"/>
        <v>0.76622306391356443</v>
      </c>
      <c r="AM277" s="354">
        <f t="shared" si="181"/>
        <v>1.8071848715338352</v>
      </c>
      <c r="AN277" s="354">
        <f t="shared" si="182"/>
        <v>0.10095615346997369</v>
      </c>
      <c r="AO277" s="374">
        <f t="shared" si="190"/>
        <v>1.5507171291795863</v>
      </c>
      <c r="AP277" s="354">
        <f t="shared" si="183"/>
        <v>0.35559574873648048</v>
      </c>
      <c r="AQ277" s="354">
        <f t="shared" si="228"/>
        <v>1.1951213804431058</v>
      </c>
      <c r="AR277" s="374">
        <f t="shared" si="223"/>
        <v>2.8289595512477188</v>
      </c>
      <c r="AS277" s="354">
        <f t="shared" si="229"/>
        <v>1.2258842114434256</v>
      </c>
      <c r="AT277" s="354">
        <f t="shared" si="184"/>
        <v>1.6030753398042932</v>
      </c>
      <c r="AU277" s="355" t="s">
        <v>396</v>
      </c>
      <c r="AV277" s="354" t="s">
        <v>397</v>
      </c>
      <c r="AW277" s="353">
        <v>0</v>
      </c>
      <c r="AX277" s="353">
        <v>0</v>
      </c>
      <c r="AY277" s="353">
        <v>0</v>
      </c>
      <c r="AZ277" s="353">
        <v>0</v>
      </c>
      <c r="BA277" s="353">
        <v>0</v>
      </c>
      <c r="BB277" s="353">
        <v>0</v>
      </c>
    </row>
    <row r="278" spans="1:54" x14ac:dyDescent="0.25">
      <c r="A278" s="348" t="s">
        <v>724</v>
      </c>
      <c r="B278" s="349">
        <v>32</v>
      </c>
      <c r="C278" s="380">
        <v>45107</v>
      </c>
      <c r="D278" s="351">
        <v>45107</v>
      </c>
      <c r="E278" s="352"/>
      <c r="F278" s="352">
        <v>6</v>
      </c>
      <c r="G278" s="348" t="s">
        <v>339</v>
      </c>
      <c r="H278" s="424" t="s">
        <v>727</v>
      </c>
      <c r="I278" s="350" t="s">
        <v>393</v>
      </c>
      <c r="J278" s="375">
        <v>60000</v>
      </c>
      <c r="K278" s="350" t="s">
        <v>394</v>
      </c>
      <c r="L278" s="354">
        <v>2802.3999950000002</v>
      </c>
      <c r="M278" s="375">
        <f t="shared" si="222"/>
        <v>21.410219849789858</v>
      </c>
      <c r="N278" s="354" t="s">
        <v>395</v>
      </c>
      <c r="O278" s="354">
        <v>0</v>
      </c>
      <c r="P278" s="374">
        <f t="shared" si="185"/>
        <v>1.3490180193986638</v>
      </c>
      <c r="Q278" s="354">
        <f t="shared" si="224"/>
        <v>0.127232978793932</v>
      </c>
      <c r="R278" s="354">
        <f t="shared" si="169"/>
        <v>0.21447779682543797</v>
      </c>
      <c r="S278" s="354">
        <f t="shared" si="170"/>
        <v>0.19105394952689503</v>
      </c>
      <c r="T278" s="354">
        <f t="shared" si="171"/>
        <v>0.81530019669174059</v>
      </c>
      <c r="U278" s="374">
        <f t="shared" si="225"/>
        <v>5.4141946472702713</v>
      </c>
      <c r="V278" s="354">
        <f t="shared" si="172"/>
        <v>0.14331760968539362</v>
      </c>
      <c r="W278" s="354">
        <f t="shared" si="173"/>
        <v>4.8888604995375022</v>
      </c>
      <c r="X278" s="354">
        <f t="shared" si="166"/>
        <v>0.38201653804737579</v>
      </c>
      <c r="Y278" s="374">
        <f t="shared" si="186"/>
        <v>0.7937126555457682</v>
      </c>
      <c r="Z278" s="354">
        <f t="shared" si="174"/>
        <v>0.40944463152189542</v>
      </c>
      <c r="AA278" s="354">
        <f t="shared" si="167"/>
        <v>0.38426802402387272</v>
      </c>
      <c r="AB278" s="374">
        <f t="shared" si="187"/>
        <v>4.336366405674517</v>
      </c>
      <c r="AC278" s="354">
        <f t="shared" si="175"/>
        <v>1.2306286046157884</v>
      </c>
      <c r="AD278" s="354">
        <f t="shared" si="176"/>
        <v>2.6788051095662593</v>
      </c>
      <c r="AE278" s="354">
        <f t="shared" si="177"/>
        <v>0.42693269149246904</v>
      </c>
      <c r="AF278" s="374">
        <f t="shared" si="188"/>
        <v>3.4706074624623415</v>
      </c>
      <c r="AG278" s="354">
        <f t="shared" si="178"/>
        <v>0.22304449630270415</v>
      </c>
      <c r="AH278" s="354">
        <f t="shared" si="179"/>
        <v>1.1222265254246</v>
      </c>
      <c r="AI278" s="354">
        <f t="shared" si="226"/>
        <v>0</v>
      </c>
      <c r="AJ278" s="354">
        <f t="shared" si="227"/>
        <v>2.1253364407350377</v>
      </c>
      <c r="AK278" s="374">
        <f t="shared" si="189"/>
        <v>2.2923120762148912</v>
      </c>
      <c r="AL278" s="354">
        <f t="shared" si="180"/>
        <v>0.65676262621162662</v>
      </c>
      <c r="AM278" s="354">
        <f t="shared" si="181"/>
        <v>1.5490156041718586</v>
      </c>
      <c r="AN278" s="354">
        <f t="shared" si="182"/>
        <v>8.6533845831406012E-2</v>
      </c>
      <c r="AO278" s="374">
        <f t="shared" si="190"/>
        <v>1.3291861107253595</v>
      </c>
      <c r="AP278" s="354">
        <f t="shared" si="183"/>
        <v>0.3047963560598404</v>
      </c>
      <c r="AQ278" s="354">
        <f t="shared" si="228"/>
        <v>1.0243897546655192</v>
      </c>
      <c r="AR278" s="374">
        <f t="shared" si="223"/>
        <v>2.4248224724980445</v>
      </c>
      <c r="AS278" s="354">
        <f t="shared" si="229"/>
        <v>1.0507578955229362</v>
      </c>
      <c r="AT278" s="354">
        <f t="shared" si="184"/>
        <v>1.3740645769751083</v>
      </c>
      <c r="AU278" s="355" t="s">
        <v>396</v>
      </c>
      <c r="AV278" s="354" t="s">
        <v>397</v>
      </c>
      <c r="AW278" s="353">
        <v>0</v>
      </c>
      <c r="AX278" s="353">
        <v>0</v>
      </c>
      <c r="AY278" s="353">
        <v>0</v>
      </c>
      <c r="AZ278" s="353">
        <v>0</v>
      </c>
      <c r="BA278" s="353">
        <v>0</v>
      </c>
      <c r="BB278" s="353">
        <v>0</v>
      </c>
    </row>
    <row r="279" spans="1:54" x14ac:dyDescent="0.25">
      <c r="A279" s="348" t="s">
        <v>724</v>
      </c>
      <c r="B279" s="349">
        <v>33</v>
      </c>
      <c r="C279" s="380">
        <v>45107</v>
      </c>
      <c r="D279" s="351">
        <v>45107</v>
      </c>
      <c r="E279" s="352"/>
      <c r="F279" s="352">
        <v>6</v>
      </c>
      <c r="G279" s="348" t="s">
        <v>340</v>
      </c>
      <c r="H279" s="424" t="s">
        <v>728</v>
      </c>
      <c r="I279" s="350" t="s">
        <v>393</v>
      </c>
      <c r="J279" s="375">
        <v>29495</v>
      </c>
      <c r="K279" s="350" t="s">
        <v>394</v>
      </c>
      <c r="L279" s="354">
        <v>2802.3999950000002</v>
      </c>
      <c r="M279" s="375">
        <f t="shared" si="222"/>
        <v>10.524907241159196</v>
      </c>
      <c r="N279" s="354" t="s">
        <v>395</v>
      </c>
      <c r="O279" s="354">
        <v>0</v>
      </c>
      <c r="P279" s="374">
        <f t="shared" si="185"/>
        <v>0.66315477470272644</v>
      </c>
      <c r="Q279" s="354">
        <f t="shared" si="224"/>
        <v>6.254561182545039E-2</v>
      </c>
      <c r="R279" s="354">
        <f t="shared" si="169"/>
        <v>0.10543371028943821</v>
      </c>
      <c r="S279" s="354">
        <f t="shared" si="170"/>
        <v>9.3918937354929469E-2</v>
      </c>
      <c r="T279" s="354">
        <f t="shared" si="171"/>
        <v>0.4007879883570481</v>
      </c>
      <c r="U279" s="374">
        <f t="shared" si="225"/>
        <v>2.6615278520206105</v>
      </c>
      <c r="V279" s="354">
        <f t="shared" si="172"/>
        <v>7.0452548294511405E-2</v>
      </c>
      <c r="W279" s="354">
        <f t="shared" si="173"/>
        <v>2.40328234056431</v>
      </c>
      <c r="X279" s="354">
        <f t="shared" si="166"/>
        <v>0.18779296316178912</v>
      </c>
      <c r="Y279" s="374">
        <f t="shared" si="186"/>
        <v>0.39017591292204051</v>
      </c>
      <c r="Z279" s="354">
        <f t="shared" si="174"/>
        <v>0.20127615677897173</v>
      </c>
      <c r="AA279" s="354">
        <f t="shared" si="167"/>
        <v>0.18889975614306875</v>
      </c>
      <c r="AB279" s="374">
        <f t="shared" si="187"/>
        <v>2.1316854522561646</v>
      </c>
      <c r="AC279" s="354">
        <f t="shared" si="175"/>
        <v>0.60495651155237795</v>
      </c>
      <c r="AD279" s="354">
        <f t="shared" si="176"/>
        <v>1.3168559451109469</v>
      </c>
      <c r="AE279" s="354">
        <f t="shared" si="177"/>
        <v>0.20987299559283956</v>
      </c>
      <c r="AF279" s="374">
        <f t="shared" si="188"/>
        <v>1.7060927850887793</v>
      </c>
      <c r="AG279" s="354">
        <f t="shared" si="178"/>
        <v>0.10964495697413765</v>
      </c>
      <c r="AH279" s="354">
        <f t="shared" si="179"/>
        <v>0.5516678561233096</v>
      </c>
      <c r="AI279" s="354">
        <f t="shared" si="226"/>
        <v>0</v>
      </c>
      <c r="AJ279" s="354">
        <f t="shared" si="227"/>
        <v>1.0447799719913322</v>
      </c>
      <c r="AK279" s="374">
        <f t="shared" si="189"/>
        <v>1.1268624114659702</v>
      </c>
      <c r="AL279" s="354">
        <f t="shared" si="180"/>
        <v>0.32285356100186546</v>
      </c>
      <c r="AM279" s="354">
        <f t="shared" si="181"/>
        <v>0.76147025408414948</v>
      </c>
      <c r="AN279" s="354">
        <f t="shared" si="182"/>
        <v>4.2538596379955343E-2</v>
      </c>
      <c r="AO279" s="374">
        <f t="shared" si="190"/>
        <v>0.65340573893074128</v>
      </c>
      <c r="AP279" s="354">
        <f t="shared" si="183"/>
        <v>0.14983280869974985</v>
      </c>
      <c r="AQ279" s="354">
        <f t="shared" si="228"/>
        <v>0.50357293023099148</v>
      </c>
      <c r="AR279" s="374">
        <f t="shared" si="223"/>
        <v>1.1920023137721636</v>
      </c>
      <c r="AS279" s="354">
        <f t="shared" si="229"/>
        <v>0.51653506880748334</v>
      </c>
      <c r="AT279" s="354">
        <f t="shared" si="184"/>
        <v>0.67546724496468025</v>
      </c>
      <c r="AU279" s="355" t="s">
        <v>396</v>
      </c>
      <c r="AV279" s="354" t="s">
        <v>397</v>
      </c>
      <c r="AW279" s="353">
        <v>0</v>
      </c>
      <c r="AX279" s="353">
        <v>0</v>
      </c>
      <c r="AY279" s="353">
        <v>0</v>
      </c>
      <c r="AZ279" s="353">
        <v>0</v>
      </c>
      <c r="BA279" s="353">
        <v>0</v>
      </c>
      <c r="BB279" s="353">
        <v>0</v>
      </c>
    </row>
    <row r="280" spans="1:54" x14ac:dyDescent="0.25">
      <c r="A280" s="348" t="s">
        <v>729</v>
      </c>
      <c r="B280" s="349">
        <v>34</v>
      </c>
      <c r="C280" s="380">
        <v>45107</v>
      </c>
      <c r="D280" s="351">
        <v>45084</v>
      </c>
      <c r="E280" s="352"/>
      <c r="F280" s="352">
        <v>6</v>
      </c>
      <c r="G280" s="348" t="s">
        <v>339</v>
      </c>
      <c r="H280" s="424" t="s">
        <v>730</v>
      </c>
      <c r="I280" s="350" t="s">
        <v>393</v>
      </c>
      <c r="J280" s="375">
        <v>60000</v>
      </c>
      <c r="K280" s="350" t="s">
        <v>394</v>
      </c>
      <c r="L280" s="354">
        <v>2802.3999950000002</v>
      </c>
      <c r="M280" s="375">
        <f t="shared" si="222"/>
        <v>21.410219849789858</v>
      </c>
      <c r="N280" s="354" t="s">
        <v>395</v>
      </c>
      <c r="O280" s="354">
        <v>0</v>
      </c>
      <c r="P280" s="374">
        <f t="shared" si="185"/>
        <v>1.3490180193986638</v>
      </c>
      <c r="Q280" s="354">
        <f t="shared" ref="Q280" si="230">P280*$Q$2</f>
        <v>0.127232978793932</v>
      </c>
      <c r="R280" s="354">
        <f t="shared" ref="R280" si="231">P280*$R$2</f>
        <v>0.21447779682543797</v>
      </c>
      <c r="S280" s="354">
        <f t="shared" ref="S280" si="232">P280*$S$2</f>
        <v>0.19105394952689503</v>
      </c>
      <c r="T280" s="354">
        <f t="shared" ref="T280" si="233">P280*$T$2</f>
        <v>0.81530019669174059</v>
      </c>
      <c r="U280" s="374">
        <f t="shared" ref="U280" si="234">M280*$U$2</f>
        <v>5.4141946472702713</v>
      </c>
      <c r="V280" s="354">
        <f t="shared" ref="V280" si="235">U280*$V$2</f>
        <v>0.14331760968539362</v>
      </c>
      <c r="W280" s="354">
        <f t="shared" ref="W280" si="236">U280*$W$2</f>
        <v>4.8888604995375022</v>
      </c>
      <c r="X280" s="354">
        <f t="shared" ref="X280" si="237">U280*$X$2</f>
        <v>0.38201653804737579</v>
      </c>
      <c r="Y280" s="374">
        <f t="shared" ref="Y280" si="238">M280*$Y$2</f>
        <v>0.7937126555457682</v>
      </c>
      <c r="Z280" s="354">
        <f t="shared" ref="Z280" si="239">Y280*$Z$2</f>
        <v>0.40944463152189542</v>
      </c>
      <c r="AA280" s="354">
        <f t="shared" ref="AA280" si="240">Y280*$AA$2</f>
        <v>0.38426802402387272</v>
      </c>
      <c r="AB280" s="374">
        <f t="shared" ref="AB280" si="241">M280*$AB$2</f>
        <v>4.336366405674517</v>
      </c>
      <c r="AC280" s="354">
        <f t="shared" ref="AC280" si="242">AB280*$AC$2</f>
        <v>1.2306286046157884</v>
      </c>
      <c r="AD280" s="354">
        <f t="shared" ref="AD280" si="243">AB280*$AD$2</f>
        <v>2.6788051095662593</v>
      </c>
      <c r="AE280" s="354">
        <f t="shared" ref="AE280" si="244">AB280*$AE$2</f>
        <v>0.42693269149246904</v>
      </c>
      <c r="AF280" s="374">
        <f t="shared" ref="AF280" si="245">M280*$AF$2</f>
        <v>3.4706074624623415</v>
      </c>
      <c r="AG280" s="354">
        <f t="shared" ref="AG280" si="246">AF280*$AG$2</f>
        <v>0.22304449630270415</v>
      </c>
      <c r="AH280" s="354">
        <f t="shared" ref="AH280" si="247">AF280*$AH$2</f>
        <v>1.1222265254246</v>
      </c>
      <c r="AI280" s="354">
        <f t="shared" ref="AI280" si="248">AF280*$AI$2</f>
        <v>0</v>
      </c>
      <c r="AJ280" s="354">
        <f t="shared" ref="AJ280" si="249">AF280*$AJ$2</f>
        <v>2.1253364407350377</v>
      </c>
      <c r="AK280" s="374">
        <f t="shared" ref="AK280" si="250">M280*$AK$2</f>
        <v>2.2923120762148912</v>
      </c>
      <c r="AL280" s="354">
        <f t="shared" ref="AL280" si="251">AK280*$AL$2</f>
        <v>0.65676262621162662</v>
      </c>
      <c r="AM280" s="354">
        <f t="shared" ref="AM280" si="252">AK280*$AM$2</f>
        <v>1.5490156041718586</v>
      </c>
      <c r="AN280" s="354">
        <f t="shared" ref="AN280" si="253">AK280*$AN$2</f>
        <v>8.6533845831406012E-2</v>
      </c>
      <c r="AO280" s="374">
        <f t="shared" ref="AO280" si="254">M280*$AO$2</f>
        <v>1.3291861107253595</v>
      </c>
      <c r="AP280" s="354">
        <f t="shared" ref="AP280" si="255">AO280*$AP$2</f>
        <v>0.3047963560598404</v>
      </c>
      <c r="AQ280" s="354">
        <f t="shared" ref="AQ280" si="256">AO280*$AQ$2</f>
        <v>1.0243897546655192</v>
      </c>
      <c r="AR280" s="374">
        <f t="shared" ref="AR280" si="257">M280*$AR$2</f>
        <v>2.4248224724980445</v>
      </c>
      <c r="AS280" s="354">
        <f t="shared" ref="AS280" si="258">AR280*$AS$2</f>
        <v>1.0507578955229362</v>
      </c>
      <c r="AT280" s="354">
        <f t="shared" ref="AT280" si="259">AR280*$AT$2</f>
        <v>1.3740645769751083</v>
      </c>
      <c r="AU280" s="355" t="s">
        <v>396</v>
      </c>
      <c r="AV280" s="354" t="s">
        <v>397</v>
      </c>
      <c r="AW280" s="353">
        <v>0</v>
      </c>
      <c r="AX280" s="353">
        <v>0</v>
      </c>
      <c r="AY280" s="353">
        <v>0</v>
      </c>
      <c r="AZ280" s="353">
        <v>0</v>
      </c>
      <c r="BA280" s="353">
        <v>0</v>
      </c>
      <c r="BB280" s="353">
        <v>0</v>
      </c>
    </row>
    <row r="281" spans="1:54" x14ac:dyDescent="0.25">
      <c r="A281" s="348" t="s">
        <v>731</v>
      </c>
      <c r="B281" s="349">
        <v>35</v>
      </c>
      <c r="C281" s="380">
        <v>45107</v>
      </c>
      <c r="D281" s="351">
        <v>45107</v>
      </c>
      <c r="E281" s="352"/>
      <c r="F281" s="352">
        <v>6</v>
      </c>
      <c r="G281" s="348" t="s">
        <v>340</v>
      </c>
      <c r="H281" s="424" t="s">
        <v>732</v>
      </c>
      <c r="I281" s="350" t="s">
        <v>393</v>
      </c>
      <c r="J281" s="375">
        <v>29495</v>
      </c>
      <c r="K281" s="350" t="s">
        <v>394</v>
      </c>
      <c r="L281" s="354">
        <v>2802.3999950000002</v>
      </c>
      <c r="M281" s="375">
        <f t="shared" si="222"/>
        <v>10.524907241159196</v>
      </c>
      <c r="N281" s="354" t="s">
        <v>395</v>
      </c>
      <c r="O281" s="354">
        <v>0</v>
      </c>
      <c r="P281" s="374">
        <f t="shared" si="185"/>
        <v>0.66315477470272644</v>
      </c>
      <c r="Q281" s="354">
        <f t="shared" si="224"/>
        <v>6.254561182545039E-2</v>
      </c>
      <c r="R281" s="354">
        <f t="shared" si="169"/>
        <v>0.10543371028943821</v>
      </c>
      <c r="S281" s="354">
        <f t="shared" si="170"/>
        <v>9.3918937354929469E-2</v>
      </c>
      <c r="T281" s="354">
        <f t="shared" si="171"/>
        <v>0.4007879883570481</v>
      </c>
      <c r="U281" s="374">
        <f t="shared" si="225"/>
        <v>2.6615278520206105</v>
      </c>
      <c r="V281" s="354">
        <f t="shared" si="172"/>
        <v>7.0452548294511405E-2</v>
      </c>
      <c r="W281" s="354">
        <f t="shared" si="173"/>
        <v>2.40328234056431</v>
      </c>
      <c r="X281" s="354">
        <f t="shared" si="166"/>
        <v>0.18779296316178912</v>
      </c>
      <c r="Y281" s="374">
        <f t="shared" si="186"/>
        <v>0.39017591292204051</v>
      </c>
      <c r="Z281" s="354">
        <f t="shared" si="174"/>
        <v>0.20127615677897173</v>
      </c>
      <c r="AA281" s="354">
        <f t="shared" si="167"/>
        <v>0.18889975614306875</v>
      </c>
      <c r="AB281" s="374">
        <f t="shared" si="187"/>
        <v>2.1316854522561646</v>
      </c>
      <c r="AC281" s="354">
        <f t="shared" si="175"/>
        <v>0.60495651155237795</v>
      </c>
      <c r="AD281" s="354">
        <f t="shared" si="176"/>
        <v>1.3168559451109469</v>
      </c>
      <c r="AE281" s="354">
        <f t="shared" si="177"/>
        <v>0.20987299559283956</v>
      </c>
      <c r="AF281" s="374">
        <f t="shared" si="188"/>
        <v>1.7060927850887793</v>
      </c>
      <c r="AG281" s="354">
        <f t="shared" si="178"/>
        <v>0.10964495697413765</v>
      </c>
      <c r="AH281" s="354">
        <f t="shared" si="179"/>
        <v>0.5516678561233096</v>
      </c>
      <c r="AI281" s="354">
        <f t="shared" si="226"/>
        <v>0</v>
      </c>
      <c r="AJ281" s="354">
        <f t="shared" si="227"/>
        <v>1.0447799719913322</v>
      </c>
      <c r="AK281" s="374">
        <f t="shared" si="189"/>
        <v>1.1268624114659702</v>
      </c>
      <c r="AL281" s="354">
        <f t="shared" si="180"/>
        <v>0.32285356100186546</v>
      </c>
      <c r="AM281" s="354">
        <f t="shared" si="181"/>
        <v>0.76147025408414948</v>
      </c>
      <c r="AN281" s="354">
        <f t="shared" si="182"/>
        <v>4.2538596379955343E-2</v>
      </c>
      <c r="AO281" s="374">
        <f t="shared" si="190"/>
        <v>0.65340573893074128</v>
      </c>
      <c r="AP281" s="354">
        <f t="shared" si="183"/>
        <v>0.14983280869974985</v>
      </c>
      <c r="AQ281" s="354">
        <f t="shared" si="228"/>
        <v>0.50357293023099148</v>
      </c>
      <c r="AR281" s="374">
        <f t="shared" si="223"/>
        <v>1.1920023137721636</v>
      </c>
      <c r="AS281" s="354">
        <f t="shared" si="229"/>
        <v>0.51653506880748334</v>
      </c>
      <c r="AT281" s="354">
        <f t="shared" si="184"/>
        <v>0.67546724496468025</v>
      </c>
      <c r="AU281" s="355" t="s">
        <v>396</v>
      </c>
      <c r="AV281" s="354" t="s">
        <v>397</v>
      </c>
      <c r="AW281" s="353">
        <v>0</v>
      </c>
      <c r="AX281" s="353">
        <v>0</v>
      </c>
      <c r="AY281" s="353">
        <v>0</v>
      </c>
      <c r="AZ281" s="353">
        <v>0</v>
      </c>
      <c r="BA281" s="353">
        <v>0</v>
      </c>
      <c r="BB281" s="353">
        <v>0</v>
      </c>
    </row>
    <row r="282" spans="1:54" x14ac:dyDescent="0.25">
      <c r="A282" s="348" t="s">
        <v>733</v>
      </c>
      <c r="B282" s="349">
        <v>36</v>
      </c>
      <c r="C282" s="380">
        <v>45107</v>
      </c>
      <c r="D282" s="351">
        <v>45107</v>
      </c>
      <c r="E282" s="352"/>
      <c r="F282" s="352">
        <v>6</v>
      </c>
      <c r="G282" s="348" t="s">
        <v>340</v>
      </c>
      <c r="H282" s="424" t="s">
        <v>734</v>
      </c>
      <c r="I282" s="350" t="s">
        <v>393</v>
      </c>
      <c r="J282" s="375">
        <v>29495</v>
      </c>
      <c r="K282" s="350" t="s">
        <v>394</v>
      </c>
      <c r="L282" s="354">
        <v>2802.3999950000002</v>
      </c>
      <c r="M282" s="375">
        <f t="shared" si="222"/>
        <v>10.524907241159196</v>
      </c>
      <c r="N282" s="354" t="s">
        <v>395</v>
      </c>
      <c r="O282" s="354">
        <v>0</v>
      </c>
      <c r="P282" s="374">
        <f t="shared" si="185"/>
        <v>0.66315477470272644</v>
      </c>
      <c r="Q282" s="354">
        <f t="shared" si="224"/>
        <v>6.254561182545039E-2</v>
      </c>
      <c r="R282" s="354">
        <f t="shared" si="169"/>
        <v>0.10543371028943821</v>
      </c>
      <c r="S282" s="354">
        <f t="shared" si="170"/>
        <v>9.3918937354929469E-2</v>
      </c>
      <c r="T282" s="354">
        <f t="shared" si="171"/>
        <v>0.4007879883570481</v>
      </c>
      <c r="U282" s="374">
        <f t="shared" si="225"/>
        <v>2.6615278520206105</v>
      </c>
      <c r="V282" s="354">
        <f t="shared" si="172"/>
        <v>7.0452548294511405E-2</v>
      </c>
      <c r="W282" s="354">
        <f t="shared" si="173"/>
        <v>2.40328234056431</v>
      </c>
      <c r="X282" s="354">
        <f t="shared" si="166"/>
        <v>0.18779296316178912</v>
      </c>
      <c r="Y282" s="374">
        <f t="shared" si="186"/>
        <v>0.39017591292204051</v>
      </c>
      <c r="Z282" s="354">
        <f t="shared" si="174"/>
        <v>0.20127615677897173</v>
      </c>
      <c r="AA282" s="354">
        <f t="shared" si="167"/>
        <v>0.18889975614306875</v>
      </c>
      <c r="AB282" s="374">
        <f t="shared" si="187"/>
        <v>2.1316854522561646</v>
      </c>
      <c r="AC282" s="354">
        <f t="shared" si="175"/>
        <v>0.60495651155237795</v>
      </c>
      <c r="AD282" s="354">
        <f t="shared" si="176"/>
        <v>1.3168559451109469</v>
      </c>
      <c r="AE282" s="354">
        <f t="shared" si="177"/>
        <v>0.20987299559283956</v>
      </c>
      <c r="AF282" s="374">
        <f t="shared" si="188"/>
        <v>1.7060927850887793</v>
      </c>
      <c r="AG282" s="354">
        <f t="shared" si="178"/>
        <v>0.10964495697413765</v>
      </c>
      <c r="AH282" s="354">
        <f t="shared" si="179"/>
        <v>0.5516678561233096</v>
      </c>
      <c r="AI282" s="354">
        <f t="shared" si="226"/>
        <v>0</v>
      </c>
      <c r="AJ282" s="354">
        <f t="shared" si="227"/>
        <v>1.0447799719913322</v>
      </c>
      <c r="AK282" s="374">
        <f t="shared" si="189"/>
        <v>1.1268624114659702</v>
      </c>
      <c r="AL282" s="354">
        <f t="shared" si="180"/>
        <v>0.32285356100186546</v>
      </c>
      <c r="AM282" s="354">
        <f t="shared" si="181"/>
        <v>0.76147025408414948</v>
      </c>
      <c r="AN282" s="354">
        <f t="shared" si="182"/>
        <v>4.2538596379955343E-2</v>
      </c>
      <c r="AO282" s="374">
        <f t="shared" si="190"/>
        <v>0.65340573893074128</v>
      </c>
      <c r="AP282" s="354">
        <f t="shared" si="183"/>
        <v>0.14983280869974985</v>
      </c>
      <c r="AQ282" s="354">
        <f t="shared" si="228"/>
        <v>0.50357293023099148</v>
      </c>
      <c r="AR282" s="374">
        <f t="shared" si="223"/>
        <v>1.1920023137721636</v>
      </c>
      <c r="AS282" s="354">
        <f t="shared" si="229"/>
        <v>0.51653506880748334</v>
      </c>
      <c r="AT282" s="354">
        <f t="shared" si="184"/>
        <v>0.67546724496468025</v>
      </c>
      <c r="AU282" s="355" t="s">
        <v>396</v>
      </c>
      <c r="AV282" s="354" t="s">
        <v>397</v>
      </c>
      <c r="AW282" s="353">
        <v>0</v>
      </c>
      <c r="AX282" s="353">
        <v>0</v>
      </c>
      <c r="AY282" s="353">
        <v>0</v>
      </c>
      <c r="AZ282" s="353">
        <v>0</v>
      </c>
      <c r="BA282" s="353">
        <v>0</v>
      </c>
      <c r="BB282" s="353">
        <v>0</v>
      </c>
    </row>
    <row r="283" spans="1:54" x14ac:dyDescent="0.25">
      <c r="A283" s="348" t="s">
        <v>735</v>
      </c>
      <c r="B283" s="349">
        <v>37</v>
      </c>
      <c r="C283" s="380">
        <v>45107</v>
      </c>
      <c r="D283" s="351">
        <v>45107</v>
      </c>
      <c r="E283" s="352"/>
      <c r="F283" s="352">
        <v>6</v>
      </c>
      <c r="G283" s="348" t="s">
        <v>341</v>
      </c>
      <c r="H283" s="424" t="s">
        <v>736</v>
      </c>
      <c r="I283" s="350" t="s">
        <v>393</v>
      </c>
      <c r="J283" s="375">
        <v>88500</v>
      </c>
      <c r="K283" s="350" t="s">
        <v>394</v>
      </c>
      <c r="L283" s="354">
        <v>2802.3999950000002</v>
      </c>
      <c r="M283" s="375">
        <f t="shared" si="222"/>
        <v>31.580074278440037</v>
      </c>
      <c r="N283" s="354" t="s">
        <v>395</v>
      </c>
      <c r="O283" s="354">
        <v>0</v>
      </c>
      <c r="P283" s="374">
        <f t="shared" si="185"/>
        <v>1.989801578613029</v>
      </c>
      <c r="Q283" s="354">
        <f t="shared" si="224"/>
        <v>0.18766864372104966</v>
      </c>
      <c r="R283" s="354">
        <f t="shared" si="169"/>
        <v>0.31635475031752097</v>
      </c>
      <c r="S283" s="354">
        <f t="shared" si="170"/>
        <v>0.28180457555217014</v>
      </c>
      <c r="T283" s="354">
        <f t="shared" si="171"/>
        <v>1.2025677901203171</v>
      </c>
      <c r="U283" s="374">
        <f t="shared" si="225"/>
        <v>7.9859371047236491</v>
      </c>
      <c r="V283" s="354">
        <f t="shared" si="172"/>
        <v>0.21139347428595556</v>
      </c>
      <c r="W283" s="354">
        <f t="shared" si="173"/>
        <v>7.2110692368178144</v>
      </c>
      <c r="X283" s="354">
        <f t="shared" si="166"/>
        <v>0.56347439361987917</v>
      </c>
      <c r="Y283" s="374">
        <f t="shared" si="186"/>
        <v>1.170726166930008</v>
      </c>
      <c r="Z283" s="354">
        <f t="shared" si="174"/>
        <v>0.60393083149479565</v>
      </c>
      <c r="AA283" s="354">
        <f t="shared" si="167"/>
        <v>0.56679533543521221</v>
      </c>
      <c r="AB283" s="374">
        <f t="shared" si="187"/>
        <v>6.3961404483699118</v>
      </c>
      <c r="AC283" s="354">
        <f t="shared" si="175"/>
        <v>1.8151771918082877</v>
      </c>
      <c r="AD283" s="354">
        <f t="shared" si="176"/>
        <v>3.9512375366102321</v>
      </c>
      <c r="AE283" s="354">
        <f t="shared" si="177"/>
        <v>0.62972571995139182</v>
      </c>
      <c r="AF283" s="374">
        <f t="shared" si="188"/>
        <v>5.1191460071319534</v>
      </c>
      <c r="AG283" s="354">
        <f t="shared" si="178"/>
        <v>0.3289906320464886</v>
      </c>
      <c r="AH283" s="354">
        <f t="shared" si="179"/>
        <v>1.6552841250012851</v>
      </c>
      <c r="AI283" s="354">
        <f t="shared" si="226"/>
        <v>0</v>
      </c>
      <c r="AJ283" s="354">
        <f t="shared" si="227"/>
        <v>3.13487125008418</v>
      </c>
      <c r="AK283" s="374">
        <f t="shared" si="189"/>
        <v>3.3811603124169642</v>
      </c>
      <c r="AL283" s="354">
        <f t="shared" si="180"/>
        <v>0.96872487366214921</v>
      </c>
      <c r="AM283" s="354">
        <f t="shared" si="181"/>
        <v>2.2847980161534913</v>
      </c>
      <c r="AN283" s="354">
        <f t="shared" si="182"/>
        <v>0.12763742260132388</v>
      </c>
      <c r="AO283" s="374">
        <f t="shared" si="190"/>
        <v>1.9605495133199051</v>
      </c>
      <c r="AP283" s="354">
        <f t="shared" si="183"/>
        <v>0.44957462518826452</v>
      </c>
      <c r="AQ283" s="354">
        <f t="shared" si="228"/>
        <v>1.5109748881316407</v>
      </c>
      <c r="AR283" s="374">
        <f t="shared" si="223"/>
        <v>3.5766131469346156</v>
      </c>
      <c r="AS283" s="354">
        <f t="shared" si="229"/>
        <v>1.549867895896331</v>
      </c>
      <c r="AT283" s="354">
        <f t="shared" si="184"/>
        <v>2.0267452510382848</v>
      </c>
      <c r="AU283" s="355" t="s">
        <v>396</v>
      </c>
      <c r="AV283" s="354" t="s">
        <v>397</v>
      </c>
      <c r="AW283" s="353">
        <v>0</v>
      </c>
      <c r="AX283" s="353">
        <v>0</v>
      </c>
      <c r="AY283" s="353">
        <v>0</v>
      </c>
      <c r="AZ283" s="353">
        <v>0</v>
      </c>
      <c r="BA283" s="353">
        <v>0</v>
      </c>
      <c r="BB283" s="353">
        <v>0</v>
      </c>
    </row>
    <row r="284" spans="1:54" x14ac:dyDescent="0.25">
      <c r="A284" s="348" t="s">
        <v>737</v>
      </c>
      <c r="B284" s="349">
        <v>38</v>
      </c>
      <c r="C284" s="380">
        <v>45107</v>
      </c>
      <c r="D284" s="351">
        <v>45089</v>
      </c>
      <c r="E284" s="352"/>
      <c r="F284" s="352">
        <v>6</v>
      </c>
      <c r="G284" s="348" t="s">
        <v>342</v>
      </c>
      <c r="H284" s="424" t="s">
        <v>738</v>
      </c>
      <c r="I284" s="350" t="s">
        <v>393</v>
      </c>
      <c r="J284" s="375">
        <f>2823.97*70.82</f>
        <v>199993.55539999995</v>
      </c>
      <c r="K284" s="350" t="s">
        <v>394</v>
      </c>
      <c r="L284" s="354">
        <v>2823.97</v>
      </c>
      <c r="M284" s="375">
        <f t="shared" si="222"/>
        <v>70.819999999999993</v>
      </c>
      <c r="N284" s="354" t="s">
        <v>395</v>
      </c>
      <c r="O284" s="354">
        <v>0</v>
      </c>
      <c r="P284" s="374">
        <f t="shared" si="185"/>
        <v>4.4622361098618546</v>
      </c>
      <c r="Q284" s="354">
        <f t="shared" si="224"/>
        <v>0.4208569375467997</v>
      </c>
      <c r="R284" s="354">
        <f t="shared" si="169"/>
        <v>0.70944239142535459</v>
      </c>
      <c r="S284" s="354">
        <f t="shared" si="170"/>
        <v>0.63196178275710257</v>
      </c>
      <c r="T284" s="354">
        <f t="shared" si="171"/>
        <v>2.6968223743053144</v>
      </c>
      <c r="U284" s="374">
        <f t="shared" si="225"/>
        <v>17.908889661562441</v>
      </c>
      <c r="V284" s="354">
        <f t="shared" si="172"/>
        <v>0.47406113478181749</v>
      </c>
      <c r="W284" s="354">
        <f t="shared" si="173"/>
        <v>16.171207162108804</v>
      </c>
      <c r="X284" s="354">
        <f t="shared" si="166"/>
        <v>1.26362136467182</v>
      </c>
      <c r="Y284" s="374">
        <f t="shared" si="186"/>
        <v>2.6254158369281297</v>
      </c>
      <c r="Z284" s="354">
        <f t="shared" si="174"/>
        <v>1.3543470832068656</v>
      </c>
      <c r="AA284" s="354">
        <f t="shared" si="167"/>
        <v>1.2710687537212639</v>
      </c>
      <c r="AB284" s="374">
        <f t="shared" si="187"/>
        <v>14.343685912822771</v>
      </c>
      <c r="AC284" s="354">
        <f t="shared" si="175"/>
        <v>4.0706316137966017</v>
      </c>
      <c r="AD284" s="354">
        <f t="shared" si="176"/>
        <v>8.8608608034141465</v>
      </c>
      <c r="AE284" s="354">
        <f t="shared" si="177"/>
        <v>1.4121934956120226</v>
      </c>
      <c r="AF284" s="374">
        <f t="shared" si="188"/>
        <v>11.479957805944503</v>
      </c>
      <c r="AG284" s="354">
        <f t="shared" si="178"/>
        <v>0.73777902978014243</v>
      </c>
      <c r="AH284" s="354">
        <f t="shared" si="179"/>
        <v>3.7120628881048243</v>
      </c>
      <c r="AI284" s="354">
        <f t="shared" si="226"/>
        <v>0</v>
      </c>
      <c r="AJ284" s="354">
        <f t="shared" si="227"/>
        <v>7.0301158880595374</v>
      </c>
      <c r="AK284" s="374">
        <f t="shared" si="189"/>
        <v>7.5824322392061738</v>
      </c>
      <c r="AL284" s="354">
        <f t="shared" si="180"/>
        <v>2.1724171687458833</v>
      </c>
      <c r="AM284" s="354">
        <f t="shared" si="181"/>
        <v>5.1237813463427715</v>
      </c>
      <c r="AN284" s="354">
        <f t="shared" si="182"/>
        <v>0.28623372411751874</v>
      </c>
      <c r="AO284" s="374">
        <f t="shared" si="190"/>
        <v>4.3966367941099804</v>
      </c>
      <c r="AP284" s="354">
        <f t="shared" si="183"/>
        <v>1.0081950623393414</v>
      </c>
      <c r="AQ284" s="354">
        <f t="shared" si="228"/>
        <v>3.388441731770639</v>
      </c>
      <c r="AR284" s="374">
        <f t="shared" si="223"/>
        <v>8.0207456395641348</v>
      </c>
      <c r="AS284" s="354">
        <f t="shared" si="229"/>
        <v>3.4756613749421503</v>
      </c>
      <c r="AT284" s="354">
        <f t="shared" si="184"/>
        <v>4.5450842646219849</v>
      </c>
      <c r="AU284" s="355" t="s">
        <v>396</v>
      </c>
      <c r="AV284" s="354" t="s">
        <v>397</v>
      </c>
      <c r="AW284" s="353">
        <v>0</v>
      </c>
      <c r="AX284" s="353">
        <v>0</v>
      </c>
      <c r="AY284" s="353">
        <v>0</v>
      </c>
      <c r="AZ284" s="353">
        <v>0</v>
      </c>
      <c r="BA284" s="353">
        <v>0</v>
      </c>
      <c r="BB284" s="353">
        <v>0</v>
      </c>
    </row>
    <row r="285" spans="1:54" x14ac:dyDescent="0.25">
      <c r="A285" s="348" t="s">
        <v>737</v>
      </c>
      <c r="B285" s="349">
        <v>38</v>
      </c>
      <c r="C285" s="380">
        <v>45107</v>
      </c>
      <c r="D285" s="351">
        <v>45107</v>
      </c>
      <c r="E285" s="352"/>
      <c r="F285" s="352">
        <v>6</v>
      </c>
      <c r="G285" s="348" t="s">
        <v>342</v>
      </c>
      <c r="H285" s="424" t="s">
        <v>739</v>
      </c>
      <c r="I285" s="350" t="s">
        <v>393</v>
      </c>
      <c r="J285" s="375">
        <f>3000+3039+6000+6000+3036+10000</f>
        <v>31075</v>
      </c>
      <c r="K285" s="350" t="s">
        <v>394</v>
      </c>
      <c r="L285" s="354">
        <v>2802.3999950000002</v>
      </c>
      <c r="M285" s="375">
        <f t="shared" si="222"/>
        <v>11.088709697203663</v>
      </c>
      <c r="N285" s="354" t="s">
        <v>395</v>
      </c>
      <c r="O285" s="354">
        <v>0</v>
      </c>
      <c r="P285" s="374">
        <f t="shared" si="185"/>
        <v>0.69867891588022457</v>
      </c>
      <c r="Q285" s="354">
        <f t="shared" si="224"/>
        <v>6.589608026702394E-2</v>
      </c>
      <c r="R285" s="354">
        <f t="shared" si="169"/>
        <v>0.11108162560584141</v>
      </c>
      <c r="S285" s="354">
        <f t="shared" si="170"/>
        <v>9.8950024692471036E-2</v>
      </c>
      <c r="T285" s="354">
        <f t="shared" si="171"/>
        <v>0.42225756020326394</v>
      </c>
      <c r="U285" s="374">
        <f t="shared" si="225"/>
        <v>2.8041016443987279</v>
      </c>
      <c r="V285" s="354">
        <f t="shared" si="172"/>
        <v>7.4226578682893438E-2</v>
      </c>
      <c r="W285" s="354">
        <f t="shared" si="173"/>
        <v>2.5320223337187979</v>
      </c>
      <c r="X285" s="354">
        <f t="shared" si="166"/>
        <v>0.19785273199703671</v>
      </c>
      <c r="Y285" s="374">
        <f t="shared" si="186"/>
        <v>0.4110770128514124</v>
      </c>
      <c r="Z285" s="354">
        <f t="shared" si="174"/>
        <v>0.21205819874238166</v>
      </c>
      <c r="AA285" s="354">
        <f t="shared" si="167"/>
        <v>0.19901881410903074</v>
      </c>
      <c r="AB285" s="374">
        <f t="shared" si="187"/>
        <v>2.2458764342722599</v>
      </c>
      <c r="AC285" s="354">
        <f t="shared" si="175"/>
        <v>0.63736306480726035</v>
      </c>
      <c r="AD285" s="354">
        <f t="shared" si="176"/>
        <v>1.3873978129961917</v>
      </c>
      <c r="AE285" s="354">
        <f t="shared" si="177"/>
        <v>0.2211155564688079</v>
      </c>
      <c r="AF285" s="374">
        <f t="shared" si="188"/>
        <v>1.7974854482669542</v>
      </c>
      <c r="AG285" s="354">
        <f t="shared" si="178"/>
        <v>0.11551846204344218</v>
      </c>
      <c r="AH285" s="354">
        <f t="shared" si="179"/>
        <v>0.58121982129282401</v>
      </c>
      <c r="AI285" s="354">
        <f t="shared" si="226"/>
        <v>0</v>
      </c>
      <c r="AJ285" s="354">
        <f t="shared" si="227"/>
        <v>1.1007471649306881</v>
      </c>
      <c r="AK285" s="374">
        <f t="shared" si="189"/>
        <v>1.1872266294729623</v>
      </c>
      <c r="AL285" s="354">
        <f t="shared" si="180"/>
        <v>0.34014831015877162</v>
      </c>
      <c r="AM285" s="354">
        <f t="shared" si="181"/>
        <v>0.80226099832734166</v>
      </c>
      <c r="AN285" s="354">
        <f t="shared" si="182"/>
        <v>4.4817320986849034E-2</v>
      </c>
      <c r="AO285" s="374">
        <f t="shared" si="190"/>
        <v>0.6884076398465091</v>
      </c>
      <c r="AP285" s="354">
        <f t="shared" si="183"/>
        <v>0.15785911274265899</v>
      </c>
      <c r="AQ285" s="354">
        <f t="shared" si="228"/>
        <v>0.53054852710385014</v>
      </c>
      <c r="AR285" s="374">
        <f t="shared" si="223"/>
        <v>1.2558559722146123</v>
      </c>
      <c r="AS285" s="354">
        <f t="shared" si="229"/>
        <v>0.54420502672292081</v>
      </c>
      <c r="AT285" s="354">
        <f t="shared" si="184"/>
        <v>0.71165094549169161</v>
      </c>
      <c r="AU285" s="355" t="s">
        <v>396</v>
      </c>
      <c r="AV285" s="354" t="s">
        <v>397</v>
      </c>
      <c r="AW285" s="353">
        <v>0</v>
      </c>
      <c r="AX285" s="353">
        <v>0</v>
      </c>
      <c r="AY285" s="353">
        <v>0</v>
      </c>
      <c r="AZ285" s="353">
        <v>0</v>
      </c>
      <c r="BA285" s="353">
        <v>0</v>
      </c>
      <c r="BB285" s="353">
        <v>0</v>
      </c>
    </row>
    <row r="286" spans="1:54" x14ac:dyDescent="0.25">
      <c r="A286" s="348" t="s">
        <v>752</v>
      </c>
      <c r="B286" s="349">
        <v>4</v>
      </c>
      <c r="C286" s="380">
        <v>45078</v>
      </c>
      <c r="D286" s="351">
        <v>45107</v>
      </c>
      <c r="E286" s="352"/>
      <c r="F286" s="352">
        <v>6</v>
      </c>
      <c r="G286" s="352" t="s">
        <v>331</v>
      </c>
      <c r="H286" s="424" t="s">
        <v>753</v>
      </c>
      <c r="I286" s="350" t="s">
        <v>393</v>
      </c>
      <c r="J286" s="375">
        <f>155855</f>
        <v>155855</v>
      </c>
      <c r="K286" s="350" t="s">
        <v>394</v>
      </c>
      <c r="L286" s="354">
        <v>2803.6597999999999</v>
      </c>
      <c r="M286" s="375">
        <f>+J286/L286</f>
        <v>55.589840108275624</v>
      </c>
      <c r="N286" s="354" t="s">
        <v>395</v>
      </c>
      <c r="O286" s="354">
        <v>0</v>
      </c>
      <c r="P286" s="374">
        <f t="shared" si="185"/>
        <v>3.5026121416632923</v>
      </c>
      <c r="Q286" s="354">
        <f t="shared" ref="Q286:Q321" si="260">P286*$Q$2</f>
        <v>0.33034975807236855</v>
      </c>
      <c r="R286" s="354">
        <f t="shared" ref="R286:R321" si="261">P286*$R$2</f>
        <v>0.55687361063778817</v>
      </c>
      <c r="S286" s="354">
        <f t="shared" ref="S286:S321" si="262">P286*$S$2</f>
        <v>0.49605555574707927</v>
      </c>
      <c r="T286" s="354">
        <f t="shared" ref="T286:T321" si="263">P286*$T$2</f>
        <v>2.1168585793286177</v>
      </c>
      <c r="U286" s="374">
        <f t="shared" ref="U286:U321" si="264">M286*$U$2</f>
        <v>14.057502298828107</v>
      </c>
      <c r="V286" s="354">
        <f t="shared" ref="V286:V321" si="265">U286*$V$2</f>
        <v>0.37211215312156082</v>
      </c>
      <c r="W286" s="354">
        <f t="shared" ref="W286:W321" si="266">U286*$W$2</f>
        <v>12.693516245402854</v>
      </c>
      <c r="X286" s="354">
        <f t="shared" ref="X286:X321" si="267">U286*$X$2</f>
        <v>0.99187390030369271</v>
      </c>
      <c r="Y286" s="374">
        <f t="shared" ref="Y286:Y321" si="268">M286*$Y$2</f>
        <v>2.0608083393472096</v>
      </c>
      <c r="Z286" s="354">
        <f t="shared" ref="Z286:Z321" si="269">Y286*$Z$2</f>
        <v>1.0630886445436194</v>
      </c>
      <c r="AA286" s="354">
        <f t="shared" ref="AA286:AA321" si="270">Y286*$AA$2</f>
        <v>0.99771969480359002</v>
      </c>
      <c r="AB286" s="374">
        <f t="shared" ref="AB286:AB321" si="271">M286*$AB$2</f>
        <v>11.259011669826933</v>
      </c>
      <c r="AC286" s="354">
        <f t="shared" ref="AC286:AC321" si="272">AB286*$AC$2</f>
        <v>3.1952239558125539</v>
      </c>
      <c r="AD286" s="354">
        <f t="shared" ref="AD286:AD321" si="273">AB286*$AD$2</f>
        <v>6.9552927885269575</v>
      </c>
      <c r="AE286" s="354">
        <f t="shared" ref="AE286:AE321" si="274">AB286*$AE$2</f>
        <v>1.1084949254874212</v>
      </c>
      <c r="AF286" s="374">
        <f t="shared" ref="AF286:AF321" si="275">M286*$AF$2</f>
        <v>9.0111411872663876</v>
      </c>
      <c r="AG286" s="354">
        <f t="shared" ref="AG286:AG321" si="276">AF286*$AG$2</f>
        <v>0.57911632731879181</v>
      </c>
      <c r="AH286" s="354">
        <f t="shared" ref="AH286:AH321" si="277">AF286*$AH$2</f>
        <v>2.9137670491614092</v>
      </c>
      <c r="AI286" s="354">
        <f t="shared" ref="AI286:AI321" si="278">AF286*$AI$2</f>
        <v>0</v>
      </c>
      <c r="AJ286" s="354">
        <f t="shared" ref="AJ286:AJ321" si="279">AF286*$AJ$2</f>
        <v>5.5182578107861868</v>
      </c>
      <c r="AK286" s="374">
        <f t="shared" ref="AK286:AK321" si="280">M286*$AK$2</f>
        <v>5.9517960436219361</v>
      </c>
      <c r="AL286" s="354">
        <f t="shared" ref="AL286:AL321" si="281">AK286*$AL$2</f>
        <v>1.7052290745418877</v>
      </c>
      <c r="AM286" s="354">
        <f t="shared" ref="AM286:AM321" si="282">AK286*$AM$2</f>
        <v>4.0218890962010718</v>
      </c>
      <c r="AN286" s="354">
        <f t="shared" ref="AN286:AN321" si="283">AK286*$AN$2</f>
        <v>0.22467787287897689</v>
      </c>
      <c r="AO286" s="374">
        <f t="shared" ref="AO286:AO321" si="284">M286*$AO$2</f>
        <v>3.4511202541476331</v>
      </c>
      <c r="AP286" s="354">
        <f t="shared" ref="AP286:AP321" si="285">AO286*$AP$2</f>
        <v>0.79137817443373304</v>
      </c>
      <c r="AQ286" s="354">
        <f t="shared" ref="AQ286:AQ321" si="286">AO286*$AQ$2</f>
        <v>2.6597420797139</v>
      </c>
      <c r="AR286" s="374">
        <f t="shared" ref="AR286:AR321" si="287">M286*$AR$2</f>
        <v>6.2958481735741207</v>
      </c>
      <c r="AS286" s="354">
        <f t="shared" ref="AS286:AS321" si="288">AR286*$AS$2</f>
        <v>2.7282047458845464</v>
      </c>
      <c r="AT286" s="354">
        <f t="shared" ref="AT286:AT321" si="289">AR286*$AT$2</f>
        <v>3.5676434276895748</v>
      </c>
      <c r="AU286" s="355" t="s">
        <v>396</v>
      </c>
      <c r="AV286" s="354" t="s">
        <v>346</v>
      </c>
      <c r="AW286" s="353">
        <v>0</v>
      </c>
      <c r="AX286" s="353">
        <v>0</v>
      </c>
      <c r="AY286" s="353">
        <v>0</v>
      </c>
      <c r="AZ286" s="353">
        <v>0</v>
      </c>
      <c r="BA286" s="353">
        <v>0</v>
      </c>
      <c r="BB286" s="353">
        <v>0</v>
      </c>
    </row>
    <row r="287" spans="1:54" x14ac:dyDescent="0.25">
      <c r="A287" s="348" t="s">
        <v>754</v>
      </c>
      <c r="B287" s="349">
        <v>5</v>
      </c>
      <c r="C287" s="380">
        <v>45078</v>
      </c>
      <c r="D287" s="351">
        <v>45107</v>
      </c>
      <c r="E287" s="352"/>
      <c r="F287" s="352">
        <v>6</v>
      </c>
      <c r="G287" s="352" t="s">
        <v>334</v>
      </c>
      <c r="H287" s="424" t="s">
        <v>326</v>
      </c>
      <c r="I287" s="350" t="s">
        <v>393</v>
      </c>
      <c r="J287" s="375">
        <f>747500</f>
        <v>747500</v>
      </c>
      <c r="K287" s="350" t="s">
        <v>394</v>
      </c>
      <c r="L287" s="354">
        <v>2803.6597999999999</v>
      </c>
      <c r="M287" s="375">
        <f>+J287/L287</f>
        <v>266.61579981993538</v>
      </c>
      <c r="N287" s="354" t="s">
        <v>395</v>
      </c>
      <c r="O287" s="354">
        <v>0</v>
      </c>
      <c r="P287" s="374">
        <f t="shared" si="185"/>
        <v>16.798964267385138</v>
      </c>
      <c r="Q287" s="354">
        <f t="shared" si="260"/>
        <v>1.5843986022847869</v>
      </c>
      <c r="R287" s="354">
        <f t="shared" si="261"/>
        <v>2.6708352247393194</v>
      </c>
      <c r="S287" s="354">
        <f t="shared" si="262"/>
        <v>2.3791442553716062</v>
      </c>
      <c r="T287" s="354">
        <f t="shared" si="263"/>
        <v>10.152717513381933</v>
      </c>
      <c r="U287" s="374">
        <f t="shared" si="264"/>
        <v>67.421532632087576</v>
      </c>
      <c r="V287" s="354">
        <f t="shared" si="265"/>
        <v>1.7846962526602719</v>
      </c>
      <c r="W287" s="354">
        <f t="shared" si="266"/>
        <v>60.879685563110797</v>
      </c>
      <c r="X287" s="354">
        <f t="shared" si="267"/>
        <v>4.7571508163165142</v>
      </c>
      <c r="Y287" s="374">
        <f t="shared" si="268"/>
        <v>9.8838935784032547</v>
      </c>
      <c r="Z287" s="354">
        <f t="shared" si="269"/>
        <v>5.0987056032617213</v>
      </c>
      <c r="AA287" s="354">
        <f t="shared" si="270"/>
        <v>4.7851879751415325</v>
      </c>
      <c r="AB287" s="374">
        <f t="shared" si="271"/>
        <v>53.999622875080249</v>
      </c>
      <c r="AC287" s="354">
        <f t="shared" si="272"/>
        <v>15.324692226555991</v>
      </c>
      <c r="AD287" s="354">
        <f t="shared" si="273"/>
        <v>33.358450864097399</v>
      </c>
      <c r="AE287" s="354">
        <f t="shared" si="274"/>
        <v>5.3164797844268543</v>
      </c>
      <c r="AF287" s="374">
        <f t="shared" si="275"/>
        <v>43.218555949322287</v>
      </c>
      <c r="AG287" s="354">
        <f t="shared" si="276"/>
        <v>2.7775140654505592</v>
      </c>
      <c r="AH287" s="354">
        <f t="shared" si="277"/>
        <v>13.974789831883184</v>
      </c>
      <c r="AI287" s="354">
        <f t="shared" si="278"/>
        <v>0</v>
      </c>
      <c r="AJ287" s="354">
        <f t="shared" si="279"/>
        <v>26.466252051988548</v>
      </c>
      <c r="AK287" s="374">
        <f t="shared" si="280"/>
        <v>28.545555436831652</v>
      </c>
      <c r="AL287" s="354">
        <f t="shared" si="281"/>
        <v>8.1784911181550868</v>
      </c>
      <c r="AM287" s="354">
        <f t="shared" si="282"/>
        <v>19.289481244812812</v>
      </c>
      <c r="AN287" s="354">
        <f t="shared" si="283"/>
        <v>1.0775830738637531</v>
      </c>
      <c r="AO287" s="374">
        <f t="shared" si="284"/>
        <v>16.552002758816567</v>
      </c>
      <c r="AP287" s="354">
        <f t="shared" si="285"/>
        <v>3.7955483326759842</v>
      </c>
      <c r="AQ287" s="354">
        <f t="shared" si="286"/>
        <v>12.756454426140584</v>
      </c>
      <c r="AR287" s="374">
        <f t="shared" si="287"/>
        <v>30.195672322008633</v>
      </c>
      <c r="AS287" s="354">
        <f t="shared" si="288"/>
        <v>13.084809903748347</v>
      </c>
      <c r="AT287" s="354">
        <f t="shared" si="289"/>
        <v>17.11086241826029</v>
      </c>
      <c r="AU287" s="355" t="s">
        <v>396</v>
      </c>
      <c r="AV287" s="354" t="s">
        <v>346</v>
      </c>
      <c r="AW287" s="353">
        <v>0</v>
      </c>
      <c r="AX287" s="353">
        <v>0</v>
      </c>
      <c r="AY287" s="353">
        <v>0</v>
      </c>
      <c r="AZ287" s="353">
        <v>0</v>
      </c>
      <c r="BA287" s="353">
        <v>0</v>
      </c>
      <c r="BB287" s="353">
        <v>0</v>
      </c>
    </row>
    <row r="288" spans="1:54" x14ac:dyDescent="0.25">
      <c r="A288" s="348" t="s">
        <v>755</v>
      </c>
      <c r="B288" s="349">
        <v>6</v>
      </c>
      <c r="C288" s="380">
        <v>45078</v>
      </c>
      <c r="D288" s="351">
        <v>45107</v>
      </c>
      <c r="E288" s="352"/>
      <c r="F288" s="352">
        <v>6</v>
      </c>
      <c r="G288" s="352" t="s">
        <v>332</v>
      </c>
      <c r="H288" s="424" t="s">
        <v>756</v>
      </c>
      <c r="I288" s="350" t="s">
        <v>393</v>
      </c>
      <c r="J288" s="375">
        <f>870000</f>
        <v>870000</v>
      </c>
      <c r="K288" s="350" t="s">
        <v>394</v>
      </c>
      <c r="L288" s="354">
        <v>2803.6597999999999</v>
      </c>
      <c r="M288" s="375">
        <f>+J288/L288</f>
        <v>310.30869009142981</v>
      </c>
      <c r="N288" s="354" t="s">
        <v>395</v>
      </c>
      <c r="O288" s="354">
        <v>0</v>
      </c>
      <c r="P288" s="374">
        <f t="shared" si="185"/>
        <v>19.551971789464979</v>
      </c>
      <c r="Q288" s="354">
        <f t="shared" si="260"/>
        <v>1.8440492093481802</v>
      </c>
      <c r="R288" s="354">
        <f t="shared" si="261"/>
        <v>3.1085306294624857</v>
      </c>
      <c r="S288" s="354">
        <f t="shared" si="262"/>
        <v>2.7690374611014015</v>
      </c>
      <c r="T288" s="354">
        <f t="shared" si="263"/>
        <v>11.816540784805731</v>
      </c>
      <c r="U288" s="374">
        <f t="shared" si="264"/>
        <v>78.470546341025013</v>
      </c>
      <c r="V288" s="354">
        <f t="shared" si="265"/>
        <v>2.0771715582801829</v>
      </c>
      <c r="W288" s="354">
        <f t="shared" si="266"/>
        <v>70.856623999874785</v>
      </c>
      <c r="X288" s="354">
        <f t="shared" si="267"/>
        <v>5.5367507828700573</v>
      </c>
      <c r="Y288" s="374">
        <f t="shared" si="268"/>
        <v>11.503662091251948</v>
      </c>
      <c r="Z288" s="354">
        <f t="shared" si="269"/>
        <v>5.9342794312210003</v>
      </c>
      <c r="AA288" s="354">
        <f t="shared" si="270"/>
        <v>5.5693826600309473</v>
      </c>
      <c r="AB288" s="374">
        <f t="shared" si="271"/>
        <v>62.849059399758957</v>
      </c>
      <c r="AC288" s="354">
        <f t="shared" si="272"/>
        <v>17.836096638265836</v>
      </c>
      <c r="AD288" s="354">
        <f t="shared" si="273"/>
        <v>38.825220403698651</v>
      </c>
      <c r="AE288" s="354">
        <f t="shared" si="274"/>
        <v>6.187742357794467</v>
      </c>
      <c r="AF288" s="374">
        <f t="shared" si="275"/>
        <v>50.301195553057376</v>
      </c>
      <c r="AG288" s="354">
        <f t="shared" si="276"/>
        <v>3.2326919557752327</v>
      </c>
      <c r="AH288" s="354">
        <f t="shared" si="277"/>
        <v>16.264972780920896</v>
      </c>
      <c r="AI288" s="354">
        <f t="shared" si="278"/>
        <v>0</v>
      </c>
      <c r="AJ288" s="354">
        <f t="shared" si="279"/>
        <v>30.803530816361253</v>
      </c>
      <c r="AK288" s="374">
        <f t="shared" si="280"/>
        <v>33.223589605409416</v>
      </c>
      <c r="AL288" s="354">
        <f t="shared" si="281"/>
        <v>9.5187789602607698</v>
      </c>
      <c r="AM288" s="354">
        <f t="shared" si="282"/>
        <v>22.450633689614914</v>
      </c>
      <c r="AN288" s="354">
        <f t="shared" si="283"/>
        <v>1.2541769555337325</v>
      </c>
      <c r="AO288" s="374">
        <f t="shared" si="284"/>
        <v>19.264538327987175</v>
      </c>
      <c r="AP288" s="354">
        <f t="shared" si="285"/>
        <v>4.4175612701379352</v>
      </c>
      <c r="AQ288" s="354">
        <f t="shared" si="286"/>
        <v>14.846977057849241</v>
      </c>
      <c r="AR288" s="374">
        <f t="shared" si="287"/>
        <v>35.144126983474933</v>
      </c>
      <c r="AS288" s="354">
        <f t="shared" si="288"/>
        <v>15.229143299345903</v>
      </c>
      <c r="AT288" s="354">
        <f t="shared" si="289"/>
        <v>19.914983684129034</v>
      </c>
      <c r="AU288" s="355" t="s">
        <v>396</v>
      </c>
      <c r="AV288" s="354" t="s">
        <v>346</v>
      </c>
      <c r="AW288" s="353">
        <v>0</v>
      </c>
      <c r="AX288" s="353">
        <v>0</v>
      </c>
      <c r="AY288" s="353">
        <v>0</v>
      </c>
      <c r="AZ288" s="353">
        <v>0</v>
      </c>
      <c r="BA288" s="353">
        <v>0</v>
      </c>
      <c r="BB288" s="353">
        <v>0</v>
      </c>
    </row>
    <row r="289" spans="1:54" x14ac:dyDescent="0.25">
      <c r="A289" s="348" t="s">
        <v>757</v>
      </c>
      <c r="B289" s="349">
        <v>7</v>
      </c>
      <c r="C289" s="380">
        <v>45078</v>
      </c>
      <c r="D289" s="351">
        <v>45107</v>
      </c>
      <c r="E289" s="352"/>
      <c r="F289" s="352">
        <v>6</v>
      </c>
      <c r="G289" s="352" t="s">
        <v>329</v>
      </c>
      <c r="H289" s="424" t="s">
        <v>758</v>
      </c>
      <c r="I289" s="350" t="s">
        <v>393</v>
      </c>
      <c r="J289" s="375">
        <v>4050000</v>
      </c>
      <c r="K289" s="350" t="s">
        <v>394</v>
      </c>
      <c r="L289" s="354">
        <v>2803.6597999999999</v>
      </c>
      <c r="M289" s="375">
        <f>+J289/L289</f>
        <v>1444.5404538738974</v>
      </c>
      <c r="N289" s="354" t="s">
        <v>395</v>
      </c>
      <c r="O289" s="354">
        <v>0</v>
      </c>
      <c r="P289" s="374">
        <f t="shared" si="185"/>
        <v>91.017799709578355</v>
      </c>
      <c r="Q289" s="354">
        <f t="shared" si="260"/>
        <v>8.5843670090346329</v>
      </c>
      <c r="R289" s="354">
        <f t="shared" si="261"/>
        <v>14.470746033704676</v>
      </c>
      <c r="S289" s="354">
        <f t="shared" si="262"/>
        <v>12.890346801678939</v>
      </c>
      <c r="T289" s="354">
        <f t="shared" si="263"/>
        <v>55.008034687888753</v>
      </c>
      <c r="U289" s="374">
        <f t="shared" si="264"/>
        <v>365.29392262201299</v>
      </c>
      <c r="V289" s="354">
        <f t="shared" si="265"/>
        <v>9.6695917368215412</v>
      </c>
      <c r="W289" s="354">
        <f t="shared" si="266"/>
        <v>329.84980137872742</v>
      </c>
      <c r="X289" s="354">
        <f t="shared" si="267"/>
        <v>25.774529506464059</v>
      </c>
      <c r="Y289" s="374">
        <f t="shared" si="268"/>
        <v>53.551530424793548</v>
      </c>
      <c r="Z289" s="354">
        <f t="shared" si="269"/>
        <v>27.625093903959826</v>
      </c>
      <c r="AA289" s="354">
        <f t="shared" si="270"/>
        <v>25.926436520833718</v>
      </c>
      <c r="AB289" s="374">
        <f t="shared" si="271"/>
        <v>292.57320755060204</v>
      </c>
      <c r="AC289" s="354">
        <f t="shared" si="272"/>
        <v>83.03010504020304</v>
      </c>
      <c r="AD289" s="354">
        <f t="shared" si="273"/>
        <v>180.73809498273511</v>
      </c>
      <c r="AE289" s="354">
        <f t="shared" si="274"/>
        <v>28.805007527663896</v>
      </c>
      <c r="AF289" s="374">
        <f t="shared" si="275"/>
        <v>234.16073791940502</v>
      </c>
      <c r="AG289" s="354">
        <f t="shared" si="276"/>
        <v>15.048738414815739</v>
      </c>
      <c r="AH289" s="354">
        <f t="shared" si="277"/>
        <v>75.716252600838644</v>
      </c>
      <c r="AI289" s="354">
        <f t="shared" si="278"/>
        <v>0</v>
      </c>
      <c r="AJ289" s="354">
        <f t="shared" si="279"/>
        <v>143.39574690375065</v>
      </c>
      <c r="AK289" s="374">
        <f t="shared" si="280"/>
        <v>154.66153781828521</v>
      </c>
      <c r="AL289" s="354">
        <f t="shared" si="281"/>
        <v>44.311557228800133</v>
      </c>
      <c r="AM289" s="354">
        <f t="shared" si="282"/>
        <v>104.51157062406944</v>
      </c>
      <c r="AN289" s="354">
        <f t="shared" si="283"/>
        <v>5.8384099654156518</v>
      </c>
      <c r="AO289" s="374">
        <f t="shared" si="284"/>
        <v>89.67974738890581</v>
      </c>
      <c r="AP289" s="354">
        <f t="shared" si="285"/>
        <v>20.564509360986936</v>
      </c>
      <c r="AQ289" s="354">
        <f t="shared" si="286"/>
        <v>69.115238027918878</v>
      </c>
      <c r="AR289" s="374">
        <f t="shared" si="287"/>
        <v>163.60197044031432</v>
      </c>
      <c r="AS289" s="354">
        <f t="shared" si="288"/>
        <v>70.894287772817123</v>
      </c>
      <c r="AT289" s="354">
        <f t="shared" si="289"/>
        <v>92.70768266749721</v>
      </c>
      <c r="AU289" s="355" t="s">
        <v>396</v>
      </c>
      <c r="AV289" s="354" t="s">
        <v>346</v>
      </c>
      <c r="AW289" s="353">
        <v>0</v>
      </c>
      <c r="AX289" s="353">
        <v>0</v>
      </c>
      <c r="AY289" s="353">
        <v>0</v>
      </c>
      <c r="AZ289" s="353">
        <v>0</v>
      </c>
      <c r="BA289" s="353">
        <v>0</v>
      </c>
      <c r="BB289" s="353">
        <v>0</v>
      </c>
    </row>
    <row r="290" spans="1:54" x14ac:dyDescent="0.25">
      <c r="A290" s="348" t="s">
        <v>759</v>
      </c>
      <c r="B290" s="349">
        <v>8</v>
      </c>
      <c r="C290" s="380">
        <v>45078</v>
      </c>
      <c r="D290" s="351">
        <v>45107</v>
      </c>
      <c r="E290" s="352"/>
      <c r="F290" s="352">
        <v>6</v>
      </c>
      <c r="G290" s="429" t="s">
        <v>306</v>
      </c>
      <c r="H290" s="353" t="s">
        <v>760</v>
      </c>
      <c r="I290" s="350" t="s">
        <v>393</v>
      </c>
      <c r="J290" s="375">
        <v>280972</v>
      </c>
      <c r="K290" s="350" t="s">
        <v>394</v>
      </c>
      <c r="L290" s="354">
        <v>2803.6597999999999</v>
      </c>
      <c r="M290" s="375">
        <f>+J290/L290</f>
        <v>100.21615318663127</v>
      </c>
      <c r="N290" s="354" t="s">
        <v>395</v>
      </c>
      <c r="O290" s="354">
        <v>0</v>
      </c>
      <c r="P290" s="374">
        <f t="shared" si="185"/>
        <v>6.3144328938270728</v>
      </c>
      <c r="Q290" s="354">
        <f t="shared" si="260"/>
        <v>0.59554734994135272</v>
      </c>
      <c r="R290" s="354">
        <f t="shared" si="261"/>
        <v>1.0039196184153258</v>
      </c>
      <c r="S290" s="354">
        <f t="shared" si="262"/>
        <v>0.8942781534719344</v>
      </c>
      <c r="T290" s="354">
        <f t="shared" si="263"/>
        <v>3.8162265487223395</v>
      </c>
      <c r="U290" s="374">
        <f t="shared" si="264"/>
        <v>25.34255901900055</v>
      </c>
      <c r="V290" s="354">
        <f t="shared" si="265"/>
        <v>0.67083568629091894</v>
      </c>
      <c r="W290" s="354">
        <f t="shared" si="266"/>
        <v>22.883594664934268</v>
      </c>
      <c r="X290" s="354">
        <f t="shared" si="267"/>
        <v>1.7881286677753627</v>
      </c>
      <c r="Y290" s="374">
        <f t="shared" si="268"/>
        <v>3.7151803966703931</v>
      </c>
      <c r="Z290" s="354">
        <f t="shared" si="269"/>
        <v>1.9165130578724443</v>
      </c>
      <c r="AA290" s="354">
        <f t="shared" si="270"/>
        <v>1.7986673387979486</v>
      </c>
      <c r="AB290" s="374">
        <f t="shared" si="271"/>
        <v>20.297501054792036</v>
      </c>
      <c r="AC290" s="354">
        <f t="shared" si="272"/>
        <v>5.7602801662607224</v>
      </c>
      <c r="AD290" s="354">
        <f t="shared" si="273"/>
        <v>12.538850376170133</v>
      </c>
      <c r="AE290" s="354">
        <f t="shared" si="274"/>
        <v>1.9983705123611801</v>
      </c>
      <c r="AF290" s="374">
        <f t="shared" si="275"/>
        <v>16.245089099923717</v>
      </c>
      <c r="AG290" s="354">
        <f t="shared" si="276"/>
        <v>1.0440183036759523</v>
      </c>
      <c r="AH290" s="354">
        <f t="shared" si="277"/>
        <v>5.252875784138971</v>
      </c>
      <c r="AI290" s="354">
        <f t="shared" si="278"/>
        <v>0</v>
      </c>
      <c r="AJ290" s="354">
        <f t="shared" si="279"/>
        <v>9.9481950121087959</v>
      </c>
      <c r="AK290" s="374">
        <f t="shared" si="280"/>
        <v>10.729768297254131</v>
      </c>
      <c r="AL290" s="354">
        <f t="shared" si="281"/>
        <v>3.0741498414050445</v>
      </c>
      <c r="AM290" s="354">
        <f t="shared" si="282"/>
        <v>7.2505740793545765</v>
      </c>
      <c r="AN290" s="354">
        <f t="shared" si="283"/>
        <v>0.40504437649451025</v>
      </c>
      <c r="AO290" s="374">
        <f t="shared" si="284"/>
        <v>6.2216044403347261</v>
      </c>
      <c r="AP290" s="354">
        <f t="shared" si="285"/>
        <v>1.4266793393025237</v>
      </c>
      <c r="AQ290" s="354">
        <f t="shared" si="286"/>
        <v>4.7949251010322023</v>
      </c>
      <c r="AR290" s="374">
        <f t="shared" si="287"/>
        <v>11.350017984828641</v>
      </c>
      <c r="AS290" s="354">
        <f t="shared" si="288"/>
        <v>4.9183481047170305</v>
      </c>
      <c r="AT290" s="354">
        <f t="shared" si="289"/>
        <v>6.4316698801116114</v>
      </c>
      <c r="AU290" s="355" t="s">
        <v>396</v>
      </c>
      <c r="AV290" s="354" t="s">
        <v>346</v>
      </c>
      <c r="AW290" s="353">
        <v>0</v>
      </c>
      <c r="AX290" s="353">
        <v>0</v>
      </c>
      <c r="AY290" s="353">
        <v>0</v>
      </c>
      <c r="AZ290" s="353">
        <v>0</v>
      </c>
      <c r="BA290" s="353">
        <v>0</v>
      </c>
      <c r="BB290" s="353">
        <v>0</v>
      </c>
    </row>
    <row r="291" spans="1:54" x14ac:dyDescent="0.25">
      <c r="A291" s="348" t="s">
        <v>761</v>
      </c>
      <c r="B291" s="349">
        <v>8</v>
      </c>
      <c r="C291" s="380">
        <v>45078</v>
      </c>
      <c r="D291" s="351">
        <v>45107</v>
      </c>
      <c r="E291" s="352"/>
      <c r="F291" s="352">
        <v>6</v>
      </c>
      <c r="G291" s="429" t="s">
        <v>306</v>
      </c>
      <c r="H291" s="353" t="s">
        <v>762</v>
      </c>
      <c r="I291" s="350" t="s">
        <v>393</v>
      </c>
      <c r="J291" s="375">
        <v>280972</v>
      </c>
      <c r="K291" s="350" t="s">
        <v>394</v>
      </c>
      <c r="L291" s="354">
        <v>2803.6597999999999</v>
      </c>
      <c r="M291" s="375">
        <f t="shared" ref="M291:M295" si="290">+J291/L291</f>
        <v>100.21615318663127</v>
      </c>
      <c r="N291" s="354" t="s">
        <v>395</v>
      </c>
      <c r="O291" s="354">
        <v>0</v>
      </c>
      <c r="P291" s="374">
        <f t="shared" si="185"/>
        <v>6.3144328938270728</v>
      </c>
      <c r="Q291" s="354">
        <f t="shared" si="260"/>
        <v>0.59554734994135272</v>
      </c>
      <c r="R291" s="354">
        <f t="shared" si="261"/>
        <v>1.0039196184153258</v>
      </c>
      <c r="S291" s="354">
        <f t="shared" si="262"/>
        <v>0.8942781534719344</v>
      </c>
      <c r="T291" s="354">
        <f t="shared" si="263"/>
        <v>3.8162265487223395</v>
      </c>
      <c r="U291" s="374">
        <f t="shared" si="264"/>
        <v>25.34255901900055</v>
      </c>
      <c r="V291" s="354">
        <f t="shared" si="265"/>
        <v>0.67083568629091894</v>
      </c>
      <c r="W291" s="354">
        <f t="shared" si="266"/>
        <v>22.883594664934268</v>
      </c>
      <c r="X291" s="354">
        <f t="shared" si="267"/>
        <v>1.7881286677753627</v>
      </c>
      <c r="Y291" s="374">
        <f t="shared" si="268"/>
        <v>3.7151803966703931</v>
      </c>
      <c r="Z291" s="354">
        <f t="shared" si="269"/>
        <v>1.9165130578724443</v>
      </c>
      <c r="AA291" s="354">
        <f t="shared" si="270"/>
        <v>1.7986673387979486</v>
      </c>
      <c r="AB291" s="374">
        <f t="shared" si="271"/>
        <v>20.297501054792036</v>
      </c>
      <c r="AC291" s="354">
        <f t="shared" si="272"/>
        <v>5.7602801662607224</v>
      </c>
      <c r="AD291" s="354">
        <f t="shared" si="273"/>
        <v>12.538850376170133</v>
      </c>
      <c r="AE291" s="354">
        <f t="shared" si="274"/>
        <v>1.9983705123611801</v>
      </c>
      <c r="AF291" s="374">
        <f t="shared" si="275"/>
        <v>16.245089099923717</v>
      </c>
      <c r="AG291" s="354">
        <f t="shared" si="276"/>
        <v>1.0440183036759523</v>
      </c>
      <c r="AH291" s="354">
        <f t="shared" si="277"/>
        <v>5.252875784138971</v>
      </c>
      <c r="AI291" s="354">
        <f t="shared" si="278"/>
        <v>0</v>
      </c>
      <c r="AJ291" s="354">
        <f t="shared" si="279"/>
        <v>9.9481950121087959</v>
      </c>
      <c r="AK291" s="374">
        <f t="shared" si="280"/>
        <v>10.729768297254131</v>
      </c>
      <c r="AL291" s="354">
        <f t="shared" si="281"/>
        <v>3.0741498414050445</v>
      </c>
      <c r="AM291" s="354">
        <f t="shared" si="282"/>
        <v>7.2505740793545765</v>
      </c>
      <c r="AN291" s="354">
        <f t="shared" si="283"/>
        <v>0.40504437649451025</v>
      </c>
      <c r="AO291" s="374">
        <f t="shared" si="284"/>
        <v>6.2216044403347261</v>
      </c>
      <c r="AP291" s="354">
        <f t="shared" si="285"/>
        <v>1.4266793393025237</v>
      </c>
      <c r="AQ291" s="354">
        <f t="shared" si="286"/>
        <v>4.7949251010322023</v>
      </c>
      <c r="AR291" s="374">
        <f t="shared" si="287"/>
        <v>11.350017984828641</v>
      </c>
      <c r="AS291" s="354">
        <f t="shared" si="288"/>
        <v>4.9183481047170305</v>
      </c>
      <c r="AT291" s="354">
        <f t="shared" si="289"/>
        <v>6.4316698801116114</v>
      </c>
      <c r="AU291" s="355" t="s">
        <v>396</v>
      </c>
      <c r="AV291" s="354" t="s">
        <v>346</v>
      </c>
      <c r="AW291" s="353">
        <v>0</v>
      </c>
      <c r="AX291" s="353">
        <v>0</v>
      </c>
      <c r="AY291" s="353">
        <v>0</v>
      </c>
      <c r="AZ291" s="353">
        <v>0</v>
      </c>
      <c r="BA291" s="353">
        <v>0</v>
      </c>
      <c r="BB291" s="353">
        <v>0</v>
      </c>
    </row>
    <row r="292" spans="1:54" x14ac:dyDescent="0.25">
      <c r="A292" s="348" t="s">
        <v>763</v>
      </c>
      <c r="B292" s="349">
        <v>8</v>
      </c>
      <c r="C292" s="380">
        <v>45078</v>
      </c>
      <c r="D292" s="351">
        <v>45107</v>
      </c>
      <c r="E292" s="352"/>
      <c r="F292" s="352">
        <v>6</v>
      </c>
      <c r="G292" s="429" t="s">
        <v>306</v>
      </c>
      <c r="H292" s="353" t="s">
        <v>764</v>
      </c>
      <c r="I292" s="350" t="s">
        <v>393</v>
      </c>
      <c r="J292" s="375">
        <v>280972</v>
      </c>
      <c r="K292" s="350" t="s">
        <v>394</v>
      </c>
      <c r="L292" s="354">
        <v>2803.6597999999999</v>
      </c>
      <c r="M292" s="375">
        <f t="shared" si="290"/>
        <v>100.21615318663127</v>
      </c>
      <c r="N292" s="354" t="s">
        <v>395</v>
      </c>
      <c r="O292" s="354">
        <v>0</v>
      </c>
      <c r="P292" s="374">
        <f t="shared" si="185"/>
        <v>6.3144328938270728</v>
      </c>
      <c r="Q292" s="354">
        <f t="shared" si="260"/>
        <v>0.59554734994135272</v>
      </c>
      <c r="R292" s="354">
        <f t="shared" si="261"/>
        <v>1.0039196184153258</v>
      </c>
      <c r="S292" s="354">
        <f t="shared" si="262"/>
        <v>0.8942781534719344</v>
      </c>
      <c r="T292" s="354">
        <f t="shared" si="263"/>
        <v>3.8162265487223395</v>
      </c>
      <c r="U292" s="374">
        <f t="shared" si="264"/>
        <v>25.34255901900055</v>
      </c>
      <c r="V292" s="354">
        <f t="shared" si="265"/>
        <v>0.67083568629091894</v>
      </c>
      <c r="W292" s="354">
        <f t="shared" si="266"/>
        <v>22.883594664934268</v>
      </c>
      <c r="X292" s="354">
        <f t="shared" si="267"/>
        <v>1.7881286677753627</v>
      </c>
      <c r="Y292" s="374">
        <f t="shared" si="268"/>
        <v>3.7151803966703931</v>
      </c>
      <c r="Z292" s="354">
        <f t="shared" si="269"/>
        <v>1.9165130578724443</v>
      </c>
      <c r="AA292" s="354">
        <f t="shared" si="270"/>
        <v>1.7986673387979486</v>
      </c>
      <c r="AB292" s="374">
        <f t="shared" si="271"/>
        <v>20.297501054792036</v>
      </c>
      <c r="AC292" s="354">
        <f t="shared" si="272"/>
        <v>5.7602801662607224</v>
      </c>
      <c r="AD292" s="354">
        <f t="shared" si="273"/>
        <v>12.538850376170133</v>
      </c>
      <c r="AE292" s="354">
        <f t="shared" si="274"/>
        <v>1.9983705123611801</v>
      </c>
      <c r="AF292" s="374">
        <f t="shared" si="275"/>
        <v>16.245089099923717</v>
      </c>
      <c r="AG292" s="354">
        <f t="shared" si="276"/>
        <v>1.0440183036759523</v>
      </c>
      <c r="AH292" s="354">
        <f t="shared" si="277"/>
        <v>5.252875784138971</v>
      </c>
      <c r="AI292" s="354">
        <f t="shared" si="278"/>
        <v>0</v>
      </c>
      <c r="AJ292" s="354">
        <f t="shared" si="279"/>
        <v>9.9481950121087959</v>
      </c>
      <c r="AK292" s="374">
        <f t="shared" si="280"/>
        <v>10.729768297254131</v>
      </c>
      <c r="AL292" s="354">
        <f t="shared" si="281"/>
        <v>3.0741498414050445</v>
      </c>
      <c r="AM292" s="354">
        <f t="shared" si="282"/>
        <v>7.2505740793545765</v>
      </c>
      <c r="AN292" s="354">
        <f t="shared" si="283"/>
        <v>0.40504437649451025</v>
      </c>
      <c r="AO292" s="374">
        <f t="shared" si="284"/>
        <v>6.2216044403347261</v>
      </c>
      <c r="AP292" s="354">
        <f t="shared" si="285"/>
        <v>1.4266793393025237</v>
      </c>
      <c r="AQ292" s="354">
        <f t="shared" si="286"/>
        <v>4.7949251010322023</v>
      </c>
      <c r="AR292" s="374">
        <f t="shared" si="287"/>
        <v>11.350017984828641</v>
      </c>
      <c r="AS292" s="354">
        <f t="shared" si="288"/>
        <v>4.9183481047170305</v>
      </c>
      <c r="AT292" s="354">
        <f t="shared" si="289"/>
        <v>6.4316698801116114</v>
      </c>
      <c r="AU292" s="355" t="s">
        <v>396</v>
      </c>
      <c r="AV292" s="354" t="s">
        <v>346</v>
      </c>
      <c r="AW292" s="353">
        <v>0</v>
      </c>
      <c r="AX292" s="353">
        <v>0</v>
      </c>
      <c r="AY292" s="353">
        <v>0</v>
      </c>
      <c r="AZ292" s="353">
        <v>0</v>
      </c>
      <c r="BA292" s="353">
        <v>0</v>
      </c>
      <c r="BB292" s="353">
        <v>0</v>
      </c>
    </row>
    <row r="293" spans="1:54" x14ac:dyDescent="0.25">
      <c r="A293" s="348" t="s">
        <v>765</v>
      </c>
      <c r="B293" s="349">
        <v>8</v>
      </c>
      <c r="C293" s="380">
        <v>45078</v>
      </c>
      <c r="D293" s="351">
        <v>45107</v>
      </c>
      <c r="E293" s="352"/>
      <c r="F293" s="352">
        <v>6</v>
      </c>
      <c r="G293" s="429" t="s">
        <v>306</v>
      </c>
      <c r="H293" s="353" t="s">
        <v>766</v>
      </c>
      <c r="I293" s="350" t="s">
        <v>393</v>
      </c>
      <c r="J293" s="375">
        <v>280972</v>
      </c>
      <c r="K293" s="350" t="s">
        <v>394</v>
      </c>
      <c r="L293" s="354">
        <v>2803.6597999999999</v>
      </c>
      <c r="M293" s="375">
        <f t="shared" si="290"/>
        <v>100.21615318663127</v>
      </c>
      <c r="N293" s="354" t="s">
        <v>395</v>
      </c>
      <c r="O293" s="354">
        <v>0</v>
      </c>
      <c r="P293" s="374">
        <f t="shared" si="185"/>
        <v>6.3144328938270728</v>
      </c>
      <c r="Q293" s="354">
        <f t="shared" si="260"/>
        <v>0.59554734994135272</v>
      </c>
      <c r="R293" s="354">
        <f t="shared" si="261"/>
        <v>1.0039196184153258</v>
      </c>
      <c r="S293" s="354">
        <f t="shared" si="262"/>
        <v>0.8942781534719344</v>
      </c>
      <c r="T293" s="354">
        <f t="shared" si="263"/>
        <v>3.8162265487223395</v>
      </c>
      <c r="U293" s="374">
        <f t="shared" si="264"/>
        <v>25.34255901900055</v>
      </c>
      <c r="V293" s="354">
        <f t="shared" si="265"/>
        <v>0.67083568629091894</v>
      </c>
      <c r="W293" s="354">
        <f t="shared" si="266"/>
        <v>22.883594664934268</v>
      </c>
      <c r="X293" s="354">
        <f t="shared" si="267"/>
        <v>1.7881286677753627</v>
      </c>
      <c r="Y293" s="374">
        <f t="shared" si="268"/>
        <v>3.7151803966703931</v>
      </c>
      <c r="Z293" s="354">
        <f t="shared" si="269"/>
        <v>1.9165130578724443</v>
      </c>
      <c r="AA293" s="354">
        <f t="shared" si="270"/>
        <v>1.7986673387979486</v>
      </c>
      <c r="AB293" s="374">
        <f t="shared" si="271"/>
        <v>20.297501054792036</v>
      </c>
      <c r="AC293" s="354">
        <f t="shared" si="272"/>
        <v>5.7602801662607224</v>
      </c>
      <c r="AD293" s="354">
        <f t="shared" si="273"/>
        <v>12.538850376170133</v>
      </c>
      <c r="AE293" s="354">
        <f t="shared" si="274"/>
        <v>1.9983705123611801</v>
      </c>
      <c r="AF293" s="374">
        <f t="shared" si="275"/>
        <v>16.245089099923717</v>
      </c>
      <c r="AG293" s="354">
        <f t="shared" si="276"/>
        <v>1.0440183036759523</v>
      </c>
      <c r="AH293" s="354">
        <f t="shared" si="277"/>
        <v>5.252875784138971</v>
      </c>
      <c r="AI293" s="354">
        <f t="shared" si="278"/>
        <v>0</v>
      </c>
      <c r="AJ293" s="354">
        <f t="shared" si="279"/>
        <v>9.9481950121087959</v>
      </c>
      <c r="AK293" s="374">
        <f t="shared" si="280"/>
        <v>10.729768297254131</v>
      </c>
      <c r="AL293" s="354">
        <f t="shared" si="281"/>
        <v>3.0741498414050445</v>
      </c>
      <c r="AM293" s="354">
        <f t="shared" si="282"/>
        <v>7.2505740793545765</v>
      </c>
      <c r="AN293" s="354">
        <f t="shared" si="283"/>
        <v>0.40504437649451025</v>
      </c>
      <c r="AO293" s="374">
        <f t="shared" si="284"/>
        <v>6.2216044403347261</v>
      </c>
      <c r="AP293" s="354">
        <f t="shared" si="285"/>
        <v>1.4266793393025237</v>
      </c>
      <c r="AQ293" s="354">
        <f t="shared" si="286"/>
        <v>4.7949251010322023</v>
      </c>
      <c r="AR293" s="374">
        <f t="shared" si="287"/>
        <v>11.350017984828641</v>
      </c>
      <c r="AS293" s="354">
        <f t="shared" si="288"/>
        <v>4.9183481047170305</v>
      </c>
      <c r="AT293" s="354">
        <f t="shared" si="289"/>
        <v>6.4316698801116114</v>
      </c>
      <c r="AU293" s="355" t="s">
        <v>396</v>
      </c>
      <c r="AV293" s="354" t="s">
        <v>346</v>
      </c>
      <c r="AW293" s="353">
        <v>0</v>
      </c>
      <c r="AX293" s="353">
        <v>0</v>
      </c>
      <c r="AY293" s="353">
        <v>0</v>
      </c>
      <c r="AZ293" s="353">
        <v>0</v>
      </c>
      <c r="BA293" s="353">
        <v>0</v>
      </c>
      <c r="BB293" s="353">
        <v>0</v>
      </c>
    </row>
    <row r="294" spans="1:54" x14ac:dyDescent="0.25">
      <c r="A294" s="348" t="s">
        <v>767</v>
      </c>
      <c r="B294" s="349">
        <v>8</v>
      </c>
      <c r="C294" s="380">
        <v>45078</v>
      </c>
      <c r="D294" s="351">
        <v>45107</v>
      </c>
      <c r="E294" s="352"/>
      <c r="F294" s="352">
        <v>6</v>
      </c>
      <c r="G294" s="429" t="s">
        <v>306</v>
      </c>
      <c r="H294" s="353" t="s">
        <v>768</v>
      </c>
      <c r="I294" s="350" t="s">
        <v>393</v>
      </c>
      <c r="J294" s="375">
        <v>280972</v>
      </c>
      <c r="K294" s="350" t="s">
        <v>394</v>
      </c>
      <c r="L294" s="354">
        <v>2803.6597999999999</v>
      </c>
      <c r="M294" s="375">
        <f t="shared" si="290"/>
        <v>100.21615318663127</v>
      </c>
      <c r="N294" s="354" t="s">
        <v>395</v>
      </c>
      <c r="O294" s="354">
        <v>0</v>
      </c>
      <c r="P294" s="374">
        <f t="shared" si="185"/>
        <v>6.3144328938270728</v>
      </c>
      <c r="Q294" s="354">
        <f t="shared" si="260"/>
        <v>0.59554734994135272</v>
      </c>
      <c r="R294" s="354">
        <f t="shared" si="261"/>
        <v>1.0039196184153258</v>
      </c>
      <c r="S294" s="354">
        <f t="shared" si="262"/>
        <v>0.8942781534719344</v>
      </c>
      <c r="T294" s="354">
        <f t="shared" si="263"/>
        <v>3.8162265487223395</v>
      </c>
      <c r="U294" s="374">
        <f t="shared" si="264"/>
        <v>25.34255901900055</v>
      </c>
      <c r="V294" s="354">
        <f t="shared" si="265"/>
        <v>0.67083568629091894</v>
      </c>
      <c r="W294" s="354">
        <f t="shared" si="266"/>
        <v>22.883594664934268</v>
      </c>
      <c r="X294" s="354">
        <f t="shared" si="267"/>
        <v>1.7881286677753627</v>
      </c>
      <c r="Y294" s="374">
        <f t="shared" si="268"/>
        <v>3.7151803966703931</v>
      </c>
      <c r="Z294" s="354">
        <f t="shared" si="269"/>
        <v>1.9165130578724443</v>
      </c>
      <c r="AA294" s="354">
        <f t="shared" si="270"/>
        <v>1.7986673387979486</v>
      </c>
      <c r="AB294" s="374">
        <f t="shared" si="271"/>
        <v>20.297501054792036</v>
      </c>
      <c r="AC294" s="354">
        <f t="shared" si="272"/>
        <v>5.7602801662607224</v>
      </c>
      <c r="AD294" s="354">
        <f t="shared" si="273"/>
        <v>12.538850376170133</v>
      </c>
      <c r="AE294" s="354">
        <f t="shared" si="274"/>
        <v>1.9983705123611801</v>
      </c>
      <c r="AF294" s="374">
        <f t="shared" si="275"/>
        <v>16.245089099923717</v>
      </c>
      <c r="AG294" s="354">
        <f t="shared" si="276"/>
        <v>1.0440183036759523</v>
      </c>
      <c r="AH294" s="354">
        <f t="shared" si="277"/>
        <v>5.252875784138971</v>
      </c>
      <c r="AI294" s="354">
        <f t="shared" si="278"/>
        <v>0</v>
      </c>
      <c r="AJ294" s="354">
        <f t="shared" si="279"/>
        <v>9.9481950121087959</v>
      </c>
      <c r="AK294" s="374">
        <f t="shared" si="280"/>
        <v>10.729768297254131</v>
      </c>
      <c r="AL294" s="354">
        <f t="shared" si="281"/>
        <v>3.0741498414050445</v>
      </c>
      <c r="AM294" s="354">
        <f t="shared" si="282"/>
        <v>7.2505740793545765</v>
      </c>
      <c r="AN294" s="354">
        <f t="shared" si="283"/>
        <v>0.40504437649451025</v>
      </c>
      <c r="AO294" s="374">
        <f t="shared" si="284"/>
        <v>6.2216044403347261</v>
      </c>
      <c r="AP294" s="354">
        <f t="shared" si="285"/>
        <v>1.4266793393025237</v>
      </c>
      <c r="AQ294" s="354">
        <f t="shared" si="286"/>
        <v>4.7949251010322023</v>
      </c>
      <c r="AR294" s="374">
        <f t="shared" si="287"/>
        <v>11.350017984828641</v>
      </c>
      <c r="AS294" s="354">
        <f t="shared" si="288"/>
        <v>4.9183481047170305</v>
      </c>
      <c r="AT294" s="354">
        <f t="shared" si="289"/>
        <v>6.4316698801116114</v>
      </c>
      <c r="AU294" s="355" t="s">
        <v>396</v>
      </c>
      <c r="AV294" s="354" t="s">
        <v>346</v>
      </c>
      <c r="AW294" s="353">
        <v>0</v>
      </c>
      <c r="AX294" s="353">
        <v>0</v>
      </c>
      <c r="AY294" s="353">
        <v>0</v>
      </c>
      <c r="AZ294" s="353">
        <v>0</v>
      </c>
      <c r="BA294" s="353">
        <v>0</v>
      </c>
      <c r="BB294" s="353">
        <v>0</v>
      </c>
    </row>
    <row r="295" spans="1:54" x14ac:dyDescent="0.25">
      <c r="A295" s="348" t="s">
        <v>769</v>
      </c>
      <c r="B295" s="349">
        <v>8</v>
      </c>
      <c r="C295" s="380">
        <v>45078</v>
      </c>
      <c r="D295" s="351">
        <v>45107</v>
      </c>
      <c r="E295" s="352"/>
      <c r="F295" s="352">
        <v>6</v>
      </c>
      <c r="G295" s="429" t="s">
        <v>306</v>
      </c>
      <c r="H295" s="353" t="s">
        <v>770</v>
      </c>
      <c r="I295" s="350" t="s">
        <v>393</v>
      </c>
      <c r="J295" s="375">
        <v>280972</v>
      </c>
      <c r="K295" s="350" t="s">
        <v>394</v>
      </c>
      <c r="L295" s="354">
        <v>2803.6597999999999</v>
      </c>
      <c r="M295" s="375">
        <f t="shared" si="290"/>
        <v>100.21615318663127</v>
      </c>
      <c r="N295" s="354" t="s">
        <v>395</v>
      </c>
      <c r="O295" s="354">
        <v>0</v>
      </c>
      <c r="P295" s="374">
        <f t="shared" si="185"/>
        <v>6.3144328938270728</v>
      </c>
      <c r="Q295" s="354">
        <f t="shared" si="260"/>
        <v>0.59554734994135272</v>
      </c>
      <c r="R295" s="354">
        <f t="shared" si="261"/>
        <v>1.0039196184153258</v>
      </c>
      <c r="S295" s="354">
        <f t="shared" si="262"/>
        <v>0.8942781534719344</v>
      </c>
      <c r="T295" s="354">
        <f t="shared" si="263"/>
        <v>3.8162265487223395</v>
      </c>
      <c r="U295" s="374">
        <f t="shared" si="264"/>
        <v>25.34255901900055</v>
      </c>
      <c r="V295" s="354">
        <f t="shared" si="265"/>
        <v>0.67083568629091894</v>
      </c>
      <c r="W295" s="354">
        <f t="shared" si="266"/>
        <v>22.883594664934268</v>
      </c>
      <c r="X295" s="354">
        <f t="shared" si="267"/>
        <v>1.7881286677753627</v>
      </c>
      <c r="Y295" s="374">
        <f t="shared" si="268"/>
        <v>3.7151803966703931</v>
      </c>
      <c r="Z295" s="354">
        <f t="shared" si="269"/>
        <v>1.9165130578724443</v>
      </c>
      <c r="AA295" s="354">
        <f t="shared" si="270"/>
        <v>1.7986673387979486</v>
      </c>
      <c r="AB295" s="374">
        <f t="shared" si="271"/>
        <v>20.297501054792036</v>
      </c>
      <c r="AC295" s="354">
        <f t="shared" si="272"/>
        <v>5.7602801662607224</v>
      </c>
      <c r="AD295" s="354">
        <f t="shared" si="273"/>
        <v>12.538850376170133</v>
      </c>
      <c r="AE295" s="354">
        <f t="shared" si="274"/>
        <v>1.9983705123611801</v>
      </c>
      <c r="AF295" s="374">
        <f t="shared" si="275"/>
        <v>16.245089099923717</v>
      </c>
      <c r="AG295" s="354">
        <f t="shared" si="276"/>
        <v>1.0440183036759523</v>
      </c>
      <c r="AH295" s="354">
        <f t="shared" si="277"/>
        <v>5.252875784138971</v>
      </c>
      <c r="AI295" s="354">
        <f t="shared" si="278"/>
        <v>0</v>
      </c>
      <c r="AJ295" s="354">
        <f t="shared" si="279"/>
        <v>9.9481950121087959</v>
      </c>
      <c r="AK295" s="374">
        <f t="shared" si="280"/>
        <v>10.729768297254131</v>
      </c>
      <c r="AL295" s="354">
        <f t="shared" si="281"/>
        <v>3.0741498414050445</v>
      </c>
      <c r="AM295" s="354">
        <f t="shared" si="282"/>
        <v>7.2505740793545765</v>
      </c>
      <c r="AN295" s="354">
        <f t="shared" si="283"/>
        <v>0.40504437649451025</v>
      </c>
      <c r="AO295" s="374">
        <f t="shared" si="284"/>
        <v>6.2216044403347261</v>
      </c>
      <c r="AP295" s="354">
        <f t="shared" si="285"/>
        <v>1.4266793393025237</v>
      </c>
      <c r="AQ295" s="354">
        <f t="shared" si="286"/>
        <v>4.7949251010322023</v>
      </c>
      <c r="AR295" s="374">
        <f t="shared" si="287"/>
        <v>11.350017984828641</v>
      </c>
      <c r="AS295" s="354">
        <f t="shared" si="288"/>
        <v>4.9183481047170305</v>
      </c>
      <c r="AT295" s="354">
        <f t="shared" si="289"/>
        <v>6.4316698801116114</v>
      </c>
      <c r="AU295" s="355" t="s">
        <v>396</v>
      </c>
      <c r="AV295" s="354" t="s">
        <v>346</v>
      </c>
      <c r="AW295" s="353">
        <v>0</v>
      </c>
      <c r="AX295" s="353">
        <v>0</v>
      </c>
      <c r="AY295" s="353">
        <v>0</v>
      </c>
      <c r="AZ295" s="353">
        <v>0</v>
      </c>
      <c r="BA295" s="353">
        <v>0</v>
      </c>
      <c r="BB295" s="353">
        <v>0</v>
      </c>
    </row>
    <row r="296" spans="1:54" x14ac:dyDescent="0.25">
      <c r="A296" s="348" t="s">
        <v>759</v>
      </c>
      <c r="B296" s="349">
        <v>8</v>
      </c>
      <c r="C296" s="380">
        <v>45078</v>
      </c>
      <c r="D296" s="351">
        <v>45107</v>
      </c>
      <c r="E296" s="352"/>
      <c r="F296" s="352">
        <v>6</v>
      </c>
      <c r="G296" s="429" t="s">
        <v>307</v>
      </c>
      <c r="H296" s="353" t="s">
        <v>771</v>
      </c>
      <c r="I296" s="350" t="s">
        <v>393</v>
      </c>
      <c r="J296" s="375">
        <v>152000</v>
      </c>
      <c r="K296" s="350" t="s">
        <v>394</v>
      </c>
      <c r="L296" s="354">
        <v>2803.6597999999999</v>
      </c>
      <c r="M296" s="375">
        <f>+J296/L296</f>
        <v>54.214851602180836</v>
      </c>
      <c r="N296" s="354" t="s">
        <v>395</v>
      </c>
      <c r="O296" s="354">
        <v>0</v>
      </c>
      <c r="P296" s="374">
        <f t="shared" si="185"/>
        <v>3.415976680458249</v>
      </c>
      <c r="Q296" s="354">
        <f t="shared" si="260"/>
        <v>0.32217871243784296</v>
      </c>
      <c r="R296" s="354">
        <f t="shared" si="261"/>
        <v>0.54309960422792858</v>
      </c>
      <c r="S296" s="354">
        <f t="shared" si="262"/>
        <v>0.48378585527288853</v>
      </c>
      <c r="T296" s="354">
        <f t="shared" si="263"/>
        <v>2.0644990796442197</v>
      </c>
      <c r="U296" s="374">
        <f t="shared" si="264"/>
        <v>13.709796602110117</v>
      </c>
      <c r="V296" s="354">
        <f t="shared" si="265"/>
        <v>0.36290813432021585</v>
      </c>
      <c r="W296" s="354">
        <f t="shared" si="266"/>
        <v>12.379548101127547</v>
      </c>
      <c r="X296" s="354">
        <f t="shared" si="267"/>
        <v>0.96734036666235479</v>
      </c>
      <c r="Y296" s="374">
        <f t="shared" si="268"/>
        <v>2.0098352159428687</v>
      </c>
      <c r="Z296" s="354">
        <f t="shared" si="269"/>
        <v>1.0367936477535538</v>
      </c>
      <c r="AA296" s="354">
        <f t="shared" si="270"/>
        <v>0.97304156818931475</v>
      </c>
      <c r="AB296" s="374">
        <f t="shared" si="271"/>
        <v>10.980525320417655</v>
      </c>
      <c r="AC296" s="354">
        <f t="shared" si="272"/>
        <v>3.1161915965705829</v>
      </c>
      <c r="AD296" s="354">
        <f t="shared" si="273"/>
        <v>6.7832568981174646</v>
      </c>
      <c r="AE296" s="354">
        <f t="shared" si="274"/>
        <v>1.0810768257296077</v>
      </c>
      <c r="AF296" s="374">
        <f t="shared" si="275"/>
        <v>8.7882548552468052</v>
      </c>
      <c r="AG296" s="354">
        <f t="shared" si="276"/>
        <v>0.56479215779061531</v>
      </c>
      <c r="AH296" s="354">
        <f t="shared" si="277"/>
        <v>2.8416963939080184</v>
      </c>
      <c r="AI296" s="354">
        <f t="shared" si="278"/>
        <v>0</v>
      </c>
      <c r="AJ296" s="354">
        <f t="shared" si="279"/>
        <v>5.3817663035481722</v>
      </c>
      <c r="AK296" s="374">
        <f t="shared" si="280"/>
        <v>5.8045811724393461</v>
      </c>
      <c r="AL296" s="354">
        <f t="shared" si="281"/>
        <v>1.6630510367352149</v>
      </c>
      <c r="AM296" s="354">
        <f t="shared" si="282"/>
        <v>3.9224095641626056</v>
      </c>
      <c r="AN296" s="354">
        <f t="shared" si="283"/>
        <v>0.2191205715415257</v>
      </c>
      <c r="AO296" s="374">
        <f t="shared" si="284"/>
        <v>3.3657584205218969</v>
      </c>
      <c r="AP296" s="354">
        <f t="shared" si="285"/>
        <v>0.77180380811605287</v>
      </c>
      <c r="AQ296" s="354">
        <f t="shared" si="286"/>
        <v>2.5939546124058439</v>
      </c>
      <c r="AR296" s="374">
        <f t="shared" si="287"/>
        <v>6.1401233350438957</v>
      </c>
      <c r="AS296" s="354">
        <f t="shared" si="288"/>
        <v>2.6607238867822725</v>
      </c>
      <c r="AT296" s="354">
        <f t="shared" si="289"/>
        <v>3.4793994482616237</v>
      </c>
      <c r="AU296" s="355" t="s">
        <v>396</v>
      </c>
      <c r="AV296" s="354" t="s">
        <v>346</v>
      </c>
      <c r="AW296" s="353">
        <v>0</v>
      </c>
      <c r="AX296" s="353">
        <v>0</v>
      </c>
      <c r="AY296" s="353">
        <v>0</v>
      </c>
      <c r="AZ296" s="353">
        <v>0</v>
      </c>
      <c r="BA296" s="353">
        <v>0</v>
      </c>
      <c r="BB296" s="353">
        <v>0</v>
      </c>
    </row>
    <row r="297" spans="1:54" x14ac:dyDescent="0.25">
      <c r="A297" s="348" t="s">
        <v>761</v>
      </c>
      <c r="B297" s="349">
        <v>8</v>
      </c>
      <c r="C297" s="380">
        <v>45078</v>
      </c>
      <c r="D297" s="351">
        <v>45107</v>
      </c>
      <c r="E297" s="352"/>
      <c r="F297" s="352">
        <v>6</v>
      </c>
      <c r="G297" s="429" t="s">
        <v>307</v>
      </c>
      <c r="H297" s="353" t="s">
        <v>772</v>
      </c>
      <c r="I297" s="350" t="s">
        <v>393</v>
      </c>
      <c r="J297" s="375">
        <v>152000</v>
      </c>
      <c r="K297" s="350" t="s">
        <v>394</v>
      </c>
      <c r="L297" s="354">
        <v>2803.6597999999999</v>
      </c>
      <c r="M297" s="375">
        <f t="shared" ref="M297:M301" si="291">+J297/L297</f>
        <v>54.214851602180836</v>
      </c>
      <c r="N297" s="354" t="s">
        <v>395</v>
      </c>
      <c r="O297" s="354">
        <v>0</v>
      </c>
      <c r="P297" s="374">
        <f t="shared" si="185"/>
        <v>3.415976680458249</v>
      </c>
      <c r="Q297" s="354">
        <f t="shared" si="260"/>
        <v>0.32217871243784296</v>
      </c>
      <c r="R297" s="354">
        <f t="shared" si="261"/>
        <v>0.54309960422792858</v>
      </c>
      <c r="S297" s="354">
        <f t="shared" si="262"/>
        <v>0.48378585527288853</v>
      </c>
      <c r="T297" s="354">
        <f t="shared" si="263"/>
        <v>2.0644990796442197</v>
      </c>
      <c r="U297" s="374">
        <f t="shared" si="264"/>
        <v>13.709796602110117</v>
      </c>
      <c r="V297" s="354">
        <f t="shared" si="265"/>
        <v>0.36290813432021585</v>
      </c>
      <c r="W297" s="354">
        <f t="shared" si="266"/>
        <v>12.379548101127547</v>
      </c>
      <c r="X297" s="354">
        <f t="shared" si="267"/>
        <v>0.96734036666235479</v>
      </c>
      <c r="Y297" s="374">
        <f t="shared" si="268"/>
        <v>2.0098352159428687</v>
      </c>
      <c r="Z297" s="354">
        <f t="shared" si="269"/>
        <v>1.0367936477535538</v>
      </c>
      <c r="AA297" s="354">
        <f t="shared" si="270"/>
        <v>0.97304156818931475</v>
      </c>
      <c r="AB297" s="374">
        <f t="shared" si="271"/>
        <v>10.980525320417655</v>
      </c>
      <c r="AC297" s="354">
        <f t="shared" si="272"/>
        <v>3.1161915965705829</v>
      </c>
      <c r="AD297" s="354">
        <f t="shared" si="273"/>
        <v>6.7832568981174646</v>
      </c>
      <c r="AE297" s="354">
        <f t="shared" si="274"/>
        <v>1.0810768257296077</v>
      </c>
      <c r="AF297" s="374">
        <f t="shared" si="275"/>
        <v>8.7882548552468052</v>
      </c>
      <c r="AG297" s="354">
        <f t="shared" si="276"/>
        <v>0.56479215779061531</v>
      </c>
      <c r="AH297" s="354">
        <f t="shared" si="277"/>
        <v>2.8416963939080184</v>
      </c>
      <c r="AI297" s="354">
        <f t="shared" si="278"/>
        <v>0</v>
      </c>
      <c r="AJ297" s="354">
        <f t="shared" si="279"/>
        <v>5.3817663035481722</v>
      </c>
      <c r="AK297" s="374">
        <f t="shared" si="280"/>
        <v>5.8045811724393461</v>
      </c>
      <c r="AL297" s="354">
        <f t="shared" si="281"/>
        <v>1.6630510367352149</v>
      </c>
      <c r="AM297" s="354">
        <f t="shared" si="282"/>
        <v>3.9224095641626056</v>
      </c>
      <c r="AN297" s="354">
        <f t="shared" si="283"/>
        <v>0.2191205715415257</v>
      </c>
      <c r="AO297" s="374">
        <f t="shared" si="284"/>
        <v>3.3657584205218969</v>
      </c>
      <c r="AP297" s="354">
        <f t="shared" si="285"/>
        <v>0.77180380811605287</v>
      </c>
      <c r="AQ297" s="354">
        <f t="shared" si="286"/>
        <v>2.5939546124058439</v>
      </c>
      <c r="AR297" s="374">
        <f t="shared" si="287"/>
        <v>6.1401233350438957</v>
      </c>
      <c r="AS297" s="354">
        <f t="shared" si="288"/>
        <v>2.6607238867822725</v>
      </c>
      <c r="AT297" s="354">
        <f t="shared" si="289"/>
        <v>3.4793994482616237</v>
      </c>
      <c r="AU297" s="355" t="s">
        <v>396</v>
      </c>
      <c r="AV297" s="354" t="s">
        <v>346</v>
      </c>
      <c r="AW297" s="353">
        <v>0</v>
      </c>
      <c r="AX297" s="353">
        <v>0</v>
      </c>
      <c r="AY297" s="353">
        <v>0</v>
      </c>
      <c r="AZ297" s="353">
        <v>0</v>
      </c>
      <c r="BA297" s="353">
        <v>0</v>
      </c>
      <c r="BB297" s="353">
        <v>0</v>
      </c>
    </row>
    <row r="298" spans="1:54" x14ac:dyDescent="0.25">
      <c r="A298" s="348" t="s">
        <v>763</v>
      </c>
      <c r="B298" s="349">
        <v>8</v>
      </c>
      <c r="C298" s="380">
        <v>45078</v>
      </c>
      <c r="D298" s="351">
        <v>45107</v>
      </c>
      <c r="E298" s="352"/>
      <c r="F298" s="352">
        <v>6</v>
      </c>
      <c r="G298" s="429" t="s">
        <v>307</v>
      </c>
      <c r="H298" s="353" t="s">
        <v>773</v>
      </c>
      <c r="I298" s="350" t="s">
        <v>393</v>
      </c>
      <c r="J298" s="375">
        <v>152000</v>
      </c>
      <c r="K298" s="350" t="s">
        <v>394</v>
      </c>
      <c r="L298" s="354">
        <v>2803.6597999999999</v>
      </c>
      <c r="M298" s="375">
        <f t="shared" si="291"/>
        <v>54.214851602180836</v>
      </c>
      <c r="N298" s="354" t="s">
        <v>395</v>
      </c>
      <c r="O298" s="354">
        <v>0</v>
      </c>
      <c r="P298" s="374">
        <f t="shared" si="185"/>
        <v>3.415976680458249</v>
      </c>
      <c r="Q298" s="354">
        <f t="shared" si="260"/>
        <v>0.32217871243784296</v>
      </c>
      <c r="R298" s="354">
        <f t="shared" si="261"/>
        <v>0.54309960422792858</v>
      </c>
      <c r="S298" s="354">
        <f t="shared" si="262"/>
        <v>0.48378585527288853</v>
      </c>
      <c r="T298" s="354">
        <f t="shared" si="263"/>
        <v>2.0644990796442197</v>
      </c>
      <c r="U298" s="374">
        <f t="shared" si="264"/>
        <v>13.709796602110117</v>
      </c>
      <c r="V298" s="354">
        <f t="shared" si="265"/>
        <v>0.36290813432021585</v>
      </c>
      <c r="W298" s="354">
        <f t="shared" si="266"/>
        <v>12.379548101127547</v>
      </c>
      <c r="X298" s="354">
        <f t="shared" si="267"/>
        <v>0.96734036666235479</v>
      </c>
      <c r="Y298" s="374">
        <f t="shared" si="268"/>
        <v>2.0098352159428687</v>
      </c>
      <c r="Z298" s="354">
        <f t="shared" si="269"/>
        <v>1.0367936477535538</v>
      </c>
      <c r="AA298" s="354">
        <f t="shared" si="270"/>
        <v>0.97304156818931475</v>
      </c>
      <c r="AB298" s="374">
        <f t="shared" si="271"/>
        <v>10.980525320417655</v>
      </c>
      <c r="AC298" s="354">
        <f t="shared" si="272"/>
        <v>3.1161915965705829</v>
      </c>
      <c r="AD298" s="354">
        <f t="shared" si="273"/>
        <v>6.7832568981174646</v>
      </c>
      <c r="AE298" s="354">
        <f t="shared" si="274"/>
        <v>1.0810768257296077</v>
      </c>
      <c r="AF298" s="374">
        <f t="shared" si="275"/>
        <v>8.7882548552468052</v>
      </c>
      <c r="AG298" s="354">
        <f t="shared" si="276"/>
        <v>0.56479215779061531</v>
      </c>
      <c r="AH298" s="354">
        <f t="shared" si="277"/>
        <v>2.8416963939080184</v>
      </c>
      <c r="AI298" s="354">
        <f t="shared" si="278"/>
        <v>0</v>
      </c>
      <c r="AJ298" s="354">
        <f t="shared" si="279"/>
        <v>5.3817663035481722</v>
      </c>
      <c r="AK298" s="374">
        <f t="shared" si="280"/>
        <v>5.8045811724393461</v>
      </c>
      <c r="AL298" s="354">
        <f t="shared" si="281"/>
        <v>1.6630510367352149</v>
      </c>
      <c r="AM298" s="354">
        <f t="shared" si="282"/>
        <v>3.9224095641626056</v>
      </c>
      <c r="AN298" s="354">
        <f t="shared" si="283"/>
        <v>0.2191205715415257</v>
      </c>
      <c r="AO298" s="374">
        <f t="shared" si="284"/>
        <v>3.3657584205218969</v>
      </c>
      <c r="AP298" s="354">
        <f t="shared" si="285"/>
        <v>0.77180380811605287</v>
      </c>
      <c r="AQ298" s="354">
        <f t="shared" si="286"/>
        <v>2.5939546124058439</v>
      </c>
      <c r="AR298" s="374">
        <f t="shared" si="287"/>
        <v>6.1401233350438957</v>
      </c>
      <c r="AS298" s="354">
        <f t="shared" si="288"/>
        <v>2.6607238867822725</v>
      </c>
      <c r="AT298" s="354">
        <f t="shared" si="289"/>
        <v>3.4793994482616237</v>
      </c>
      <c r="AU298" s="355" t="s">
        <v>396</v>
      </c>
      <c r="AV298" s="354" t="s">
        <v>346</v>
      </c>
      <c r="AW298" s="353">
        <v>0</v>
      </c>
      <c r="AX298" s="353">
        <v>0</v>
      </c>
      <c r="AY298" s="353">
        <v>0</v>
      </c>
      <c r="AZ298" s="353">
        <v>0</v>
      </c>
      <c r="BA298" s="353">
        <v>0</v>
      </c>
      <c r="BB298" s="353">
        <v>0</v>
      </c>
    </row>
    <row r="299" spans="1:54" x14ac:dyDescent="0.25">
      <c r="A299" s="348" t="s">
        <v>765</v>
      </c>
      <c r="B299" s="349">
        <v>8</v>
      </c>
      <c r="C299" s="380">
        <v>45078</v>
      </c>
      <c r="D299" s="351">
        <v>45107</v>
      </c>
      <c r="E299" s="352"/>
      <c r="F299" s="352">
        <v>6</v>
      </c>
      <c r="G299" s="429" t="s">
        <v>307</v>
      </c>
      <c r="H299" s="353" t="s">
        <v>774</v>
      </c>
      <c r="I299" s="350" t="s">
        <v>393</v>
      </c>
      <c r="J299" s="375">
        <v>152000</v>
      </c>
      <c r="K299" s="350" t="s">
        <v>394</v>
      </c>
      <c r="L299" s="354">
        <v>2803.6597999999999</v>
      </c>
      <c r="M299" s="375">
        <f t="shared" si="291"/>
        <v>54.214851602180836</v>
      </c>
      <c r="N299" s="354" t="s">
        <v>395</v>
      </c>
      <c r="O299" s="354">
        <v>0</v>
      </c>
      <c r="P299" s="374">
        <f t="shared" si="185"/>
        <v>3.415976680458249</v>
      </c>
      <c r="Q299" s="354">
        <f t="shared" si="260"/>
        <v>0.32217871243784296</v>
      </c>
      <c r="R299" s="354">
        <f t="shared" si="261"/>
        <v>0.54309960422792858</v>
      </c>
      <c r="S299" s="354">
        <f t="shared" si="262"/>
        <v>0.48378585527288853</v>
      </c>
      <c r="T299" s="354">
        <f t="shared" si="263"/>
        <v>2.0644990796442197</v>
      </c>
      <c r="U299" s="374">
        <f t="shared" si="264"/>
        <v>13.709796602110117</v>
      </c>
      <c r="V299" s="354">
        <f t="shared" si="265"/>
        <v>0.36290813432021585</v>
      </c>
      <c r="W299" s="354">
        <f t="shared" si="266"/>
        <v>12.379548101127547</v>
      </c>
      <c r="X299" s="354">
        <f t="shared" si="267"/>
        <v>0.96734036666235479</v>
      </c>
      <c r="Y299" s="374">
        <f t="shared" si="268"/>
        <v>2.0098352159428687</v>
      </c>
      <c r="Z299" s="354">
        <f t="shared" si="269"/>
        <v>1.0367936477535538</v>
      </c>
      <c r="AA299" s="354">
        <f t="shared" si="270"/>
        <v>0.97304156818931475</v>
      </c>
      <c r="AB299" s="374">
        <f t="shared" si="271"/>
        <v>10.980525320417655</v>
      </c>
      <c r="AC299" s="354">
        <f t="shared" si="272"/>
        <v>3.1161915965705829</v>
      </c>
      <c r="AD299" s="354">
        <f t="shared" si="273"/>
        <v>6.7832568981174646</v>
      </c>
      <c r="AE299" s="354">
        <f t="shared" si="274"/>
        <v>1.0810768257296077</v>
      </c>
      <c r="AF299" s="374">
        <f t="shared" si="275"/>
        <v>8.7882548552468052</v>
      </c>
      <c r="AG299" s="354">
        <f t="shared" si="276"/>
        <v>0.56479215779061531</v>
      </c>
      <c r="AH299" s="354">
        <f t="shared" si="277"/>
        <v>2.8416963939080184</v>
      </c>
      <c r="AI299" s="354">
        <f t="shared" si="278"/>
        <v>0</v>
      </c>
      <c r="AJ299" s="354">
        <f t="shared" si="279"/>
        <v>5.3817663035481722</v>
      </c>
      <c r="AK299" s="374">
        <f t="shared" si="280"/>
        <v>5.8045811724393461</v>
      </c>
      <c r="AL299" s="354">
        <f t="shared" si="281"/>
        <v>1.6630510367352149</v>
      </c>
      <c r="AM299" s="354">
        <f t="shared" si="282"/>
        <v>3.9224095641626056</v>
      </c>
      <c r="AN299" s="354">
        <f t="shared" si="283"/>
        <v>0.2191205715415257</v>
      </c>
      <c r="AO299" s="374">
        <f t="shared" si="284"/>
        <v>3.3657584205218969</v>
      </c>
      <c r="AP299" s="354">
        <f t="shared" si="285"/>
        <v>0.77180380811605287</v>
      </c>
      <c r="AQ299" s="354">
        <f t="shared" si="286"/>
        <v>2.5939546124058439</v>
      </c>
      <c r="AR299" s="374">
        <f t="shared" si="287"/>
        <v>6.1401233350438957</v>
      </c>
      <c r="AS299" s="354">
        <f t="shared" si="288"/>
        <v>2.6607238867822725</v>
      </c>
      <c r="AT299" s="354">
        <f t="shared" si="289"/>
        <v>3.4793994482616237</v>
      </c>
      <c r="AU299" s="355" t="s">
        <v>396</v>
      </c>
      <c r="AV299" s="354" t="s">
        <v>346</v>
      </c>
      <c r="AW299" s="353">
        <v>0</v>
      </c>
      <c r="AX299" s="353">
        <v>0</v>
      </c>
      <c r="AY299" s="353">
        <v>0</v>
      </c>
      <c r="AZ299" s="353">
        <v>0</v>
      </c>
      <c r="BA299" s="353">
        <v>0</v>
      </c>
      <c r="BB299" s="353">
        <v>0</v>
      </c>
    </row>
    <row r="300" spans="1:54" x14ac:dyDescent="0.25">
      <c r="A300" s="348" t="s">
        <v>767</v>
      </c>
      <c r="B300" s="349">
        <v>8</v>
      </c>
      <c r="C300" s="380">
        <v>45078</v>
      </c>
      <c r="D300" s="351">
        <v>45107</v>
      </c>
      <c r="E300" s="352"/>
      <c r="F300" s="352">
        <v>6</v>
      </c>
      <c r="G300" s="429" t="s">
        <v>307</v>
      </c>
      <c r="H300" s="353" t="s">
        <v>775</v>
      </c>
      <c r="I300" s="350" t="s">
        <v>393</v>
      </c>
      <c r="J300" s="375">
        <v>152000</v>
      </c>
      <c r="K300" s="350" t="s">
        <v>394</v>
      </c>
      <c r="L300" s="354">
        <v>2803.6597999999999</v>
      </c>
      <c r="M300" s="375">
        <f t="shared" si="291"/>
        <v>54.214851602180836</v>
      </c>
      <c r="N300" s="354" t="s">
        <v>395</v>
      </c>
      <c r="O300" s="354">
        <v>0</v>
      </c>
      <c r="P300" s="374">
        <f t="shared" si="185"/>
        <v>3.415976680458249</v>
      </c>
      <c r="Q300" s="354">
        <f t="shared" si="260"/>
        <v>0.32217871243784296</v>
      </c>
      <c r="R300" s="354">
        <f t="shared" si="261"/>
        <v>0.54309960422792858</v>
      </c>
      <c r="S300" s="354">
        <f t="shared" si="262"/>
        <v>0.48378585527288853</v>
      </c>
      <c r="T300" s="354">
        <f t="shared" si="263"/>
        <v>2.0644990796442197</v>
      </c>
      <c r="U300" s="374">
        <f t="shared" si="264"/>
        <v>13.709796602110117</v>
      </c>
      <c r="V300" s="354">
        <f t="shared" si="265"/>
        <v>0.36290813432021585</v>
      </c>
      <c r="W300" s="354">
        <f t="shared" si="266"/>
        <v>12.379548101127547</v>
      </c>
      <c r="X300" s="354">
        <f t="shared" si="267"/>
        <v>0.96734036666235479</v>
      </c>
      <c r="Y300" s="374">
        <f t="shared" si="268"/>
        <v>2.0098352159428687</v>
      </c>
      <c r="Z300" s="354">
        <f t="shared" si="269"/>
        <v>1.0367936477535538</v>
      </c>
      <c r="AA300" s="354">
        <f t="shared" si="270"/>
        <v>0.97304156818931475</v>
      </c>
      <c r="AB300" s="374">
        <f t="shared" si="271"/>
        <v>10.980525320417655</v>
      </c>
      <c r="AC300" s="354">
        <f t="shared" si="272"/>
        <v>3.1161915965705829</v>
      </c>
      <c r="AD300" s="354">
        <f t="shared" si="273"/>
        <v>6.7832568981174646</v>
      </c>
      <c r="AE300" s="354">
        <f t="shared" si="274"/>
        <v>1.0810768257296077</v>
      </c>
      <c r="AF300" s="374">
        <f t="shared" si="275"/>
        <v>8.7882548552468052</v>
      </c>
      <c r="AG300" s="354">
        <f t="shared" si="276"/>
        <v>0.56479215779061531</v>
      </c>
      <c r="AH300" s="354">
        <f t="shared" si="277"/>
        <v>2.8416963939080184</v>
      </c>
      <c r="AI300" s="354">
        <f t="shared" si="278"/>
        <v>0</v>
      </c>
      <c r="AJ300" s="354">
        <f t="shared" si="279"/>
        <v>5.3817663035481722</v>
      </c>
      <c r="AK300" s="374">
        <f t="shared" si="280"/>
        <v>5.8045811724393461</v>
      </c>
      <c r="AL300" s="354">
        <f t="shared" si="281"/>
        <v>1.6630510367352149</v>
      </c>
      <c r="AM300" s="354">
        <f t="shared" si="282"/>
        <v>3.9224095641626056</v>
      </c>
      <c r="AN300" s="354">
        <f t="shared" si="283"/>
        <v>0.2191205715415257</v>
      </c>
      <c r="AO300" s="374">
        <f t="shared" si="284"/>
        <v>3.3657584205218969</v>
      </c>
      <c r="AP300" s="354">
        <f t="shared" si="285"/>
        <v>0.77180380811605287</v>
      </c>
      <c r="AQ300" s="354">
        <f t="shared" si="286"/>
        <v>2.5939546124058439</v>
      </c>
      <c r="AR300" s="374">
        <f t="shared" si="287"/>
        <v>6.1401233350438957</v>
      </c>
      <c r="AS300" s="354">
        <f t="shared" si="288"/>
        <v>2.6607238867822725</v>
      </c>
      <c r="AT300" s="354">
        <f t="shared" si="289"/>
        <v>3.4793994482616237</v>
      </c>
      <c r="AU300" s="355" t="s">
        <v>396</v>
      </c>
      <c r="AV300" s="354" t="s">
        <v>346</v>
      </c>
      <c r="AW300" s="353">
        <v>0</v>
      </c>
      <c r="AX300" s="353">
        <v>0</v>
      </c>
      <c r="AY300" s="353">
        <v>0</v>
      </c>
      <c r="AZ300" s="353">
        <v>0</v>
      </c>
      <c r="BA300" s="353">
        <v>0</v>
      </c>
      <c r="BB300" s="353">
        <v>0</v>
      </c>
    </row>
    <row r="301" spans="1:54" x14ac:dyDescent="0.25">
      <c r="A301" s="348" t="s">
        <v>769</v>
      </c>
      <c r="B301" s="349">
        <v>8</v>
      </c>
      <c r="C301" s="380">
        <v>45078</v>
      </c>
      <c r="D301" s="351">
        <v>45107</v>
      </c>
      <c r="E301" s="352"/>
      <c r="F301" s="352">
        <v>6</v>
      </c>
      <c r="G301" s="429" t="s">
        <v>307</v>
      </c>
      <c r="H301" s="353" t="s">
        <v>776</v>
      </c>
      <c r="I301" s="350" t="s">
        <v>393</v>
      </c>
      <c r="J301" s="375">
        <v>152000</v>
      </c>
      <c r="K301" s="350" t="s">
        <v>394</v>
      </c>
      <c r="L301" s="354">
        <v>2803.6597999999999</v>
      </c>
      <c r="M301" s="375">
        <f t="shared" si="291"/>
        <v>54.214851602180836</v>
      </c>
      <c r="N301" s="354" t="s">
        <v>395</v>
      </c>
      <c r="O301" s="354">
        <v>0</v>
      </c>
      <c r="P301" s="374">
        <f t="shared" si="185"/>
        <v>3.415976680458249</v>
      </c>
      <c r="Q301" s="354">
        <f t="shared" si="260"/>
        <v>0.32217871243784296</v>
      </c>
      <c r="R301" s="354">
        <f t="shared" si="261"/>
        <v>0.54309960422792858</v>
      </c>
      <c r="S301" s="354">
        <f t="shared" si="262"/>
        <v>0.48378585527288853</v>
      </c>
      <c r="T301" s="354">
        <f t="shared" si="263"/>
        <v>2.0644990796442197</v>
      </c>
      <c r="U301" s="374">
        <f t="shared" si="264"/>
        <v>13.709796602110117</v>
      </c>
      <c r="V301" s="354">
        <f t="shared" si="265"/>
        <v>0.36290813432021585</v>
      </c>
      <c r="W301" s="354">
        <f t="shared" si="266"/>
        <v>12.379548101127547</v>
      </c>
      <c r="X301" s="354">
        <f t="shared" si="267"/>
        <v>0.96734036666235479</v>
      </c>
      <c r="Y301" s="374">
        <f t="shared" si="268"/>
        <v>2.0098352159428687</v>
      </c>
      <c r="Z301" s="354">
        <f t="shared" si="269"/>
        <v>1.0367936477535538</v>
      </c>
      <c r="AA301" s="354">
        <f t="shared" si="270"/>
        <v>0.97304156818931475</v>
      </c>
      <c r="AB301" s="374">
        <f t="shared" si="271"/>
        <v>10.980525320417655</v>
      </c>
      <c r="AC301" s="354">
        <f t="shared" si="272"/>
        <v>3.1161915965705829</v>
      </c>
      <c r="AD301" s="354">
        <f t="shared" si="273"/>
        <v>6.7832568981174646</v>
      </c>
      <c r="AE301" s="354">
        <f t="shared" si="274"/>
        <v>1.0810768257296077</v>
      </c>
      <c r="AF301" s="374">
        <f t="shared" si="275"/>
        <v>8.7882548552468052</v>
      </c>
      <c r="AG301" s="354">
        <f t="shared" si="276"/>
        <v>0.56479215779061531</v>
      </c>
      <c r="AH301" s="354">
        <f t="shared" si="277"/>
        <v>2.8416963939080184</v>
      </c>
      <c r="AI301" s="354">
        <f t="shared" si="278"/>
        <v>0</v>
      </c>
      <c r="AJ301" s="354">
        <f t="shared" si="279"/>
        <v>5.3817663035481722</v>
      </c>
      <c r="AK301" s="374">
        <f t="shared" si="280"/>
        <v>5.8045811724393461</v>
      </c>
      <c r="AL301" s="354">
        <f t="shared" si="281"/>
        <v>1.6630510367352149</v>
      </c>
      <c r="AM301" s="354">
        <f t="shared" si="282"/>
        <v>3.9224095641626056</v>
      </c>
      <c r="AN301" s="354">
        <f t="shared" si="283"/>
        <v>0.2191205715415257</v>
      </c>
      <c r="AO301" s="374">
        <f t="shared" si="284"/>
        <v>3.3657584205218969</v>
      </c>
      <c r="AP301" s="354">
        <f t="shared" si="285"/>
        <v>0.77180380811605287</v>
      </c>
      <c r="AQ301" s="354">
        <f t="shared" si="286"/>
        <v>2.5939546124058439</v>
      </c>
      <c r="AR301" s="374">
        <f t="shared" si="287"/>
        <v>6.1401233350438957</v>
      </c>
      <c r="AS301" s="354">
        <f t="shared" si="288"/>
        <v>2.6607238867822725</v>
      </c>
      <c r="AT301" s="354">
        <f t="shared" si="289"/>
        <v>3.4793994482616237</v>
      </c>
      <c r="AU301" s="355" t="s">
        <v>396</v>
      </c>
      <c r="AV301" s="354" t="s">
        <v>346</v>
      </c>
      <c r="AW301" s="353">
        <v>0</v>
      </c>
      <c r="AX301" s="353">
        <v>0</v>
      </c>
      <c r="AY301" s="353">
        <v>0</v>
      </c>
      <c r="AZ301" s="353">
        <v>0</v>
      </c>
      <c r="BA301" s="353">
        <v>0</v>
      </c>
      <c r="BB301" s="353">
        <v>0</v>
      </c>
    </row>
    <row r="302" spans="1:54" x14ac:dyDescent="0.25">
      <c r="A302" s="348" t="s">
        <v>759</v>
      </c>
      <c r="B302" s="349">
        <v>8</v>
      </c>
      <c r="C302" s="380">
        <v>45078</v>
      </c>
      <c r="D302" s="351">
        <v>45107</v>
      </c>
      <c r="E302" s="352"/>
      <c r="F302" s="352">
        <v>6</v>
      </c>
      <c r="G302" s="429" t="s">
        <v>308</v>
      </c>
      <c r="H302" s="353" t="s">
        <v>777</v>
      </c>
      <c r="I302" s="350" t="s">
        <v>393</v>
      </c>
      <c r="J302" s="375">
        <v>281314</v>
      </c>
      <c r="K302" s="350" t="s">
        <v>394</v>
      </c>
      <c r="L302" s="354">
        <v>2803.6597999999999</v>
      </c>
      <c r="M302" s="375">
        <f>+J302/L302</f>
        <v>100.33813660273618</v>
      </c>
      <c r="N302" s="354" t="s">
        <v>395</v>
      </c>
      <c r="O302" s="354">
        <v>0</v>
      </c>
      <c r="P302" s="374">
        <f t="shared" si="185"/>
        <v>6.3221188413581046</v>
      </c>
      <c r="Q302" s="354">
        <f t="shared" si="260"/>
        <v>0.59627225204433787</v>
      </c>
      <c r="R302" s="354">
        <f t="shared" si="261"/>
        <v>1.0051415925248388</v>
      </c>
      <c r="S302" s="354">
        <f t="shared" si="262"/>
        <v>0.89536667164629846</v>
      </c>
      <c r="T302" s="354">
        <f t="shared" si="263"/>
        <v>3.8208716716515396</v>
      </c>
      <c r="U302" s="374">
        <f t="shared" si="264"/>
        <v>25.373406061355297</v>
      </c>
      <c r="V302" s="354">
        <f t="shared" si="265"/>
        <v>0.67165222959313942</v>
      </c>
      <c r="W302" s="354">
        <f t="shared" si="266"/>
        <v>22.911448648161805</v>
      </c>
      <c r="X302" s="354">
        <f t="shared" si="267"/>
        <v>1.790305183600353</v>
      </c>
      <c r="Y302" s="374">
        <f t="shared" si="268"/>
        <v>3.7197025259062646</v>
      </c>
      <c r="Z302" s="354">
        <f t="shared" si="269"/>
        <v>1.9188458435798899</v>
      </c>
      <c r="AA302" s="354">
        <f t="shared" si="270"/>
        <v>1.8008566823263745</v>
      </c>
      <c r="AB302" s="374">
        <f t="shared" si="271"/>
        <v>20.322207236762978</v>
      </c>
      <c r="AC302" s="354">
        <f t="shared" si="272"/>
        <v>5.7672915973530063</v>
      </c>
      <c r="AD302" s="354">
        <f t="shared" si="273"/>
        <v>12.554112704190899</v>
      </c>
      <c r="AE302" s="354">
        <f t="shared" si="274"/>
        <v>2.0008029352190717</v>
      </c>
      <c r="AF302" s="374">
        <f t="shared" si="275"/>
        <v>16.264862673348023</v>
      </c>
      <c r="AG302" s="354">
        <f t="shared" si="276"/>
        <v>1.0452890860309814</v>
      </c>
      <c r="AH302" s="354">
        <f t="shared" si="277"/>
        <v>5.259269601025264</v>
      </c>
      <c r="AI302" s="354">
        <f t="shared" si="278"/>
        <v>0</v>
      </c>
      <c r="AJ302" s="354">
        <f t="shared" si="279"/>
        <v>9.9603039862917786</v>
      </c>
      <c r="AK302" s="374">
        <f t="shared" si="280"/>
        <v>10.74282860489212</v>
      </c>
      <c r="AL302" s="354">
        <f t="shared" si="281"/>
        <v>3.0778917062376991</v>
      </c>
      <c r="AM302" s="354">
        <f t="shared" si="282"/>
        <v>7.2593995008739425</v>
      </c>
      <c r="AN302" s="354">
        <f t="shared" si="283"/>
        <v>0.4055373977804787</v>
      </c>
      <c r="AO302" s="374">
        <f t="shared" si="284"/>
        <v>6.2291773967809005</v>
      </c>
      <c r="AP302" s="354">
        <f t="shared" si="285"/>
        <v>1.4284158978707848</v>
      </c>
      <c r="AQ302" s="354">
        <f t="shared" si="286"/>
        <v>4.8007614989101155</v>
      </c>
      <c r="AR302" s="374">
        <f t="shared" si="287"/>
        <v>11.36383326233249</v>
      </c>
      <c r="AS302" s="354">
        <f t="shared" si="288"/>
        <v>4.92433473346229</v>
      </c>
      <c r="AT302" s="354">
        <f t="shared" si="289"/>
        <v>6.4394985288701996</v>
      </c>
      <c r="AU302" s="355" t="s">
        <v>396</v>
      </c>
      <c r="AV302" s="354" t="s">
        <v>346</v>
      </c>
      <c r="AW302" s="353">
        <v>0</v>
      </c>
      <c r="AX302" s="353">
        <v>0</v>
      </c>
      <c r="AY302" s="353">
        <v>0</v>
      </c>
      <c r="AZ302" s="353">
        <v>0</v>
      </c>
      <c r="BA302" s="353">
        <v>0</v>
      </c>
      <c r="BB302" s="353">
        <v>0</v>
      </c>
    </row>
    <row r="303" spans="1:54" x14ac:dyDescent="0.25">
      <c r="A303" s="348" t="s">
        <v>761</v>
      </c>
      <c r="B303" s="349">
        <v>8</v>
      </c>
      <c r="C303" s="380">
        <v>45078</v>
      </c>
      <c r="D303" s="351">
        <v>45107</v>
      </c>
      <c r="E303" s="352"/>
      <c r="F303" s="352">
        <v>6</v>
      </c>
      <c r="G303" s="429" t="s">
        <v>308</v>
      </c>
      <c r="H303" s="353" t="s">
        <v>778</v>
      </c>
      <c r="I303" s="350" t="s">
        <v>393</v>
      </c>
      <c r="J303" s="375">
        <v>281314</v>
      </c>
      <c r="K303" s="350" t="s">
        <v>394</v>
      </c>
      <c r="L303" s="354">
        <v>2803.6597999999999</v>
      </c>
      <c r="M303" s="375">
        <f>+J303/L303</f>
        <v>100.33813660273618</v>
      </c>
      <c r="N303" s="354" t="s">
        <v>395</v>
      </c>
      <c r="O303" s="354">
        <v>0</v>
      </c>
      <c r="P303" s="374">
        <f t="shared" si="185"/>
        <v>6.3221188413581046</v>
      </c>
      <c r="Q303" s="354">
        <f t="shared" si="260"/>
        <v>0.59627225204433787</v>
      </c>
      <c r="R303" s="354">
        <f t="shared" si="261"/>
        <v>1.0051415925248388</v>
      </c>
      <c r="S303" s="354">
        <f t="shared" si="262"/>
        <v>0.89536667164629846</v>
      </c>
      <c r="T303" s="354">
        <f t="shared" si="263"/>
        <v>3.8208716716515396</v>
      </c>
      <c r="U303" s="374">
        <f t="shared" si="264"/>
        <v>25.373406061355297</v>
      </c>
      <c r="V303" s="354">
        <f t="shared" si="265"/>
        <v>0.67165222959313942</v>
      </c>
      <c r="W303" s="354">
        <f t="shared" si="266"/>
        <v>22.911448648161805</v>
      </c>
      <c r="X303" s="354">
        <f t="shared" si="267"/>
        <v>1.790305183600353</v>
      </c>
      <c r="Y303" s="374">
        <f t="shared" si="268"/>
        <v>3.7197025259062646</v>
      </c>
      <c r="Z303" s="354">
        <f t="shared" si="269"/>
        <v>1.9188458435798899</v>
      </c>
      <c r="AA303" s="354">
        <f t="shared" si="270"/>
        <v>1.8008566823263745</v>
      </c>
      <c r="AB303" s="374">
        <f t="shared" si="271"/>
        <v>20.322207236762978</v>
      </c>
      <c r="AC303" s="354">
        <f t="shared" si="272"/>
        <v>5.7672915973530063</v>
      </c>
      <c r="AD303" s="354">
        <f t="shared" si="273"/>
        <v>12.554112704190899</v>
      </c>
      <c r="AE303" s="354">
        <f t="shared" si="274"/>
        <v>2.0008029352190717</v>
      </c>
      <c r="AF303" s="374">
        <f t="shared" si="275"/>
        <v>16.264862673348023</v>
      </c>
      <c r="AG303" s="354">
        <f t="shared" si="276"/>
        <v>1.0452890860309814</v>
      </c>
      <c r="AH303" s="354">
        <f t="shared" si="277"/>
        <v>5.259269601025264</v>
      </c>
      <c r="AI303" s="354">
        <f t="shared" si="278"/>
        <v>0</v>
      </c>
      <c r="AJ303" s="354">
        <f t="shared" si="279"/>
        <v>9.9603039862917786</v>
      </c>
      <c r="AK303" s="374">
        <f t="shared" si="280"/>
        <v>10.74282860489212</v>
      </c>
      <c r="AL303" s="354">
        <f t="shared" si="281"/>
        <v>3.0778917062376991</v>
      </c>
      <c r="AM303" s="354">
        <f t="shared" si="282"/>
        <v>7.2593995008739425</v>
      </c>
      <c r="AN303" s="354">
        <f t="shared" si="283"/>
        <v>0.4055373977804787</v>
      </c>
      <c r="AO303" s="374">
        <f t="shared" si="284"/>
        <v>6.2291773967809005</v>
      </c>
      <c r="AP303" s="354">
        <f t="shared" si="285"/>
        <v>1.4284158978707848</v>
      </c>
      <c r="AQ303" s="354">
        <f t="shared" si="286"/>
        <v>4.8007614989101155</v>
      </c>
      <c r="AR303" s="374">
        <f t="shared" si="287"/>
        <v>11.36383326233249</v>
      </c>
      <c r="AS303" s="354">
        <f t="shared" si="288"/>
        <v>4.92433473346229</v>
      </c>
      <c r="AT303" s="354">
        <f t="shared" si="289"/>
        <v>6.4394985288701996</v>
      </c>
      <c r="AU303" s="355" t="s">
        <v>396</v>
      </c>
      <c r="AV303" s="354" t="s">
        <v>346</v>
      </c>
      <c r="AW303" s="353">
        <v>0</v>
      </c>
      <c r="AX303" s="353">
        <v>0</v>
      </c>
      <c r="AY303" s="353">
        <v>0</v>
      </c>
      <c r="AZ303" s="353">
        <v>0</v>
      </c>
      <c r="BA303" s="353">
        <v>0</v>
      </c>
      <c r="BB303" s="353">
        <v>0</v>
      </c>
    </row>
    <row r="304" spans="1:54" x14ac:dyDescent="0.25">
      <c r="A304" s="348" t="s">
        <v>763</v>
      </c>
      <c r="B304" s="349">
        <v>8</v>
      </c>
      <c r="C304" s="380">
        <v>45078</v>
      </c>
      <c r="D304" s="351">
        <v>45107</v>
      </c>
      <c r="E304" s="352"/>
      <c r="F304" s="352">
        <v>6</v>
      </c>
      <c r="G304" s="429" t="s">
        <v>308</v>
      </c>
      <c r="H304" s="353" t="s">
        <v>779</v>
      </c>
      <c r="I304" s="350" t="s">
        <v>393</v>
      </c>
      <c r="J304" s="375">
        <v>281314</v>
      </c>
      <c r="K304" s="350" t="s">
        <v>394</v>
      </c>
      <c r="L304" s="354">
        <v>2803.6597999999999</v>
      </c>
      <c r="M304" s="375">
        <f>+J304/L304</f>
        <v>100.33813660273618</v>
      </c>
      <c r="N304" s="354" t="s">
        <v>395</v>
      </c>
      <c r="O304" s="354">
        <v>0</v>
      </c>
      <c r="P304" s="374">
        <f t="shared" si="185"/>
        <v>6.3221188413581046</v>
      </c>
      <c r="Q304" s="354">
        <f t="shared" si="260"/>
        <v>0.59627225204433787</v>
      </c>
      <c r="R304" s="354">
        <f t="shared" si="261"/>
        <v>1.0051415925248388</v>
      </c>
      <c r="S304" s="354">
        <f t="shared" si="262"/>
        <v>0.89536667164629846</v>
      </c>
      <c r="T304" s="354">
        <f t="shared" si="263"/>
        <v>3.8208716716515396</v>
      </c>
      <c r="U304" s="374">
        <f t="shared" si="264"/>
        <v>25.373406061355297</v>
      </c>
      <c r="V304" s="354">
        <f t="shared" si="265"/>
        <v>0.67165222959313942</v>
      </c>
      <c r="W304" s="354">
        <f t="shared" si="266"/>
        <v>22.911448648161805</v>
      </c>
      <c r="X304" s="354">
        <f t="shared" si="267"/>
        <v>1.790305183600353</v>
      </c>
      <c r="Y304" s="374">
        <f t="shared" si="268"/>
        <v>3.7197025259062646</v>
      </c>
      <c r="Z304" s="354">
        <f t="shared" si="269"/>
        <v>1.9188458435798899</v>
      </c>
      <c r="AA304" s="354">
        <f t="shared" si="270"/>
        <v>1.8008566823263745</v>
      </c>
      <c r="AB304" s="374">
        <f t="shared" si="271"/>
        <v>20.322207236762978</v>
      </c>
      <c r="AC304" s="354">
        <f t="shared" si="272"/>
        <v>5.7672915973530063</v>
      </c>
      <c r="AD304" s="354">
        <f t="shared" si="273"/>
        <v>12.554112704190899</v>
      </c>
      <c r="AE304" s="354">
        <f t="shared" si="274"/>
        <v>2.0008029352190717</v>
      </c>
      <c r="AF304" s="374">
        <f t="shared" si="275"/>
        <v>16.264862673348023</v>
      </c>
      <c r="AG304" s="354">
        <f t="shared" si="276"/>
        <v>1.0452890860309814</v>
      </c>
      <c r="AH304" s="354">
        <f t="shared" si="277"/>
        <v>5.259269601025264</v>
      </c>
      <c r="AI304" s="354">
        <f t="shared" si="278"/>
        <v>0</v>
      </c>
      <c r="AJ304" s="354">
        <f t="shared" si="279"/>
        <v>9.9603039862917786</v>
      </c>
      <c r="AK304" s="374">
        <f t="shared" si="280"/>
        <v>10.74282860489212</v>
      </c>
      <c r="AL304" s="354">
        <f t="shared" si="281"/>
        <v>3.0778917062376991</v>
      </c>
      <c r="AM304" s="354">
        <f t="shared" si="282"/>
        <v>7.2593995008739425</v>
      </c>
      <c r="AN304" s="354">
        <f t="shared" si="283"/>
        <v>0.4055373977804787</v>
      </c>
      <c r="AO304" s="374">
        <f t="shared" si="284"/>
        <v>6.2291773967809005</v>
      </c>
      <c r="AP304" s="354">
        <f t="shared" si="285"/>
        <v>1.4284158978707848</v>
      </c>
      <c r="AQ304" s="354">
        <f t="shared" si="286"/>
        <v>4.8007614989101155</v>
      </c>
      <c r="AR304" s="374">
        <f t="shared" si="287"/>
        <v>11.36383326233249</v>
      </c>
      <c r="AS304" s="354">
        <f t="shared" si="288"/>
        <v>4.92433473346229</v>
      </c>
      <c r="AT304" s="354">
        <f t="shared" si="289"/>
        <v>6.4394985288701996</v>
      </c>
      <c r="AU304" s="355" t="s">
        <v>396</v>
      </c>
      <c r="AV304" s="354" t="s">
        <v>346</v>
      </c>
      <c r="AW304" s="353">
        <v>0</v>
      </c>
      <c r="AX304" s="353">
        <v>0</v>
      </c>
      <c r="AY304" s="353">
        <v>0</v>
      </c>
      <c r="AZ304" s="353">
        <v>0</v>
      </c>
      <c r="BA304" s="353">
        <v>0</v>
      </c>
      <c r="BB304" s="353">
        <v>0</v>
      </c>
    </row>
    <row r="305" spans="1:54" x14ac:dyDescent="0.25">
      <c r="A305" s="348" t="s">
        <v>765</v>
      </c>
      <c r="B305" s="349">
        <v>8</v>
      </c>
      <c r="C305" s="380">
        <v>45078</v>
      </c>
      <c r="D305" s="351">
        <v>45107</v>
      </c>
      <c r="E305" s="352"/>
      <c r="F305" s="352">
        <v>6</v>
      </c>
      <c r="G305" s="429" t="s">
        <v>308</v>
      </c>
      <c r="H305" s="353" t="s">
        <v>780</v>
      </c>
      <c r="I305" s="350" t="s">
        <v>393</v>
      </c>
      <c r="J305" s="375">
        <v>281314</v>
      </c>
      <c r="K305" s="350" t="s">
        <v>394</v>
      </c>
      <c r="L305" s="354">
        <v>2803.6597999999999</v>
      </c>
      <c r="M305" s="375">
        <f>+J305/L305</f>
        <v>100.33813660273618</v>
      </c>
      <c r="N305" s="354" t="s">
        <v>395</v>
      </c>
      <c r="O305" s="354">
        <v>0</v>
      </c>
      <c r="P305" s="374">
        <f t="shared" si="185"/>
        <v>6.3221188413581046</v>
      </c>
      <c r="Q305" s="354">
        <f t="shared" si="260"/>
        <v>0.59627225204433787</v>
      </c>
      <c r="R305" s="354">
        <f t="shared" si="261"/>
        <v>1.0051415925248388</v>
      </c>
      <c r="S305" s="354">
        <f t="shared" si="262"/>
        <v>0.89536667164629846</v>
      </c>
      <c r="T305" s="354">
        <f t="shared" si="263"/>
        <v>3.8208716716515396</v>
      </c>
      <c r="U305" s="374">
        <f t="shared" si="264"/>
        <v>25.373406061355297</v>
      </c>
      <c r="V305" s="354">
        <f t="shared" si="265"/>
        <v>0.67165222959313942</v>
      </c>
      <c r="W305" s="354">
        <f t="shared" si="266"/>
        <v>22.911448648161805</v>
      </c>
      <c r="X305" s="354">
        <f t="shared" si="267"/>
        <v>1.790305183600353</v>
      </c>
      <c r="Y305" s="374">
        <f t="shared" si="268"/>
        <v>3.7197025259062646</v>
      </c>
      <c r="Z305" s="354">
        <f t="shared" si="269"/>
        <v>1.9188458435798899</v>
      </c>
      <c r="AA305" s="354">
        <f t="shared" si="270"/>
        <v>1.8008566823263745</v>
      </c>
      <c r="AB305" s="374">
        <f t="shared" si="271"/>
        <v>20.322207236762978</v>
      </c>
      <c r="AC305" s="354">
        <f t="shared" si="272"/>
        <v>5.7672915973530063</v>
      </c>
      <c r="AD305" s="354">
        <f t="shared" si="273"/>
        <v>12.554112704190899</v>
      </c>
      <c r="AE305" s="354">
        <f t="shared" si="274"/>
        <v>2.0008029352190717</v>
      </c>
      <c r="AF305" s="374">
        <f t="shared" si="275"/>
        <v>16.264862673348023</v>
      </c>
      <c r="AG305" s="354">
        <f t="shared" si="276"/>
        <v>1.0452890860309814</v>
      </c>
      <c r="AH305" s="354">
        <f t="shared" si="277"/>
        <v>5.259269601025264</v>
      </c>
      <c r="AI305" s="354">
        <f t="shared" si="278"/>
        <v>0</v>
      </c>
      <c r="AJ305" s="354">
        <f t="shared" si="279"/>
        <v>9.9603039862917786</v>
      </c>
      <c r="AK305" s="374">
        <f t="shared" si="280"/>
        <v>10.74282860489212</v>
      </c>
      <c r="AL305" s="354">
        <f t="shared" si="281"/>
        <v>3.0778917062376991</v>
      </c>
      <c r="AM305" s="354">
        <f t="shared" si="282"/>
        <v>7.2593995008739425</v>
      </c>
      <c r="AN305" s="354">
        <f t="shared" si="283"/>
        <v>0.4055373977804787</v>
      </c>
      <c r="AO305" s="374">
        <f t="shared" si="284"/>
        <v>6.2291773967809005</v>
      </c>
      <c r="AP305" s="354">
        <f t="shared" si="285"/>
        <v>1.4284158978707848</v>
      </c>
      <c r="AQ305" s="354">
        <f t="shared" si="286"/>
        <v>4.8007614989101155</v>
      </c>
      <c r="AR305" s="374">
        <f t="shared" si="287"/>
        <v>11.36383326233249</v>
      </c>
      <c r="AS305" s="354">
        <f t="shared" si="288"/>
        <v>4.92433473346229</v>
      </c>
      <c r="AT305" s="354">
        <f t="shared" si="289"/>
        <v>6.4394985288701996</v>
      </c>
      <c r="AU305" s="355" t="s">
        <v>396</v>
      </c>
      <c r="AV305" s="354" t="s">
        <v>346</v>
      </c>
      <c r="AW305" s="353">
        <v>0</v>
      </c>
      <c r="AX305" s="353">
        <v>0</v>
      </c>
      <c r="AY305" s="353">
        <v>0</v>
      </c>
      <c r="AZ305" s="353">
        <v>0</v>
      </c>
      <c r="BA305" s="353">
        <v>0</v>
      </c>
      <c r="BB305" s="353">
        <v>0</v>
      </c>
    </row>
    <row r="306" spans="1:54" x14ac:dyDescent="0.25">
      <c r="A306" s="348" t="s">
        <v>767</v>
      </c>
      <c r="B306" s="349">
        <v>8</v>
      </c>
      <c r="C306" s="380">
        <v>45078</v>
      </c>
      <c r="D306" s="351">
        <v>45107</v>
      </c>
      <c r="E306" s="352"/>
      <c r="F306" s="352">
        <v>6</v>
      </c>
      <c r="G306" s="429" t="s">
        <v>308</v>
      </c>
      <c r="H306" s="353" t="s">
        <v>781</v>
      </c>
      <c r="I306" s="350" t="s">
        <v>393</v>
      </c>
      <c r="J306" s="375">
        <v>281314</v>
      </c>
      <c r="K306" s="350" t="s">
        <v>394</v>
      </c>
      <c r="L306" s="354">
        <v>2803.6597999999999</v>
      </c>
      <c r="M306" s="375">
        <f t="shared" ref="M306:M307" si="292">+J306/L306</f>
        <v>100.33813660273618</v>
      </c>
      <c r="N306" s="354" t="s">
        <v>395</v>
      </c>
      <c r="O306" s="354">
        <v>0</v>
      </c>
      <c r="P306" s="374">
        <f t="shared" si="185"/>
        <v>6.3221188413581046</v>
      </c>
      <c r="Q306" s="354">
        <f t="shared" si="260"/>
        <v>0.59627225204433787</v>
      </c>
      <c r="R306" s="354">
        <f t="shared" si="261"/>
        <v>1.0051415925248388</v>
      </c>
      <c r="S306" s="354">
        <f t="shared" si="262"/>
        <v>0.89536667164629846</v>
      </c>
      <c r="T306" s="354">
        <f t="shared" si="263"/>
        <v>3.8208716716515396</v>
      </c>
      <c r="U306" s="374">
        <f t="shared" si="264"/>
        <v>25.373406061355297</v>
      </c>
      <c r="V306" s="354">
        <f t="shared" si="265"/>
        <v>0.67165222959313942</v>
      </c>
      <c r="W306" s="354">
        <f t="shared" si="266"/>
        <v>22.911448648161805</v>
      </c>
      <c r="X306" s="354">
        <f t="shared" si="267"/>
        <v>1.790305183600353</v>
      </c>
      <c r="Y306" s="374">
        <f t="shared" si="268"/>
        <v>3.7197025259062646</v>
      </c>
      <c r="Z306" s="354">
        <f t="shared" si="269"/>
        <v>1.9188458435798899</v>
      </c>
      <c r="AA306" s="354">
        <f t="shared" si="270"/>
        <v>1.8008566823263745</v>
      </c>
      <c r="AB306" s="374">
        <f t="shared" si="271"/>
        <v>20.322207236762978</v>
      </c>
      <c r="AC306" s="354">
        <f t="shared" si="272"/>
        <v>5.7672915973530063</v>
      </c>
      <c r="AD306" s="354">
        <f t="shared" si="273"/>
        <v>12.554112704190899</v>
      </c>
      <c r="AE306" s="354">
        <f t="shared" si="274"/>
        <v>2.0008029352190717</v>
      </c>
      <c r="AF306" s="374">
        <f t="shared" si="275"/>
        <v>16.264862673348023</v>
      </c>
      <c r="AG306" s="354">
        <f t="shared" si="276"/>
        <v>1.0452890860309814</v>
      </c>
      <c r="AH306" s="354">
        <f t="shared" si="277"/>
        <v>5.259269601025264</v>
      </c>
      <c r="AI306" s="354">
        <f t="shared" si="278"/>
        <v>0</v>
      </c>
      <c r="AJ306" s="354">
        <f t="shared" si="279"/>
        <v>9.9603039862917786</v>
      </c>
      <c r="AK306" s="374">
        <f t="shared" si="280"/>
        <v>10.74282860489212</v>
      </c>
      <c r="AL306" s="354">
        <f t="shared" si="281"/>
        <v>3.0778917062376991</v>
      </c>
      <c r="AM306" s="354">
        <f t="shared" si="282"/>
        <v>7.2593995008739425</v>
      </c>
      <c r="AN306" s="354">
        <f t="shared" si="283"/>
        <v>0.4055373977804787</v>
      </c>
      <c r="AO306" s="374">
        <f t="shared" si="284"/>
        <v>6.2291773967809005</v>
      </c>
      <c r="AP306" s="354">
        <f t="shared" si="285"/>
        <v>1.4284158978707848</v>
      </c>
      <c r="AQ306" s="354">
        <f t="shared" si="286"/>
        <v>4.8007614989101155</v>
      </c>
      <c r="AR306" s="374">
        <f t="shared" si="287"/>
        <v>11.36383326233249</v>
      </c>
      <c r="AS306" s="354">
        <f t="shared" si="288"/>
        <v>4.92433473346229</v>
      </c>
      <c r="AT306" s="354">
        <f t="shared" si="289"/>
        <v>6.4394985288701996</v>
      </c>
      <c r="AU306" s="355" t="s">
        <v>396</v>
      </c>
      <c r="AV306" s="354" t="s">
        <v>346</v>
      </c>
      <c r="AW306" s="353">
        <v>0</v>
      </c>
      <c r="AX306" s="353">
        <v>0</v>
      </c>
      <c r="AY306" s="353">
        <v>0</v>
      </c>
      <c r="AZ306" s="353">
        <v>0</v>
      </c>
      <c r="BA306" s="353">
        <v>0</v>
      </c>
      <c r="BB306" s="353">
        <v>0</v>
      </c>
    </row>
    <row r="307" spans="1:54" x14ac:dyDescent="0.25">
      <c r="A307" s="348" t="s">
        <v>769</v>
      </c>
      <c r="B307" s="349">
        <v>8</v>
      </c>
      <c r="C307" s="380">
        <v>45078</v>
      </c>
      <c r="D307" s="351">
        <v>45107</v>
      </c>
      <c r="E307" s="352"/>
      <c r="F307" s="352">
        <v>6</v>
      </c>
      <c r="G307" s="429" t="s">
        <v>308</v>
      </c>
      <c r="H307" s="353" t="s">
        <v>782</v>
      </c>
      <c r="I307" s="350" t="s">
        <v>393</v>
      </c>
      <c r="J307" s="375">
        <v>281314</v>
      </c>
      <c r="K307" s="350" t="s">
        <v>394</v>
      </c>
      <c r="L307" s="354">
        <v>2803.6597999999999</v>
      </c>
      <c r="M307" s="375">
        <f t="shared" si="292"/>
        <v>100.33813660273618</v>
      </c>
      <c r="N307" s="354" t="s">
        <v>395</v>
      </c>
      <c r="O307" s="354">
        <v>0</v>
      </c>
      <c r="P307" s="374">
        <f t="shared" si="185"/>
        <v>6.3221188413581046</v>
      </c>
      <c r="Q307" s="354">
        <f t="shared" si="260"/>
        <v>0.59627225204433787</v>
      </c>
      <c r="R307" s="354">
        <f t="shared" si="261"/>
        <v>1.0051415925248388</v>
      </c>
      <c r="S307" s="354">
        <f t="shared" si="262"/>
        <v>0.89536667164629846</v>
      </c>
      <c r="T307" s="354">
        <f t="shared" si="263"/>
        <v>3.8208716716515396</v>
      </c>
      <c r="U307" s="374">
        <f t="shared" si="264"/>
        <v>25.373406061355297</v>
      </c>
      <c r="V307" s="354">
        <f t="shared" si="265"/>
        <v>0.67165222959313942</v>
      </c>
      <c r="W307" s="354">
        <f t="shared" si="266"/>
        <v>22.911448648161805</v>
      </c>
      <c r="X307" s="354">
        <f t="shared" si="267"/>
        <v>1.790305183600353</v>
      </c>
      <c r="Y307" s="374">
        <f t="shared" si="268"/>
        <v>3.7197025259062646</v>
      </c>
      <c r="Z307" s="354">
        <f t="shared" si="269"/>
        <v>1.9188458435798899</v>
      </c>
      <c r="AA307" s="354">
        <f t="shared" si="270"/>
        <v>1.8008566823263745</v>
      </c>
      <c r="AB307" s="374">
        <f t="shared" si="271"/>
        <v>20.322207236762978</v>
      </c>
      <c r="AC307" s="354">
        <f t="shared" si="272"/>
        <v>5.7672915973530063</v>
      </c>
      <c r="AD307" s="354">
        <f t="shared" si="273"/>
        <v>12.554112704190899</v>
      </c>
      <c r="AE307" s="354">
        <f t="shared" si="274"/>
        <v>2.0008029352190717</v>
      </c>
      <c r="AF307" s="374">
        <f t="shared" si="275"/>
        <v>16.264862673348023</v>
      </c>
      <c r="AG307" s="354">
        <f t="shared" si="276"/>
        <v>1.0452890860309814</v>
      </c>
      <c r="AH307" s="354">
        <f t="shared" si="277"/>
        <v>5.259269601025264</v>
      </c>
      <c r="AI307" s="354">
        <f t="shared" si="278"/>
        <v>0</v>
      </c>
      <c r="AJ307" s="354">
        <f t="shared" si="279"/>
        <v>9.9603039862917786</v>
      </c>
      <c r="AK307" s="374">
        <f t="shared" si="280"/>
        <v>10.74282860489212</v>
      </c>
      <c r="AL307" s="354">
        <f t="shared" si="281"/>
        <v>3.0778917062376991</v>
      </c>
      <c r="AM307" s="354">
        <f t="shared" si="282"/>
        <v>7.2593995008739425</v>
      </c>
      <c r="AN307" s="354">
        <f t="shared" si="283"/>
        <v>0.4055373977804787</v>
      </c>
      <c r="AO307" s="374">
        <f t="shared" si="284"/>
        <v>6.2291773967809005</v>
      </c>
      <c r="AP307" s="354">
        <f t="shared" si="285"/>
        <v>1.4284158978707848</v>
      </c>
      <c r="AQ307" s="354">
        <f t="shared" si="286"/>
        <v>4.8007614989101155</v>
      </c>
      <c r="AR307" s="374">
        <f t="shared" si="287"/>
        <v>11.36383326233249</v>
      </c>
      <c r="AS307" s="354">
        <f t="shared" si="288"/>
        <v>4.92433473346229</v>
      </c>
      <c r="AT307" s="354">
        <f t="shared" si="289"/>
        <v>6.4394985288701996</v>
      </c>
      <c r="AU307" s="355" t="s">
        <v>396</v>
      </c>
      <c r="AV307" s="354" t="s">
        <v>346</v>
      </c>
      <c r="AW307" s="353">
        <v>0</v>
      </c>
      <c r="AX307" s="353">
        <v>0</v>
      </c>
      <c r="AY307" s="353">
        <v>0</v>
      </c>
      <c r="AZ307" s="353">
        <v>0</v>
      </c>
      <c r="BA307" s="353">
        <v>0</v>
      </c>
      <c r="BB307" s="353">
        <v>0</v>
      </c>
    </row>
    <row r="308" spans="1:54" x14ac:dyDescent="0.25">
      <c r="A308" s="348" t="s">
        <v>759</v>
      </c>
      <c r="B308" s="349">
        <v>8</v>
      </c>
      <c r="C308" s="380">
        <v>45078</v>
      </c>
      <c r="D308" s="351">
        <v>45107</v>
      </c>
      <c r="E308" s="352"/>
      <c r="F308" s="352">
        <v>6</v>
      </c>
      <c r="G308" s="429" t="s">
        <v>309</v>
      </c>
      <c r="H308" s="353" t="s">
        <v>783</v>
      </c>
      <c r="I308" s="350" t="s">
        <v>393</v>
      </c>
      <c r="J308" s="375">
        <v>590902</v>
      </c>
      <c r="K308" s="350" t="s">
        <v>394</v>
      </c>
      <c r="L308" s="354">
        <v>2803.6597999999999</v>
      </c>
      <c r="M308" s="375">
        <f>J308/L308</f>
        <v>210.76094895678855</v>
      </c>
      <c r="N308" s="354" t="s">
        <v>395</v>
      </c>
      <c r="O308" s="354">
        <v>0</v>
      </c>
      <c r="P308" s="374">
        <f t="shared" si="185"/>
        <v>13.279654292343027</v>
      </c>
      <c r="Q308" s="354">
        <f t="shared" si="260"/>
        <v>1.2524739837956991</v>
      </c>
      <c r="R308" s="354">
        <f t="shared" si="261"/>
        <v>2.1113068574834961</v>
      </c>
      <c r="S308" s="354">
        <f t="shared" si="262"/>
        <v>1.8807238779767128</v>
      </c>
      <c r="T308" s="354">
        <f t="shared" si="263"/>
        <v>8.0257673365784772</v>
      </c>
      <c r="U308" s="374">
        <f t="shared" si="264"/>
        <v>53.297014682763631</v>
      </c>
      <c r="V308" s="354">
        <f t="shared" si="265"/>
        <v>1.4108101472768697</v>
      </c>
      <c r="W308" s="354">
        <f t="shared" si="266"/>
        <v>48.125656131924138</v>
      </c>
      <c r="X308" s="354">
        <f t="shared" si="267"/>
        <v>3.7605484035626233</v>
      </c>
      <c r="Y308" s="374">
        <f t="shared" si="268"/>
        <v>7.8132608471781122</v>
      </c>
      <c r="Z308" s="354">
        <f t="shared" si="269"/>
        <v>4.0305489476636218</v>
      </c>
      <c r="AA308" s="354">
        <f t="shared" si="270"/>
        <v>3.7827118995144904</v>
      </c>
      <c r="AB308" s="374">
        <f t="shared" si="271"/>
        <v>42.686936663719962</v>
      </c>
      <c r="AC308" s="354">
        <f t="shared" si="272"/>
        <v>12.114235834189149</v>
      </c>
      <c r="AD308" s="354">
        <f t="shared" si="273"/>
        <v>26.370000444811886</v>
      </c>
      <c r="AE308" s="354">
        <f t="shared" si="274"/>
        <v>4.2027003847189262</v>
      </c>
      <c r="AF308" s="374">
        <f t="shared" si="275"/>
        <v>34.164456384704259</v>
      </c>
      <c r="AG308" s="354">
        <f t="shared" si="276"/>
        <v>2.1956369448867776</v>
      </c>
      <c r="AH308" s="354">
        <f t="shared" si="277"/>
        <v>11.047132122059445</v>
      </c>
      <c r="AI308" s="354">
        <f t="shared" si="278"/>
        <v>0</v>
      </c>
      <c r="AJ308" s="354">
        <f t="shared" si="279"/>
        <v>20.921687317758039</v>
      </c>
      <c r="AK308" s="374">
        <f t="shared" si="280"/>
        <v>22.565385683926017</v>
      </c>
      <c r="AL308" s="354">
        <f t="shared" si="281"/>
        <v>6.4651327875586313</v>
      </c>
      <c r="AM308" s="354">
        <f t="shared" si="282"/>
        <v>15.24841879133429</v>
      </c>
      <c r="AN308" s="354">
        <f t="shared" si="283"/>
        <v>0.8518341050330962</v>
      </c>
      <c r="AO308" s="374">
        <f t="shared" si="284"/>
        <v>13.084430146073881</v>
      </c>
      <c r="AP308" s="354">
        <f t="shared" si="285"/>
        <v>3.0003974593644203</v>
      </c>
      <c r="AQ308" s="354">
        <f t="shared" si="286"/>
        <v>10.084032686709461</v>
      </c>
      <c r="AR308" s="374">
        <f t="shared" si="287"/>
        <v>23.869810256079656</v>
      </c>
      <c r="AS308" s="354">
        <f t="shared" si="288"/>
        <v>10.343599119390909</v>
      </c>
      <c r="AT308" s="354">
        <f t="shared" si="289"/>
        <v>13.526211136688749</v>
      </c>
      <c r="AU308" s="355" t="s">
        <v>396</v>
      </c>
      <c r="AV308" s="354" t="s">
        <v>346</v>
      </c>
      <c r="AW308" s="353">
        <v>0</v>
      </c>
      <c r="AX308" s="353">
        <v>0</v>
      </c>
      <c r="AY308" s="353">
        <v>0</v>
      </c>
      <c r="AZ308" s="353">
        <v>0</v>
      </c>
      <c r="BA308" s="353">
        <v>0</v>
      </c>
      <c r="BB308" s="353">
        <v>0</v>
      </c>
    </row>
    <row r="309" spans="1:54" x14ac:dyDescent="0.25">
      <c r="A309" s="348" t="s">
        <v>761</v>
      </c>
      <c r="B309" s="349">
        <v>8</v>
      </c>
      <c r="C309" s="380">
        <v>45078</v>
      </c>
      <c r="D309" s="351">
        <v>45107</v>
      </c>
      <c r="E309" s="352"/>
      <c r="F309" s="352">
        <v>6</v>
      </c>
      <c r="G309" s="429" t="s">
        <v>309</v>
      </c>
      <c r="H309" s="353" t="s">
        <v>784</v>
      </c>
      <c r="I309" s="350" t="s">
        <v>393</v>
      </c>
      <c r="J309" s="375">
        <v>945443</v>
      </c>
      <c r="K309" s="350" t="s">
        <v>394</v>
      </c>
      <c r="L309" s="354">
        <v>2803.6597999999999</v>
      </c>
      <c r="M309" s="375">
        <f t="shared" ref="M309:M313" si="293">J309/L309</f>
        <v>337.21744699553062</v>
      </c>
      <c r="N309" s="354" t="s">
        <v>395</v>
      </c>
      <c r="O309" s="354">
        <v>0</v>
      </c>
      <c r="P309" s="374">
        <f t="shared" si="185"/>
        <v>21.247442373042684</v>
      </c>
      <c r="Q309" s="354">
        <f t="shared" si="260"/>
        <v>2.0039579501537603</v>
      </c>
      <c r="R309" s="354">
        <f t="shared" si="261"/>
        <v>3.3780902573688514</v>
      </c>
      <c r="S309" s="354">
        <f t="shared" si="262"/>
        <v>3.0091575682024048</v>
      </c>
      <c r="T309" s="354">
        <f t="shared" si="263"/>
        <v>12.841225022079406</v>
      </c>
      <c r="U309" s="374">
        <f t="shared" si="264"/>
        <v>85.275205453215747</v>
      </c>
      <c r="V309" s="354">
        <f t="shared" si="265"/>
        <v>2.2572957581322881</v>
      </c>
      <c r="W309" s="354">
        <f t="shared" si="266"/>
        <v>77.001033522199535</v>
      </c>
      <c r="X309" s="354">
        <f t="shared" si="267"/>
        <v>6.0168761728839248</v>
      </c>
      <c r="Y309" s="374">
        <f t="shared" si="268"/>
        <v>12.501214710964959</v>
      </c>
      <c r="Z309" s="354">
        <f t="shared" si="269"/>
        <v>6.448876952059627</v>
      </c>
      <c r="AA309" s="354">
        <f t="shared" si="270"/>
        <v>6.052337758905332</v>
      </c>
      <c r="AB309" s="374">
        <f t="shared" si="271"/>
        <v>68.2990842138923</v>
      </c>
      <c r="AC309" s="354">
        <f t="shared" si="272"/>
        <v>19.382773234450536</v>
      </c>
      <c r="AD309" s="354">
        <f t="shared" si="273"/>
        <v>42.191991786360987</v>
      </c>
      <c r="AE309" s="354">
        <f t="shared" si="274"/>
        <v>6.724319193080774</v>
      </c>
      <c r="AF309" s="374">
        <f t="shared" si="275"/>
        <v>54.663118652033582</v>
      </c>
      <c r="AG309" s="354">
        <f t="shared" si="276"/>
        <v>3.5130183686712675</v>
      </c>
      <c r="AH309" s="354">
        <f t="shared" si="277"/>
        <v>17.675407656220909</v>
      </c>
      <c r="AI309" s="354">
        <f t="shared" si="278"/>
        <v>0</v>
      </c>
      <c r="AJ309" s="354">
        <f t="shared" si="279"/>
        <v>33.474692627141408</v>
      </c>
      <c r="AK309" s="374">
        <f t="shared" si="280"/>
        <v>36.104609456674815</v>
      </c>
      <c r="AL309" s="354">
        <f t="shared" si="281"/>
        <v>10.344210271868761</v>
      </c>
      <c r="AM309" s="354">
        <f t="shared" si="282"/>
        <v>24.397464905069643</v>
      </c>
      <c r="AN309" s="354">
        <f t="shared" si="283"/>
        <v>1.3629342797364121</v>
      </c>
      <c r="AO309" s="374">
        <f t="shared" si="284"/>
        <v>20.935083805088709</v>
      </c>
      <c r="AP309" s="354">
        <f t="shared" si="285"/>
        <v>4.8006349194517464</v>
      </c>
      <c r="AQ309" s="354">
        <f t="shared" si="286"/>
        <v>16.134448885636964</v>
      </c>
      <c r="AR309" s="374">
        <f t="shared" si="287"/>
        <v>38.191688330617801</v>
      </c>
      <c r="AS309" s="354">
        <f t="shared" si="288"/>
        <v>16.549755090072974</v>
      </c>
      <c r="AT309" s="354">
        <f t="shared" si="289"/>
        <v>21.64193324054483</v>
      </c>
      <c r="AU309" s="355" t="s">
        <v>396</v>
      </c>
      <c r="AV309" s="354" t="s">
        <v>346</v>
      </c>
      <c r="AW309" s="353">
        <v>0</v>
      </c>
      <c r="AX309" s="353">
        <v>0</v>
      </c>
      <c r="AY309" s="353">
        <v>0</v>
      </c>
      <c r="AZ309" s="353">
        <v>0</v>
      </c>
      <c r="BA309" s="353">
        <v>0</v>
      </c>
      <c r="BB309" s="353">
        <v>0</v>
      </c>
    </row>
    <row r="310" spans="1:54" x14ac:dyDescent="0.25">
      <c r="A310" s="348" t="s">
        <v>763</v>
      </c>
      <c r="B310" s="349">
        <v>8</v>
      </c>
      <c r="C310" s="380">
        <v>45078</v>
      </c>
      <c r="D310" s="351">
        <v>45107</v>
      </c>
      <c r="E310" s="352"/>
      <c r="F310" s="352">
        <v>6</v>
      </c>
      <c r="G310" s="429" t="s">
        <v>309</v>
      </c>
      <c r="H310" s="353" t="s">
        <v>785</v>
      </c>
      <c r="I310" s="350" t="s">
        <v>393</v>
      </c>
      <c r="J310" s="375">
        <v>945443</v>
      </c>
      <c r="K310" s="350" t="s">
        <v>394</v>
      </c>
      <c r="L310" s="354">
        <v>2803.6597999999999</v>
      </c>
      <c r="M310" s="375">
        <f t="shared" si="293"/>
        <v>337.21744699553062</v>
      </c>
      <c r="N310" s="354" t="s">
        <v>395</v>
      </c>
      <c r="O310" s="354">
        <v>0</v>
      </c>
      <c r="P310" s="374">
        <f t="shared" si="185"/>
        <v>21.247442373042684</v>
      </c>
      <c r="Q310" s="354">
        <f t="shared" si="260"/>
        <v>2.0039579501537603</v>
      </c>
      <c r="R310" s="354">
        <f t="shared" si="261"/>
        <v>3.3780902573688514</v>
      </c>
      <c r="S310" s="354">
        <f t="shared" si="262"/>
        <v>3.0091575682024048</v>
      </c>
      <c r="T310" s="354">
        <f t="shared" si="263"/>
        <v>12.841225022079406</v>
      </c>
      <c r="U310" s="374">
        <f t="shared" si="264"/>
        <v>85.275205453215747</v>
      </c>
      <c r="V310" s="354">
        <f t="shared" si="265"/>
        <v>2.2572957581322881</v>
      </c>
      <c r="W310" s="354">
        <f t="shared" si="266"/>
        <v>77.001033522199535</v>
      </c>
      <c r="X310" s="354">
        <f t="shared" si="267"/>
        <v>6.0168761728839248</v>
      </c>
      <c r="Y310" s="374">
        <f t="shared" si="268"/>
        <v>12.501214710964959</v>
      </c>
      <c r="Z310" s="354">
        <f t="shared" si="269"/>
        <v>6.448876952059627</v>
      </c>
      <c r="AA310" s="354">
        <f t="shared" si="270"/>
        <v>6.052337758905332</v>
      </c>
      <c r="AB310" s="374">
        <f t="shared" si="271"/>
        <v>68.2990842138923</v>
      </c>
      <c r="AC310" s="354">
        <f t="shared" si="272"/>
        <v>19.382773234450536</v>
      </c>
      <c r="AD310" s="354">
        <f t="shared" si="273"/>
        <v>42.191991786360987</v>
      </c>
      <c r="AE310" s="354">
        <f t="shared" si="274"/>
        <v>6.724319193080774</v>
      </c>
      <c r="AF310" s="374">
        <f t="shared" si="275"/>
        <v>54.663118652033582</v>
      </c>
      <c r="AG310" s="354">
        <f t="shared" si="276"/>
        <v>3.5130183686712675</v>
      </c>
      <c r="AH310" s="354">
        <f t="shared" si="277"/>
        <v>17.675407656220909</v>
      </c>
      <c r="AI310" s="354">
        <f t="shared" si="278"/>
        <v>0</v>
      </c>
      <c r="AJ310" s="354">
        <f t="shared" si="279"/>
        <v>33.474692627141408</v>
      </c>
      <c r="AK310" s="374">
        <f t="shared" si="280"/>
        <v>36.104609456674815</v>
      </c>
      <c r="AL310" s="354">
        <f t="shared" si="281"/>
        <v>10.344210271868761</v>
      </c>
      <c r="AM310" s="354">
        <f t="shared" si="282"/>
        <v>24.397464905069643</v>
      </c>
      <c r="AN310" s="354">
        <f t="shared" si="283"/>
        <v>1.3629342797364121</v>
      </c>
      <c r="AO310" s="374">
        <f t="shared" si="284"/>
        <v>20.935083805088709</v>
      </c>
      <c r="AP310" s="354">
        <f t="shared" si="285"/>
        <v>4.8006349194517464</v>
      </c>
      <c r="AQ310" s="354">
        <f t="shared" si="286"/>
        <v>16.134448885636964</v>
      </c>
      <c r="AR310" s="374">
        <f t="shared" si="287"/>
        <v>38.191688330617801</v>
      </c>
      <c r="AS310" s="354">
        <f t="shared" si="288"/>
        <v>16.549755090072974</v>
      </c>
      <c r="AT310" s="354">
        <f t="shared" si="289"/>
        <v>21.64193324054483</v>
      </c>
      <c r="AU310" s="355" t="s">
        <v>396</v>
      </c>
      <c r="AV310" s="354" t="s">
        <v>346</v>
      </c>
      <c r="AW310" s="353">
        <v>0</v>
      </c>
      <c r="AX310" s="353">
        <v>0</v>
      </c>
      <c r="AY310" s="353">
        <v>0</v>
      </c>
      <c r="AZ310" s="353">
        <v>0</v>
      </c>
      <c r="BA310" s="353">
        <v>0</v>
      </c>
      <c r="BB310" s="353">
        <v>0</v>
      </c>
    </row>
    <row r="311" spans="1:54" x14ac:dyDescent="0.25">
      <c r="A311" s="348" t="s">
        <v>765</v>
      </c>
      <c r="B311" s="349">
        <v>8</v>
      </c>
      <c r="C311" s="380">
        <v>45078</v>
      </c>
      <c r="D311" s="351">
        <v>45107</v>
      </c>
      <c r="E311" s="352"/>
      <c r="F311" s="352">
        <v>6</v>
      </c>
      <c r="G311" s="429" t="s">
        <v>309</v>
      </c>
      <c r="H311" s="353" t="s">
        <v>786</v>
      </c>
      <c r="I311" s="350" t="s">
        <v>393</v>
      </c>
      <c r="J311" s="375">
        <v>945443</v>
      </c>
      <c r="K311" s="350" t="s">
        <v>394</v>
      </c>
      <c r="L311" s="354">
        <v>2803.6597999999999</v>
      </c>
      <c r="M311" s="375">
        <f t="shared" si="293"/>
        <v>337.21744699553062</v>
      </c>
      <c r="N311" s="354" t="s">
        <v>395</v>
      </c>
      <c r="O311" s="354">
        <v>0</v>
      </c>
      <c r="P311" s="374">
        <f t="shared" si="185"/>
        <v>21.247442373042684</v>
      </c>
      <c r="Q311" s="354">
        <f t="shared" si="260"/>
        <v>2.0039579501537603</v>
      </c>
      <c r="R311" s="354">
        <f t="shared" si="261"/>
        <v>3.3780902573688514</v>
      </c>
      <c r="S311" s="354">
        <f t="shared" si="262"/>
        <v>3.0091575682024048</v>
      </c>
      <c r="T311" s="354">
        <f t="shared" si="263"/>
        <v>12.841225022079406</v>
      </c>
      <c r="U311" s="374">
        <f t="shared" si="264"/>
        <v>85.275205453215747</v>
      </c>
      <c r="V311" s="354">
        <f t="shared" si="265"/>
        <v>2.2572957581322881</v>
      </c>
      <c r="W311" s="354">
        <f t="shared" si="266"/>
        <v>77.001033522199535</v>
      </c>
      <c r="X311" s="354">
        <f t="shared" si="267"/>
        <v>6.0168761728839248</v>
      </c>
      <c r="Y311" s="374">
        <f t="shared" si="268"/>
        <v>12.501214710964959</v>
      </c>
      <c r="Z311" s="354">
        <f t="shared" si="269"/>
        <v>6.448876952059627</v>
      </c>
      <c r="AA311" s="354">
        <f t="shared" si="270"/>
        <v>6.052337758905332</v>
      </c>
      <c r="AB311" s="374">
        <f t="shared" si="271"/>
        <v>68.2990842138923</v>
      </c>
      <c r="AC311" s="354">
        <f t="shared" si="272"/>
        <v>19.382773234450536</v>
      </c>
      <c r="AD311" s="354">
        <f t="shared" si="273"/>
        <v>42.191991786360987</v>
      </c>
      <c r="AE311" s="354">
        <f t="shared" si="274"/>
        <v>6.724319193080774</v>
      </c>
      <c r="AF311" s="374">
        <f t="shared" si="275"/>
        <v>54.663118652033582</v>
      </c>
      <c r="AG311" s="354">
        <f t="shared" si="276"/>
        <v>3.5130183686712675</v>
      </c>
      <c r="AH311" s="354">
        <f t="shared" si="277"/>
        <v>17.675407656220909</v>
      </c>
      <c r="AI311" s="354">
        <f t="shared" si="278"/>
        <v>0</v>
      </c>
      <c r="AJ311" s="354">
        <f t="shared" si="279"/>
        <v>33.474692627141408</v>
      </c>
      <c r="AK311" s="374">
        <f t="shared" si="280"/>
        <v>36.104609456674815</v>
      </c>
      <c r="AL311" s="354">
        <f t="shared" si="281"/>
        <v>10.344210271868761</v>
      </c>
      <c r="AM311" s="354">
        <f t="shared" si="282"/>
        <v>24.397464905069643</v>
      </c>
      <c r="AN311" s="354">
        <f t="shared" si="283"/>
        <v>1.3629342797364121</v>
      </c>
      <c r="AO311" s="374">
        <f t="shared" si="284"/>
        <v>20.935083805088709</v>
      </c>
      <c r="AP311" s="354">
        <f t="shared" si="285"/>
        <v>4.8006349194517464</v>
      </c>
      <c r="AQ311" s="354">
        <f t="shared" si="286"/>
        <v>16.134448885636964</v>
      </c>
      <c r="AR311" s="374">
        <f t="shared" si="287"/>
        <v>38.191688330617801</v>
      </c>
      <c r="AS311" s="354">
        <f t="shared" si="288"/>
        <v>16.549755090072974</v>
      </c>
      <c r="AT311" s="354">
        <f t="shared" si="289"/>
        <v>21.64193324054483</v>
      </c>
      <c r="AU311" s="355" t="s">
        <v>396</v>
      </c>
      <c r="AV311" s="354" t="s">
        <v>346</v>
      </c>
      <c r="AW311" s="353">
        <v>0</v>
      </c>
      <c r="AX311" s="353">
        <v>0</v>
      </c>
      <c r="AY311" s="353">
        <v>0</v>
      </c>
      <c r="AZ311" s="353">
        <v>0</v>
      </c>
      <c r="BA311" s="353">
        <v>0</v>
      </c>
      <c r="BB311" s="353">
        <v>0</v>
      </c>
    </row>
    <row r="312" spans="1:54" x14ac:dyDescent="0.25">
      <c r="A312" s="348" t="s">
        <v>767</v>
      </c>
      <c r="B312" s="349">
        <v>8</v>
      </c>
      <c r="C312" s="380">
        <v>45078</v>
      </c>
      <c r="D312" s="351">
        <v>45107</v>
      </c>
      <c r="E312" s="352"/>
      <c r="F312" s="352">
        <v>6</v>
      </c>
      <c r="G312" s="429" t="s">
        <v>309</v>
      </c>
      <c r="H312" s="353" t="s">
        <v>787</v>
      </c>
      <c r="I312" s="350" t="s">
        <v>393</v>
      </c>
      <c r="J312" s="375">
        <v>945443</v>
      </c>
      <c r="K312" s="350" t="s">
        <v>394</v>
      </c>
      <c r="L312" s="354">
        <v>2803.6597999999999</v>
      </c>
      <c r="M312" s="375">
        <f t="shared" si="293"/>
        <v>337.21744699553062</v>
      </c>
      <c r="N312" s="354" t="s">
        <v>395</v>
      </c>
      <c r="O312" s="354">
        <v>0</v>
      </c>
      <c r="P312" s="374">
        <f t="shared" si="185"/>
        <v>21.247442373042684</v>
      </c>
      <c r="Q312" s="354">
        <f t="shared" si="260"/>
        <v>2.0039579501537603</v>
      </c>
      <c r="R312" s="354">
        <f t="shared" si="261"/>
        <v>3.3780902573688514</v>
      </c>
      <c r="S312" s="354">
        <f t="shared" si="262"/>
        <v>3.0091575682024048</v>
      </c>
      <c r="T312" s="354">
        <f t="shared" si="263"/>
        <v>12.841225022079406</v>
      </c>
      <c r="U312" s="374">
        <f t="shared" si="264"/>
        <v>85.275205453215747</v>
      </c>
      <c r="V312" s="354">
        <f t="shared" si="265"/>
        <v>2.2572957581322881</v>
      </c>
      <c r="W312" s="354">
        <f t="shared" si="266"/>
        <v>77.001033522199535</v>
      </c>
      <c r="X312" s="354">
        <f t="shared" si="267"/>
        <v>6.0168761728839248</v>
      </c>
      <c r="Y312" s="374">
        <f t="shared" si="268"/>
        <v>12.501214710964959</v>
      </c>
      <c r="Z312" s="354">
        <f t="shared" si="269"/>
        <v>6.448876952059627</v>
      </c>
      <c r="AA312" s="354">
        <f t="shared" si="270"/>
        <v>6.052337758905332</v>
      </c>
      <c r="AB312" s="374">
        <f t="shared" si="271"/>
        <v>68.2990842138923</v>
      </c>
      <c r="AC312" s="354">
        <f t="shared" si="272"/>
        <v>19.382773234450536</v>
      </c>
      <c r="AD312" s="354">
        <f t="shared" si="273"/>
        <v>42.191991786360987</v>
      </c>
      <c r="AE312" s="354">
        <f t="shared" si="274"/>
        <v>6.724319193080774</v>
      </c>
      <c r="AF312" s="374">
        <f t="shared" si="275"/>
        <v>54.663118652033582</v>
      </c>
      <c r="AG312" s="354">
        <f t="shared" si="276"/>
        <v>3.5130183686712675</v>
      </c>
      <c r="AH312" s="354">
        <f t="shared" si="277"/>
        <v>17.675407656220909</v>
      </c>
      <c r="AI312" s="354">
        <f t="shared" si="278"/>
        <v>0</v>
      </c>
      <c r="AJ312" s="354">
        <f t="shared" si="279"/>
        <v>33.474692627141408</v>
      </c>
      <c r="AK312" s="374">
        <f t="shared" si="280"/>
        <v>36.104609456674815</v>
      </c>
      <c r="AL312" s="354">
        <f t="shared" si="281"/>
        <v>10.344210271868761</v>
      </c>
      <c r="AM312" s="354">
        <f t="shared" si="282"/>
        <v>24.397464905069643</v>
      </c>
      <c r="AN312" s="354">
        <f t="shared" si="283"/>
        <v>1.3629342797364121</v>
      </c>
      <c r="AO312" s="374">
        <f t="shared" si="284"/>
        <v>20.935083805088709</v>
      </c>
      <c r="AP312" s="354">
        <f t="shared" si="285"/>
        <v>4.8006349194517464</v>
      </c>
      <c r="AQ312" s="354">
        <f t="shared" si="286"/>
        <v>16.134448885636964</v>
      </c>
      <c r="AR312" s="374">
        <f t="shared" si="287"/>
        <v>38.191688330617801</v>
      </c>
      <c r="AS312" s="354">
        <f t="shared" si="288"/>
        <v>16.549755090072974</v>
      </c>
      <c r="AT312" s="354">
        <f t="shared" si="289"/>
        <v>21.64193324054483</v>
      </c>
      <c r="AU312" s="355" t="s">
        <v>396</v>
      </c>
      <c r="AV312" s="354" t="s">
        <v>346</v>
      </c>
      <c r="AW312" s="353">
        <v>0</v>
      </c>
      <c r="AX312" s="353">
        <v>0</v>
      </c>
      <c r="AY312" s="353">
        <v>0</v>
      </c>
      <c r="AZ312" s="353">
        <v>0</v>
      </c>
      <c r="BA312" s="353">
        <v>0</v>
      </c>
      <c r="BB312" s="353">
        <v>0</v>
      </c>
    </row>
    <row r="313" spans="1:54" x14ac:dyDescent="0.25">
      <c r="A313" s="348" t="s">
        <v>769</v>
      </c>
      <c r="B313" s="349">
        <v>8</v>
      </c>
      <c r="C313" s="380">
        <v>45078</v>
      </c>
      <c r="D313" s="351">
        <v>45107</v>
      </c>
      <c r="E313" s="352"/>
      <c r="F313" s="352">
        <v>6</v>
      </c>
      <c r="G313" s="429" t="s">
        <v>309</v>
      </c>
      <c r="H313" s="353" t="s">
        <v>788</v>
      </c>
      <c r="I313" s="350" t="s">
        <v>393</v>
      </c>
      <c r="J313" s="375">
        <v>945443</v>
      </c>
      <c r="K313" s="350" t="s">
        <v>394</v>
      </c>
      <c r="L313" s="354">
        <v>2803.6597999999999</v>
      </c>
      <c r="M313" s="375">
        <f t="shared" si="293"/>
        <v>337.21744699553062</v>
      </c>
      <c r="N313" s="354" t="s">
        <v>395</v>
      </c>
      <c r="O313" s="354">
        <v>0</v>
      </c>
      <c r="P313" s="374">
        <f t="shared" si="185"/>
        <v>21.247442373042684</v>
      </c>
      <c r="Q313" s="354">
        <f t="shared" si="260"/>
        <v>2.0039579501537603</v>
      </c>
      <c r="R313" s="354">
        <f t="shared" si="261"/>
        <v>3.3780902573688514</v>
      </c>
      <c r="S313" s="354">
        <f t="shared" si="262"/>
        <v>3.0091575682024048</v>
      </c>
      <c r="T313" s="354">
        <f t="shared" si="263"/>
        <v>12.841225022079406</v>
      </c>
      <c r="U313" s="374">
        <f t="shared" si="264"/>
        <v>85.275205453215747</v>
      </c>
      <c r="V313" s="354">
        <f t="shared" si="265"/>
        <v>2.2572957581322881</v>
      </c>
      <c r="W313" s="354">
        <f t="shared" si="266"/>
        <v>77.001033522199535</v>
      </c>
      <c r="X313" s="354">
        <f t="shared" si="267"/>
        <v>6.0168761728839248</v>
      </c>
      <c r="Y313" s="374">
        <f t="shared" si="268"/>
        <v>12.501214710964959</v>
      </c>
      <c r="Z313" s="354">
        <f t="shared" si="269"/>
        <v>6.448876952059627</v>
      </c>
      <c r="AA313" s="354">
        <f t="shared" si="270"/>
        <v>6.052337758905332</v>
      </c>
      <c r="AB313" s="374">
        <f t="shared" si="271"/>
        <v>68.2990842138923</v>
      </c>
      <c r="AC313" s="354">
        <f t="shared" si="272"/>
        <v>19.382773234450536</v>
      </c>
      <c r="AD313" s="354">
        <f t="shared" si="273"/>
        <v>42.191991786360987</v>
      </c>
      <c r="AE313" s="354">
        <f t="shared" si="274"/>
        <v>6.724319193080774</v>
      </c>
      <c r="AF313" s="374">
        <f t="shared" si="275"/>
        <v>54.663118652033582</v>
      </c>
      <c r="AG313" s="354">
        <f t="shared" si="276"/>
        <v>3.5130183686712675</v>
      </c>
      <c r="AH313" s="354">
        <f t="shared" si="277"/>
        <v>17.675407656220909</v>
      </c>
      <c r="AI313" s="354">
        <f t="shared" si="278"/>
        <v>0</v>
      </c>
      <c r="AJ313" s="354">
        <f t="shared" si="279"/>
        <v>33.474692627141408</v>
      </c>
      <c r="AK313" s="374">
        <f t="shared" si="280"/>
        <v>36.104609456674815</v>
      </c>
      <c r="AL313" s="354">
        <f t="shared" si="281"/>
        <v>10.344210271868761</v>
      </c>
      <c r="AM313" s="354">
        <f t="shared" si="282"/>
        <v>24.397464905069643</v>
      </c>
      <c r="AN313" s="354">
        <f t="shared" si="283"/>
        <v>1.3629342797364121</v>
      </c>
      <c r="AO313" s="374">
        <f t="shared" si="284"/>
        <v>20.935083805088709</v>
      </c>
      <c r="AP313" s="354">
        <f t="shared" si="285"/>
        <v>4.8006349194517464</v>
      </c>
      <c r="AQ313" s="354">
        <f t="shared" si="286"/>
        <v>16.134448885636964</v>
      </c>
      <c r="AR313" s="374">
        <f t="shared" si="287"/>
        <v>38.191688330617801</v>
      </c>
      <c r="AS313" s="354">
        <f t="shared" si="288"/>
        <v>16.549755090072974</v>
      </c>
      <c r="AT313" s="354">
        <f t="shared" si="289"/>
        <v>21.64193324054483</v>
      </c>
      <c r="AU313" s="355" t="s">
        <v>396</v>
      </c>
      <c r="AV313" s="354" t="s">
        <v>346</v>
      </c>
      <c r="AW313" s="353">
        <v>0</v>
      </c>
      <c r="AX313" s="353">
        <v>0</v>
      </c>
      <c r="AY313" s="353">
        <v>0</v>
      </c>
      <c r="AZ313" s="353">
        <v>0</v>
      </c>
      <c r="BA313" s="353">
        <v>0</v>
      </c>
      <c r="BB313" s="353">
        <v>0</v>
      </c>
    </row>
    <row r="314" spans="1:54" x14ac:dyDescent="0.25">
      <c r="A314" s="348" t="s">
        <v>759</v>
      </c>
      <c r="B314" s="349">
        <v>8</v>
      </c>
      <c r="C314" s="380">
        <v>45078</v>
      </c>
      <c r="D314" s="351">
        <v>45107</v>
      </c>
      <c r="E314" s="352"/>
      <c r="F314" s="352">
        <v>6</v>
      </c>
      <c r="G314" s="429" t="s">
        <v>310</v>
      </c>
      <c r="H314" s="353" t="s">
        <v>789</v>
      </c>
      <c r="I314" s="350" t="s">
        <v>393</v>
      </c>
      <c r="J314" s="375">
        <v>369886</v>
      </c>
      <c r="K314" s="350" t="s">
        <v>394</v>
      </c>
      <c r="L314" s="354">
        <v>2803.6597999999999</v>
      </c>
      <c r="M314" s="375">
        <f>J314/L314</f>
        <v>131.92970131397541</v>
      </c>
      <c r="N314" s="354" t="s">
        <v>395</v>
      </c>
      <c r="O314" s="354">
        <v>0</v>
      </c>
      <c r="P314" s="374">
        <f t="shared" si="185"/>
        <v>8.3126444107103943</v>
      </c>
      <c r="Q314" s="354">
        <f t="shared" si="260"/>
        <v>0.78400917913673673</v>
      </c>
      <c r="R314" s="354">
        <f t="shared" si="261"/>
        <v>1.3216114487463919</v>
      </c>
      <c r="S314" s="354">
        <f t="shared" si="262"/>
        <v>1.1772737819964978</v>
      </c>
      <c r="T314" s="354">
        <f t="shared" si="263"/>
        <v>5.023877016929486</v>
      </c>
      <c r="U314" s="374">
        <f t="shared" si="264"/>
        <v>33.362248855053309</v>
      </c>
      <c r="V314" s="354">
        <f t="shared" si="265"/>
        <v>0.88312261954715376</v>
      </c>
      <c r="W314" s="354">
        <f t="shared" si="266"/>
        <v>30.125141637721473</v>
      </c>
      <c r="X314" s="354">
        <f t="shared" si="267"/>
        <v>2.3539845977846827</v>
      </c>
      <c r="Y314" s="374">
        <f t="shared" si="268"/>
        <v>4.8908546623963423</v>
      </c>
      <c r="Z314" s="354">
        <f t="shared" si="269"/>
        <v>2.5229964157432305</v>
      </c>
      <c r="AA314" s="354">
        <f t="shared" si="270"/>
        <v>2.3678582466531113</v>
      </c>
      <c r="AB314" s="374">
        <f t="shared" si="271"/>
        <v>26.720674925447405</v>
      </c>
      <c r="AC314" s="354">
        <f t="shared" si="272"/>
        <v>7.5831292426914914</v>
      </c>
      <c r="AD314" s="354">
        <f t="shared" si="273"/>
        <v>16.506787901428137</v>
      </c>
      <c r="AE314" s="354">
        <f t="shared" si="274"/>
        <v>2.6307577813277749</v>
      </c>
      <c r="AF314" s="374">
        <f t="shared" si="275"/>
        <v>21.385871285446186</v>
      </c>
      <c r="AG314" s="354">
        <f t="shared" si="276"/>
        <v>1.3743994215561814</v>
      </c>
      <c r="AH314" s="354">
        <f t="shared" si="277"/>
        <v>6.9151560023490877</v>
      </c>
      <c r="AI314" s="354">
        <f t="shared" si="278"/>
        <v>0</v>
      </c>
      <c r="AJ314" s="354">
        <f t="shared" si="279"/>
        <v>13.096315861540917</v>
      </c>
      <c r="AK314" s="374">
        <f t="shared" si="280"/>
        <v>14.125219154926974</v>
      </c>
      <c r="AL314" s="354">
        <f t="shared" si="281"/>
        <v>4.0469690511436953</v>
      </c>
      <c r="AM314" s="354">
        <f t="shared" si="282"/>
        <v>9.5450288424332204</v>
      </c>
      <c r="AN314" s="354">
        <f t="shared" si="283"/>
        <v>0.53322126135005776</v>
      </c>
      <c r="AO314" s="374">
        <f t="shared" si="284"/>
        <v>8.1904402574550161</v>
      </c>
      <c r="AP314" s="354">
        <f t="shared" si="285"/>
        <v>1.8781541011106209</v>
      </c>
      <c r="AQ314" s="354">
        <f t="shared" si="286"/>
        <v>6.3122861563443955</v>
      </c>
      <c r="AR314" s="374">
        <f t="shared" si="287"/>
        <v>14.94174776253978</v>
      </c>
      <c r="AS314" s="354">
        <f t="shared" si="288"/>
        <v>6.4747665499101821</v>
      </c>
      <c r="AT314" s="354">
        <f t="shared" si="289"/>
        <v>8.466981212629598</v>
      </c>
      <c r="AU314" s="355" t="s">
        <v>396</v>
      </c>
      <c r="AV314" s="354" t="s">
        <v>346</v>
      </c>
      <c r="AW314" s="353">
        <v>0</v>
      </c>
      <c r="AX314" s="353">
        <v>0</v>
      </c>
      <c r="AY314" s="353">
        <v>0</v>
      </c>
      <c r="AZ314" s="353">
        <v>0</v>
      </c>
      <c r="BA314" s="353">
        <v>0</v>
      </c>
      <c r="BB314" s="353">
        <v>0</v>
      </c>
    </row>
    <row r="315" spans="1:54" x14ac:dyDescent="0.25">
      <c r="A315" s="348" t="s">
        <v>761</v>
      </c>
      <c r="B315" s="349">
        <v>8</v>
      </c>
      <c r="C315" s="380">
        <v>45078</v>
      </c>
      <c r="D315" s="351">
        <v>45107</v>
      </c>
      <c r="E315" s="352"/>
      <c r="F315" s="352">
        <v>6</v>
      </c>
      <c r="G315" s="429" t="s">
        <v>310</v>
      </c>
      <c r="H315" s="353" t="s">
        <v>790</v>
      </c>
      <c r="I315" s="350" t="s">
        <v>393</v>
      </c>
      <c r="J315" s="375">
        <v>369886</v>
      </c>
      <c r="K315" s="350" t="s">
        <v>394</v>
      </c>
      <c r="L315" s="354">
        <v>2803.6597999999999</v>
      </c>
      <c r="M315" s="375">
        <f t="shared" ref="M315:M319" si="294">J315/L315</f>
        <v>131.92970131397541</v>
      </c>
      <c r="N315" s="354" t="s">
        <v>395</v>
      </c>
      <c r="O315" s="354">
        <v>0</v>
      </c>
      <c r="P315" s="374">
        <f t="shared" si="185"/>
        <v>8.3126444107103943</v>
      </c>
      <c r="Q315" s="354">
        <f t="shared" si="260"/>
        <v>0.78400917913673673</v>
      </c>
      <c r="R315" s="354">
        <f t="shared" si="261"/>
        <v>1.3216114487463919</v>
      </c>
      <c r="S315" s="354">
        <f t="shared" si="262"/>
        <v>1.1772737819964978</v>
      </c>
      <c r="T315" s="354">
        <f t="shared" si="263"/>
        <v>5.023877016929486</v>
      </c>
      <c r="U315" s="374">
        <f t="shared" si="264"/>
        <v>33.362248855053309</v>
      </c>
      <c r="V315" s="354">
        <f t="shared" si="265"/>
        <v>0.88312261954715376</v>
      </c>
      <c r="W315" s="354">
        <f t="shared" si="266"/>
        <v>30.125141637721473</v>
      </c>
      <c r="X315" s="354">
        <f t="shared" si="267"/>
        <v>2.3539845977846827</v>
      </c>
      <c r="Y315" s="374">
        <f t="shared" si="268"/>
        <v>4.8908546623963423</v>
      </c>
      <c r="Z315" s="354">
        <f t="shared" si="269"/>
        <v>2.5229964157432305</v>
      </c>
      <c r="AA315" s="354">
        <f t="shared" si="270"/>
        <v>2.3678582466531113</v>
      </c>
      <c r="AB315" s="374">
        <f t="shared" si="271"/>
        <v>26.720674925447405</v>
      </c>
      <c r="AC315" s="354">
        <f t="shared" si="272"/>
        <v>7.5831292426914914</v>
      </c>
      <c r="AD315" s="354">
        <f t="shared" si="273"/>
        <v>16.506787901428137</v>
      </c>
      <c r="AE315" s="354">
        <f t="shared" si="274"/>
        <v>2.6307577813277749</v>
      </c>
      <c r="AF315" s="374">
        <f t="shared" si="275"/>
        <v>21.385871285446186</v>
      </c>
      <c r="AG315" s="354">
        <f t="shared" si="276"/>
        <v>1.3743994215561814</v>
      </c>
      <c r="AH315" s="354">
        <f t="shared" si="277"/>
        <v>6.9151560023490877</v>
      </c>
      <c r="AI315" s="354">
        <f t="shared" si="278"/>
        <v>0</v>
      </c>
      <c r="AJ315" s="354">
        <f t="shared" si="279"/>
        <v>13.096315861540917</v>
      </c>
      <c r="AK315" s="374">
        <f t="shared" si="280"/>
        <v>14.125219154926974</v>
      </c>
      <c r="AL315" s="354">
        <f t="shared" si="281"/>
        <v>4.0469690511436953</v>
      </c>
      <c r="AM315" s="354">
        <f t="shared" si="282"/>
        <v>9.5450288424332204</v>
      </c>
      <c r="AN315" s="354">
        <f t="shared" si="283"/>
        <v>0.53322126135005776</v>
      </c>
      <c r="AO315" s="374">
        <f t="shared" si="284"/>
        <v>8.1904402574550161</v>
      </c>
      <c r="AP315" s="354">
        <f t="shared" si="285"/>
        <v>1.8781541011106209</v>
      </c>
      <c r="AQ315" s="354">
        <f t="shared" si="286"/>
        <v>6.3122861563443955</v>
      </c>
      <c r="AR315" s="374">
        <f t="shared" si="287"/>
        <v>14.94174776253978</v>
      </c>
      <c r="AS315" s="354">
        <f t="shared" si="288"/>
        <v>6.4747665499101821</v>
      </c>
      <c r="AT315" s="354">
        <f t="shared" si="289"/>
        <v>8.466981212629598</v>
      </c>
      <c r="AU315" s="355" t="s">
        <v>396</v>
      </c>
      <c r="AV315" s="354" t="s">
        <v>346</v>
      </c>
      <c r="AW315" s="353">
        <v>0</v>
      </c>
      <c r="AX315" s="353">
        <v>0</v>
      </c>
      <c r="AY315" s="353">
        <v>0</v>
      </c>
      <c r="AZ315" s="353">
        <v>0</v>
      </c>
      <c r="BA315" s="353">
        <v>0</v>
      </c>
      <c r="BB315" s="353">
        <v>0</v>
      </c>
    </row>
    <row r="316" spans="1:54" x14ac:dyDescent="0.25">
      <c r="A316" s="348" t="s">
        <v>763</v>
      </c>
      <c r="B316" s="349">
        <v>8</v>
      </c>
      <c r="C316" s="380">
        <v>45078</v>
      </c>
      <c r="D316" s="351">
        <v>45107</v>
      </c>
      <c r="E316" s="352"/>
      <c r="F316" s="352">
        <v>6</v>
      </c>
      <c r="G316" s="429" t="s">
        <v>310</v>
      </c>
      <c r="H316" s="353" t="s">
        <v>791</v>
      </c>
      <c r="I316" s="350" t="s">
        <v>393</v>
      </c>
      <c r="J316" s="375">
        <v>369886</v>
      </c>
      <c r="K316" s="350" t="s">
        <v>394</v>
      </c>
      <c r="L316" s="354">
        <v>2803.6597999999999</v>
      </c>
      <c r="M316" s="375">
        <f t="shared" si="294"/>
        <v>131.92970131397541</v>
      </c>
      <c r="N316" s="354" t="s">
        <v>395</v>
      </c>
      <c r="O316" s="354">
        <v>0</v>
      </c>
      <c r="P316" s="374">
        <f t="shared" si="185"/>
        <v>8.3126444107103943</v>
      </c>
      <c r="Q316" s="354">
        <f t="shared" si="260"/>
        <v>0.78400917913673673</v>
      </c>
      <c r="R316" s="354">
        <f t="shared" si="261"/>
        <v>1.3216114487463919</v>
      </c>
      <c r="S316" s="354">
        <f t="shared" si="262"/>
        <v>1.1772737819964978</v>
      </c>
      <c r="T316" s="354">
        <f t="shared" si="263"/>
        <v>5.023877016929486</v>
      </c>
      <c r="U316" s="374">
        <f t="shared" si="264"/>
        <v>33.362248855053309</v>
      </c>
      <c r="V316" s="354">
        <f t="shared" si="265"/>
        <v>0.88312261954715376</v>
      </c>
      <c r="W316" s="354">
        <f t="shared" si="266"/>
        <v>30.125141637721473</v>
      </c>
      <c r="X316" s="354">
        <f t="shared" si="267"/>
        <v>2.3539845977846827</v>
      </c>
      <c r="Y316" s="374">
        <f t="shared" si="268"/>
        <v>4.8908546623963423</v>
      </c>
      <c r="Z316" s="354">
        <f t="shared" si="269"/>
        <v>2.5229964157432305</v>
      </c>
      <c r="AA316" s="354">
        <f t="shared" si="270"/>
        <v>2.3678582466531113</v>
      </c>
      <c r="AB316" s="374">
        <f t="shared" si="271"/>
        <v>26.720674925447405</v>
      </c>
      <c r="AC316" s="354">
        <f t="shared" si="272"/>
        <v>7.5831292426914914</v>
      </c>
      <c r="AD316" s="354">
        <f t="shared" si="273"/>
        <v>16.506787901428137</v>
      </c>
      <c r="AE316" s="354">
        <f t="shared" si="274"/>
        <v>2.6307577813277749</v>
      </c>
      <c r="AF316" s="374">
        <f t="shared" si="275"/>
        <v>21.385871285446186</v>
      </c>
      <c r="AG316" s="354">
        <f t="shared" si="276"/>
        <v>1.3743994215561814</v>
      </c>
      <c r="AH316" s="354">
        <f t="shared" si="277"/>
        <v>6.9151560023490877</v>
      </c>
      <c r="AI316" s="354">
        <f t="shared" si="278"/>
        <v>0</v>
      </c>
      <c r="AJ316" s="354">
        <f t="shared" si="279"/>
        <v>13.096315861540917</v>
      </c>
      <c r="AK316" s="374">
        <f t="shared" si="280"/>
        <v>14.125219154926974</v>
      </c>
      <c r="AL316" s="354">
        <f t="shared" si="281"/>
        <v>4.0469690511436953</v>
      </c>
      <c r="AM316" s="354">
        <f t="shared" si="282"/>
        <v>9.5450288424332204</v>
      </c>
      <c r="AN316" s="354">
        <f t="shared" si="283"/>
        <v>0.53322126135005776</v>
      </c>
      <c r="AO316" s="374">
        <f t="shared" si="284"/>
        <v>8.1904402574550161</v>
      </c>
      <c r="AP316" s="354">
        <f t="shared" si="285"/>
        <v>1.8781541011106209</v>
      </c>
      <c r="AQ316" s="354">
        <f t="shared" si="286"/>
        <v>6.3122861563443955</v>
      </c>
      <c r="AR316" s="374">
        <f t="shared" si="287"/>
        <v>14.94174776253978</v>
      </c>
      <c r="AS316" s="354">
        <f t="shared" si="288"/>
        <v>6.4747665499101821</v>
      </c>
      <c r="AT316" s="354">
        <f t="shared" si="289"/>
        <v>8.466981212629598</v>
      </c>
      <c r="AU316" s="355" t="s">
        <v>396</v>
      </c>
      <c r="AV316" s="354" t="s">
        <v>346</v>
      </c>
      <c r="AW316" s="353">
        <v>0</v>
      </c>
      <c r="AX316" s="353">
        <v>0</v>
      </c>
      <c r="AY316" s="353">
        <v>0</v>
      </c>
      <c r="AZ316" s="353">
        <v>0</v>
      </c>
      <c r="BA316" s="353">
        <v>0</v>
      </c>
      <c r="BB316" s="353">
        <v>0</v>
      </c>
    </row>
    <row r="317" spans="1:54" x14ac:dyDescent="0.25">
      <c r="A317" s="348" t="s">
        <v>765</v>
      </c>
      <c r="B317" s="349">
        <v>8</v>
      </c>
      <c r="C317" s="380">
        <v>45078</v>
      </c>
      <c r="D317" s="351">
        <v>45107</v>
      </c>
      <c r="E317" s="352"/>
      <c r="F317" s="352">
        <v>6</v>
      </c>
      <c r="G317" s="429" t="s">
        <v>310</v>
      </c>
      <c r="H317" s="353" t="s">
        <v>792</v>
      </c>
      <c r="I317" s="350" t="s">
        <v>393</v>
      </c>
      <c r="J317" s="375">
        <v>369886</v>
      </c>
      <c r="K317" s="350" t="s">
        <v>394</v>
      </c>
      <c r="L317" s="354">
        <v>2803.6597999999999</v>
      </c>
      <c r="M317" s="375">
        <f t="shared" si="294"/>
        <v>131.92970131397541</v>
      </c>
      <c r="N317" s="354" t="s">
        <v>395</v>
      </c>
      <c r="O317" s="354">
        <v>0</v>
      </c>
      <c r="P317" s="374">
        <f t="shared" si="185"/>
        <v>8.3126444107103943</v>
      </c>
      <c r="Q317" s="354">
        <f t="shared" si="260"/>
        <v>0.78400917913673673</v>
      </c>
      <c r="R317" s="354">
        <f t="shared" si="261"/>
        <v>1.3216114487463919</v>
      </c>
      <c r="S317" s="354">
        <f t="shared" si="262"/>
        <v>1.1772737819964978</v>
      </c>
      <c r="T317" s="354">
        <f t="shared" si="263"/>
        <v>5.023877016929486</v>
      </c>
      <c r="U317" s="374">
        <f t="shared" si="264"/>
        <v>33.362248855053309</v>
      </c>
      <c r="V317" s="354">
        <f t="shared" si="265"/>
        <v>0.88312261954715376</v>
      </c>
      <c r="W317" s="354">
        <f t="shared" si="266"/>
        <v>30.125141637721473</v>
      </c>
      <c r="X317" s="354">
        <f t="shared" si="267"/>
        <v>2.3539845977846827</v>
      </c>
      <c r="Y317" s="374">
        <f t="shared" si="268"/>
        <v>4.8908546623963423</v>
      </c>
      <c r="Z317" s="354">
        <f t="shared" si="269"/>
        <v>2.5229964157432305</v>
      </c>
      <c r="AA317" s="354">
        <f t="shared" si="270"/>
        <v>2.3678582466531113</v>
      </c>
      <c r="AB317" s="374">
        <f t="shared" si="271"/>
        <v>26.720674925447405</v>
      </c>
      <c r="AC317" s="354">
        <f t="shared" si="272"/>
        <v>7.5831292426914914</v>
      </c>
      <c r="AD317" s="354">
        <f t="shared" si="273"/>
        <v>16.506787901428137</v>
      </c>
      <c r="AE317" s="354">
        <f t="shared" si="274"/>
        <v>2.6307577813277749</v>
      </c>
      <c r="AF317" s="374">
        <f t="shared" si="275"/>
        <v>21.385871285446186</v>
      </c>
      <c r="AG317" s="354">
        <f t="shared" si="276"/>
        <v>1.3743994215561814</v>
      </c>
      <c r="AH317" s="354">
        <f t="shared" si="277"/>
        <v>6.9151560023490877</v>
      </c>
      <c r="AI317" s="354">
        <f t="shared" si="278"/>
        <v>0</v>
      </c>
      <c r="AJ317" s="354">
        <f t="shared" si="279"/>
        <v>13.096315861540917</v>
      </c>
      <c r="AK317" s="374">
        <f t="shared" si="280"/>
        <v>14.125219154926974</v>
      </c>
      <c r="AL317" s="354">
        <f t="shared" si="281"/>
        <v>4.0469690511436953</v>
      </c>
      <c r="AM317" s="354">
        <f t="shared" si="282"/>
        <v>9.5450288424332204</v>
      </c>
      <c r="AN317" s="354">
        <f t="shared" si="283"/>
        <v>0.53322126135005776</v>
      </c>
      <c r="AO317" s="374">
        <f t="shared" si="284"/>
        <v>8.1904402574550161</v>
      </c>
      <c r="AP317" s="354">
        <f t="shared" si="285"/>
        <v>1.8781541011106209</v>
      </c>
      <c r="AQ317" s="354">
        <f t="shared" si="286"/>
        <v>6.3122861563443955</v>
      </c>
      <c r="AR317" s="374">
        <f t="shared" si="287"/>
        <v>14.94174776253978</v>
      </c>
      <c r="AS317" s="354">
        <f t="shared" si="288"/>
        <v>6.4747665499101821</v>
      </c>
      <c r="AT317" s="354">
        <f t="shared" si="289"/>
        <v>8.466981212629598</v>
      </c>
      <c r="AU317" s="355" t="s">
        <v>396</v>
      </c>
      <c r="AV317" s="354" t="s">
        <v>346</v>
      </c>
      <c r="AW317" s="353">
        <v>0</v>
      </c>
      <c r="AX317" s="353">
        <v>0</v>
      </c>
      <c r="AY317" s="353">
        <v>0</v>
      </c>
      <c r="AZ317" s="353">
        <v>0</v>
      </c>
      <c r="BA317" s="353">
        <v>0</v>
      </c>
      <c r="BB317" s="353">
        <v>0</v>
      </c>
    </row>
    <row r="318" spans="1:54" x14ac:dyDescent="0.25">
      <c r="A318" s="348" t="s">
        <v>767</v>
      </c>
      <c r="B318" s="349">
        <v>8</v>
      </c>
      <c r="C318" s="380">
        <v>45078</v>
      </c>
      <c r="D318" s="351">
        <v>45107</v>
      </c>
      <c r="E318" s="352"/>
      <c r="F318" s="352">
        <v>6</v>
      </c>
      <c r="G318" s="429" t="s">
        <v>310</v>
      </c>
      <c r="H318" s="353" t="s">
        <v>793</v>
      </c>
      <c r="I318" s="350" t="s">
        <v>393</v>
      </c>
      <c r="J318" s="375">
        <v>369886</v>
      </c>
      <c r="K318" s="350" t="s">
        <v>394</v>
      </c>
      <c r="L318" s="354">
        <v>2803.6597999999999</v>
      </c>
      <c r="M318" s="375">
        <f t="shared" si="294"/>
        <v>131.92970131397541</v>
      </c>
      <c r="N318" s="354" t="s">
        <v>395</v>
      </c>
      <c r="O318" s="354">
        <v>0</v>
      </c>
      <c r="P318" s="374">
        <f t="shared" si="185"/>
        <v>8.3126444107103943</v>
      </c>
      <c r="Q318" s="354">
        <f t="shared" si="260"/>
        <v>0.78400917913673673</v>
      </c>
      <c r="R318" s="354">
        <f t="shared" si="261"/>
        <v>1.3216114487463919</v>
      </c>
      <c r="S318" s="354">
        <f t="shared" si="262"/>
        <v>1.1772737819964978</v>
      </c>
      <c r="T318" s="354">
        <f t="shared" si="263"/>
        <v>5.023877016929486</v>
      </c>
      <c r="U318" s="374">
        <f t="shared" si="264"/>
        <v>33.362248855053309</v>
      </c>
      <c r="V318" s="354">
        <f t="shared" si="265"/>
        <v>0.88312261954715376</v>
      </c>
      <c r="W318" s="354">
        <f t="shared" si="266"/>
        <v>30.125141637721473</v>
      </c>
      <c r="X318" s="354">
        <f t="shared" si="267"/>
        <v>2.3539845977846827</v>
      </c>
      <c r="Y318" s="374">
        <f t="shared" si="268"/>
        <v>4.8908546623963423</v>
      </c>
      <c r="Z318" s="354">
        <f t="shared" si="269"/>
        <v>2.5229964157432305</v>
      </c>
      <c r="AA318" s="354">
        <f t="shared" si="270"/>
        <v>2.3678582466531113</v>
      </c>
      <c r="AB318" s="374">
        <f t="shared" si="271"/>
        <v>26.720674925447405</v>
      </c>
      <c r="AC318" s="354">
        <f t="shared" si="272"/>
        <v>7.5831292426914914</v>
      </c>
      <c r="AD318" s="354">
        <f t="shared" si="273"/>
        <v>16.506787901428137</v>
      </c>
      <c r="AE318" s="354">
        <f t="shared" si="274"/>
        <v>2.6307577813277749</v>
      </c>
      <c r="AF318" s="374">
        <f t="shared" si="275"/>
        <v>21.385871285446186</v>
      </c>
      <c r="AG318" s="354">
        <f t="shared" si="276"/>
        <v>1.3743994215561814</v>
      </c>
      <c r="AH318" s="354">
        <f t="shared" si="277"/>
        <v>6.9151560023490877</v>
      </c>
      <c r="AI318" s="354">
        <f t="shared" si="278"/>
        <v>0</v>
      </c>
      <c r="AJ318" s="354">
        <f t="shared" si="279"/>
        <v>13.096315861540917</v>
      </c>
      <c r="AK318" s="374">
        <f t="shared" si="280"/>
        <v>14.125219154926974</v>
      </c>
      <c r="AL318" s="354">
        <f t="shared" si="281"/>
        <v>4.0469690511436953</v>
      </c>
      <c r="AM318" s="354">
        <f t="shared" si="282"/>
        <v>9.5450288424332204</v>
      </c>
      <c r="AN318" s="354">
        <f t="shared" si="283"/>
        <v>0.53322126135005776</v>
      </c>
      <c r="AO318" s="374">
        <f t="shared" si="284"/>
        <v>8.1904402574550161</v>
      </c>
      <c r="AP318" s="354">
        <f t="shared" si="285"/>
        <v>1.8781541011106209</v>
      </c>
      <c r="AQ318" s="354">
        <f t="shared" si="286"/>
        <v>6.3122861563443955</v>
      </c>
      <c r="AR318" s="374">
        <f t="shared" si="287"/>
        <v>14.94174776253978</v>
      </c>
      <c r="AS318" s="354">
        <f t="shared" si="288"/>
        <v>6.4747665499101821</v>
      </c>
      <c r="AT318" s="354">
        <f t="shared" si="289"/>
        <v>8.466981212629598</v>
      </c>
      <c r="AU318" s="355" t="s">
        <v>396</v>
      </c>
      <c r="AV318" s="354" t="s">
        <v>346</v>
      </c>
      <c r="AW318" s="353">
        <v>0</v>
      </c>
      <c r="AX318" s="353">
        <v>0</v>
      </c>
      <c r="AY318" s="353">
        <v>0</v>
      </c>
      <c r="AZ318" s="353">
        <v>0</v>
      </c>
      <c r="BA318" s="353">
        <v>0</v>
      </c>
      <c r="BB318" s="353">
        <v>0</v>
      </c>
    </row>
    <row r="319" spans="1:54" x14ac:dyDescent="0.25">
      <c r="A319" s="348" t="s">
        <v>769</v>
      </c>
      <c r="B319" s="349">
        <v>8</v>
      </c>
      <c r="C319" s="380">
        <v>45078</v>
      </c>
      <c r="D319" s="351">
        <v>45107</v>
      </c>
      <c r="E319" s="352"/>
      <c r="F319" s="352">
        <v>6</v>
      </c>
      <c r="G319" s="429" t="s">
        <v>310</v>
      </c>
      <c r="H319" s="353" t="s">
        <v>794</v>
      </c>
      <c r="I319" s="350" t="s">
        <v>393</v>
      </c>
      <c r="J319" s="375">
        <v>369886</v>
      </c>
      <c r="K319" s="350" t="s">
        <v>394</v>
      </c>
      <c r="L319" s="354">
        <v>2803.6597999999999</v>
      </c>
      <c r="M319" s="375">
        <f t="shared" si="294"/>
        <v>131.92970131397541</v>
      </c>
      <c r="N319" s="354" t="s">
        <v>395</v>
      </c>
      <c r="O319" s="354">
        <v>0</v>
      </c>
      <c r="P319" s="374">
        <f t="shared" si="185"/>
        <v>8.3126444107103943</v>
      </c>
      <c r="Q319" s="354">
        <f t="shared" si="260"/>
        <v>0.78400917913673673</v>
      </c>
      <c r="R319" s="354">
        <f t="shared" si="261"/>
        <v>1.3216114487463919</v>
      </c>
      <c r="S319" s="354">
        <f t="shared" si="262"/>
        <v>1.1772737819964978</v>
      </c>
      <c r="T319" s="354">
        <f t="shared" si="263"/>
        <v>5.023877016929486</v>
      </c>
      <c r="U319" s="374">
        <f t="shared" si="264"/>
        <v>33.362248855053309</v>
      </c>
      <c r="V319" s="354">
        <f t="shared" si="265"/>
        <v>0.88312261954715376</v>
      </c>
      <c r="W319" s="354">
        <f t="shared" si="266"/>
        <v>30.125141637721473</v>
      </c>
      <c r="X319" s="354">
        <f t="shared" si="267"/>
        <v>2.3539845977846827</v>
      </c>
      <c r="Y319" s="374">
        <f t="shared" si="268"/>
        <v>4.8908546623963423</v>
      </c>
      <c r="Z319" s="354">
        <f t="shared" si="269"/>
        <v>2.5229964157432305</v>
      </c>
      <c r="AA319" s="354">
        <f t="shared" si="270"/>
        <v>2.3678582466531113</v>
      </c>
      <c r="AB319" s="374">
        <f t="shared" si="271"/>
        <v>26.720674925447405</v>
      </c>
      <c r="AC319" s="354">
        <f t="shared" si="272"/>
        <v>7.5831292426914914</v>
      </c>
      <c r="AD319" s="354">
        <f t="shared" si="273"/>
        <v>16.506787901428137</v>
      </c>
      <c r="AE319" s="354">
        <f t="shared" si="274"/>
        <v>2.6307577813277749</v>
      </c>
      <c r="AF319" s="374">
        <f t="shared" si="275"/>
        <v>21.385871285446186</v>
      </c>
      <c r="AG319" s="354">
        <f t="shared" si="276"/>
        <v>1.3743994215561814</v>
      </c>
      <c r="AH319" s="354">
        <f t="shared" si="277"/>
        <v>6.9151560023490877</v>
      </c>
      <c r="AI319" s="354">
        <f t="shared" si="278"/>
        <v>0</v>
      </c>
      <c r="AJ319" s="354">
        <f t="shared" si="279"/>
        <v>13.096315861540917</v>
      </c>
      <c r="AK319" s="374">
        <f t="shared" si="280"/>
        <v>14.125219154926974</v>
      </c>
      <c r="AL319" s="354">
        <f t="shared" si="281"/>
        <v>4.0469690511436953</v>
      </c>
      <c r="AM319" s="354">
        <f t="shared" si="282"/>
        <v>9.5450288424332204</v>
      </c>
      <c r="AN319" s="354">
        <f t="shared" si="283"/>
        <v>0.53322126135005776</v>
      </c>
      <c r="AO319" s="374">
        <f t="shared" si="284"/>
        <v>8.1904402574550161</v>
      </c>
      <c r="AP319" s="354">
        <f t="shared" si="285"/>
        <v>1.8781541011106209</v>
      </c>
      <c r="AQ319" s="354">
        <f t="shared" si="286"/>
        <v>6.3122861563443955</v>
      </c>
      <c r="AR319" s="374">
        <f t="shared" si="287"/>
        <v>14.94174776253978</v>
      </c>
      <c r="AS319" s="354">
        <f t="shared" si="288"/>
        <v>6.4747665499101821</v>
      </c>
      <c r="AT319" s="354">
        <f t="shared" si="289"/>
        <v>8.466981212629598</v>
      </c>
      <c r="AU319" s="355" t="s">
        <v>396</v>
      </c>
      <c r="AV319" s="354" t="s">
        <v>346</v>
      </c>
      <c r="AW319" s="353">
        <v>0</v>
      </c>
      <c r="AX319" s="353">
        <v>0</v>
      </c>
      <c r="AY319" s="353">
        <v>0</v>
      </c>
      <c r="AZ319" s="353">
        <v>0</v>
      </c>
      <c r="BA319" s="353">
        <v>0</v>
      </c>
      <c r="BB319" s="353">
        <v>0</v>
      </c>
    </row>
    <row r="320" spans="1:54" x14ac:dyDescent="0.25">
      <c r="A320" s="348" t="s">
        <v>759</v>
      </c>
      <c r="B320" s="349">
        <v>8</v>
      </c>
      <c r="C320" s="380">
        <v>45078</v>
      </c>
      <c r="D320" s="351">
        <v>45107</v>
      </c>
      <c r="E320" s="352"/>
      <c r="F320" s="352">
        <v>6</v>
      </c>
      <c r="G320" s="429" t="s">
        <v>311</v>
      </c>
      <c r="H320" s="353" t="s">
        <v>795</v>
      </c>
      <c r="I320" s="350" t="s">
        <v>393</v>
      </c>
      <c r="J320" s="375">
        <v>102000</v>
      </c>
      <c r="K320" s="350" t="s">
        <v>394</v>
      </c>
      <c r="L320" s="354">
        <v>2803.6597999999999</v>
      </c>
      <c r="M320" s="375">
        <f>J320/L320</f>
        <v>36.381018838305565</v>
      </c>
      <c r="N320" s="354" t="s">
        <v>395</v>
      </c>
      <c r="O320" s="354">
        <v>0</v>
      </c>
      <c r="P320" s="374">
        <f t="shared" si="185"/>
        <v>2.2923001408338251</v>
      </c>
      <c r="Q320" s="354">
        <f t="shared" si="260"/>
        <v>0.21619887282013148</v>
      </c>
      <c r="R320" s="354">
        <f t="shared" si="261"/>
        <v>0.36444841862663629</v>
      </c>
      <c r="S320" s="354">
        <f t="shared" si="262"/>
        <v>0.32464577130154365</v>
      </c>
      <c r="T320" s="354">
        <f t="shared" si="263"/>
        <v>1.3853875402875684</v>
      </c>
      <c r="U320" s="374">
        <f t="shared" si="264"/>
        <v>9.1999950882581061</v>
      </c>
      <c r="V320" s="354">
        <f t="shared" si="265"/>
        <v>0.24353045855698699</v>
      </c>
      <c r="W320" s="354">
        <f t="shared" si="266"/>
        <v>8.3073283310198018</v>
      </c>
      <c r="X320" s="354">
        <f t="shared" si="267"/>
        <v>0.64913629868131706</v>
      </c>
      <c r="Y320" s="374">
        <f t="shared" si="268"/>
        <v>1.3487052106985042</v>
      </c>
      <c r="Z320" s="354">
        <f t="shared" si="269"/>
        <v>0.6957431057293586</v>
      </c>
      <c r="AA320" s="354">
        <f t="shared" si="270"/>
        <v>0.65296210496914553</v>
      </c>
      <c r="AB320" s="374">
        <f t="shared" si="271"/>
        <v>7.3685104123855334</v>
      </c>
      <c r="AC320" s="354">
        <f t="shared" si="272"/>
        <v>2.0911285713828915</v>
      </c>
      <c r="AD320" s="354">
        <f t="shared" si="273"/>
        <v>4.5519223921577732</v>
      </c>
      <c r="AE320" s="354">
        <f t="shared" si="274"/>
        <v>0.72545944884486857</v>
      </c>
      <c r="AF320" s="374">
        <f t="shared" si="275"/>
        <v>5.8973815475998306</v>
      </c>
      <c r="AG320" s="354">
        <f t="shared" si="276"/>
        <v>0.37900526378054455</v>
      </c>
      <c r="AH320" s="354">
        <f t="shared" si="277"/>
        <v>1.9069278432803809</v>
      </c>
      <c r="AI320" s="354">
        <f t="shared" si="278"/>
        <v>0</v>
      </c>
      <c r="AJ320" s="354">
        <f t="shared" si="279"/>
        <v>3.6114484405389056</v>
      </c>
      <c r="AK320" s="374">
        <f t="shared" si="280"/>
        <v>3.8951794709790351</v>
      </c>
      <c r="AL320" s="354">
        <f t="shared" si="281"/>
        <v>1.1159947746512626</v>
      </c>
      <c r="AM320" s="354">
        <f t="shared" si="282"/>
        <v>2.6321432601617487</v>
      </c>
      <c r="AN320" s="354">
        <f t="shared" si="283"/>
        <v>0.14704143616602383</v>
      </c>
      <c r="AO320" s="374">
        <f t="shared" si="284"/>
        <v>2.2586010453502205</v>
      </c>
      <c r="AP320" s="354">
        <f t="shared" si="285"/>
        <v>0.51792097649893032</v>
      </c>
      <c r="AQ320" s="354">
        <f t="shared" si="286"/>
        <v>1.7406800688512902</v>
      </c>
      <c r="AR320" s="374">
        <f t="shared" si="287"/>
        <v>4.1203459222005092</v>
      </c>
      <c r="AS320" s="354">
        <f t="shared" si="288"/>
        <v>1.7854857661302093</v>
      </c>
      <c r="AT320" s="354">
        <f t="shared" si="289"/>
        <v>2.3348601560703002</v>
      </c>
      <c r="AU320" s="355" t="s">
        <v>396</v>
      </c>
      <c r="AV320" s="354" t="s">
        <v>346</v>
      </c>
      <c r="AW320" s="353">
        <v>0</v>
      </c>
      <c r="AX320" s="353">
        <v>0</v>
      </c>
      <c r="AY320" s="353">
        <v>0</v>
      </c>
      <c r="AZ320" s="353">
        <v>0</v>
      </c>
      <c r="BA320" s="353">
        <v>0</v>
      </c>
      <c r="BB320" s="353">
        <v>0</v>
      </c>
    </row>
    <row r="321" spans="1:54" x14ac:dyDescent="0.25">
      <c r="A321" s="348" t="s">
        <v>761</v>
      </c>
      <c r="B321" s="349">
        <v>8</v>
      </c>
      <c r="C321" s="380">
        <v>45078</v>
      </c>
      <c r="D321" s="351">
        <v>45107</v>
      </c>
      <c r="E321" s="352"/>
      <c r="F321" s="352">
        <v>6</v>
      </c>
      <c r="G321" s="429" t="s">
        <v>311</v>
      </c>
      <c r="H321" s="353" t="s">
        <v>796</v>
      </c>
      <c r="I321" s="350" t="s">
        <v>393</v>
      </c>
      <c r="J321" s="375">
        <v>102000</v>
      </c>
      <c r="K321" s="350" t="s">
        <v>394</v>
      </c>
      <c r="L321" s="354">
        <v>2803.6597999999999</v>
      </c>
      <c r="M321" s="375">
        <f t="shared" ref="M321:M326" si="295">J321/L321</f>
        <v>36.381018838305565</v>
      </c>
      <c r="N321" s="354" t="s">
        <v>395</v>
      </c>
      <c r="O321" s="354">
        <v>0</v>
      </c>
      <c r="P321" s="374">
        <f t="shared" si="185"/>
        <v>2.2923001408338251</v>
      </c>
      <c r="Q321" s="354">
        <f t="shared" si="260"/>
        <v>0.21619887282013148</v>
      </c>
      <c r="R321" s="354">
        <f t="shared" si="261"/>
        <v>0.36444841862663629</v>
      </c>
      <c r="S321" s="354">
        <f t="shared" si="262"/>
        <v>0.32464577130154365</v>
      </c>
      <c r="T321" s="354">
        <f t="shared" si="263"/>
        <v>1.3853875402875684</v>
      </c>
      <c r="U321" s="374">
        <f t="shared" si="264"/>
        <v>9.1999950882581061</v>
      </c>
      <c r="V321" s="354">
        <f t="shared" si="265"/>
        <v>0.24353045855698699</v>
      </c>
      <c r="W321" s="354">
        <f t="shared" si="266"/>
        <v>8.3073283310198018</v>
      </c>
      <c r="X321" s="354">
        <f t="shared" si="267"/>
        <v>0.64913629868131706</v>
      </c>
      <c r="Y321" s="374">
        <f t="shared" si="268"/>
        <v>1.3487052106985042</v>
      </c>
      <c r="Z321" s="354">
        <f t="shared" si="269"/>
        <v>0.6957431057293586</v>
      </c>
      <c r="AA321" s="354">
        <f t="shared" si="270"/>
        <v>0.65296210496914553</v>
      </c>
      <c r="AB321" s="374">
        <f t="shared" si="271"/>
        <v>7.3685104123855334</v>
      </c>
      <c r="AC321" s="354">
        <f t="shared" si="272"/>
        <v>2.0911285713828915</v>
      </c>
      <c r="AD321" s="354">
        <f t="shared" si="273"/>
        <v>4.5519223921577732</v>
      </c>
      <c r="AE321" s="354">
        <f t="shared" si="274"/>
        <v>0.72545944884486857</v>
      </c>
      <c r="AF321" s="374">
        <f t="shared" si="275"/>
        <v>5.8973815475998306</v>
      </c>
      <c r="AG321" s="354">
        <f t="shared" si="276"/>
        <v>0.37900526378054455</v>
      </c>
      <c r="AH321" s="354">
        <f t="shared" si="277"/>
        <v>1.9069278432803809</v>
      </c>
      <c r="AI321" s="354">
        <f t="shared" si="278"/>
        <v>0</v>
      </c>
      <c r="AJ321" s="354">
        <f t="shared" si="279"/>
        <v>3.6114484405389056</v>
      </c>
      <c r="AK321" s="374">
        <f t="shared" si="280"/>
        <v>3.8951794709790351</v>
      </c>
      <c r="AL321" s="354">
        <f t="shared" si="281"/>
        <v>1.1159947746512626</v>
      </c>
      <c r="AM321" s="354">
        <f t="shared" si="282"/>
        <v>2.6321432601617487</v>
      </c>
      <c r="AN321" s="354">
        <f t="shared" si="283"/>
        <v>0.14704143616602383</v>
      </c>
      <c r="AO321" s="374">
        <f t="shared" si="284"/>
        <v>2.2586010453502205</v>
      </c>
      <c r="AP321" s="354">
        <f t="shared" si="285"/>
        <v>0.51792097649893032</v>
      </c>
      <c r="AQ321" s="354">
        <f t="shared" si="286"/>
        <v>1.7406800688512902</v>
      </c>
      <c r="AR321" s="374">
        <f t="shared" si="287"/>
        <v>4.1203459222005092</v>
      </c>
      <c r="AS321" s="354">
        <f t="shared" si="288"/>
        <v>1.7854857661302093</v>
      </c>
      <c r="AT321" s="354">
        <f t="shared" si="289"/>
        <v>2.3348601560703002</v>
      </c>
      <c r="AU321" s="355" t="s">
        <v>396</v>
      </c>
      <c r="AV321" s="354" t="s">
        <v>346</v>
      </c>
      <c r="AW321" s="353">
        <v>0</v>
      </c>
      <c r="AX321" s="353">
        <v>0</v>
      </c>
      <c r="AY321" s="353">
        <v>0</v>
      </c>
      <c r="AZ321" s="353">
        <v>0</v>
      </c>
      <c r="BA321" s="353">
        <v>0</v>
      </c>
      <c r="BB321" s="353">
        <v>0</v>
      </c>
    </row>
    <row r="322" spans="1:54" x14ac:dyDescent="0.25">
      <c r="A322" s="348" t="s">
        <v>763</v>
      </c>
      <c r="B322" s="349">
        <v>8</v>
      </c>
      <c r="C322" s="380">
        <v>45078</v>
      </c>
      <c r="D322" s="351">
        <v>45107</v>
      </c>
      <c r="E322" s="352"/>
      <c r="F322" s="352">
        <v>6</v>
      </c>
      <c r="G322" s="429" t="s">
        <v>311</v>
      </c>
      <c r="H322" s="353" t="s">
        <v>797</v>
      </c>
      <c r="I322" s="350" t="s">
        <v>393</v>
      </c>
      <c r="J322" s="375">
        <v>102000</v>
      </c>
      <c r="K322" s="350" t="s">
        <v>394</v>
      </c>
      <c r="L322" s="354">
        <v>2803.6597999999999</v>
      </c>
      <c r="M322" s="375">
        <f t="shared" si="295"/>
        <v>36.381018838305565</v>
      </c>
      <c r="N322" s="354" t="s">
        <v>395</v>
      </c>
      <c r="O322" s="354">
        <v>0</v>
      </c>
      <c r="P322" s="374">
        <f t="shared" si="185"/>
        <v>2.2923001408338251</v>
      </c>
      <c r="Q322" s="354">
        <f t="shared" ref="Q322:Q325" si="296">P322*$Q$2</f>
        <v>0.21619887282013148</v>
      </c>
      <c r="R322" s="354">
        <f t="shared" ref="R322:R325" si="297">P322*$R$2</f>
        <v>0.36444841862663629</v>
      </c>
      <c r="S322" s="354">
        <f t="shared" ref="S322:S325" si="298">P322*$S$2</f>
        <v>0.32464577130154365</v>
      </c>
      <c r="T322" s="354">
        <f t="shared" ref="T322:T325" si="299">P322*$T$2</f>
        <v>1.3853875402875684</v>
      </c>
      <c r="U322" s="374">
        <f t="shared" ref="U322:U325" si="300">M322*$U$2</f>
        <v>9.1999950882581061</v>
      </c>
      <c r="V322" s="354">
        <f t="shared" ref="V322:V325" si="301">U322*$V$2</f>
        <v>0.24353045855698699</v>
      </c>
      <c r="W322" s="354">
        <f t="shared" ref="W322:W325" si="302">U322*$W$2</f>
        <v>8.3073283310198018</v>
      </c>
      <c r="X322" s="354">
        <f t="shared" ref="X322:X325" si="303">U322*$X$2</f>
        <v>0.64913629868131706</v>
      </c>
      <c r="Y322" s="374">
        <f t="shared" ref="Y322:Y325" si="304">M322*$Y$2</f>
        <v>1.3487052106985042</v>
      </c>
      <c r="Z322" s="354">
        <f t="shared" ref="Z322:Z325" si="305">Y322*$Z$2</f>
        <v>0.6957431057293586</v>
      </c>
      <c r="AA322" s="354">
        <f t="shared" ref="AA322:AA325" si="306">Y322*$AA$2</f>
        <v>0.65296210496914553</v>
      </c>
      <c r="AB322" s="374">
        <f t="shared" ref="AB322:AB325" si="307">M322*$AB$2</f>
        <v>7.3685104123855334</v>
      </c>
      <c r="AC322" s="354">
        <f t="shared" ref="AC322:AC325" si="308">AB322*$AC$2</f>
        <v>2.0911285713828915</v>
      </c>
      <c r="AD322" s="354">
        <f t="shared" ref="AD322:AD325" si="309">AB322*$AD$2</f>
        <v>4.5519223921577732</v>
      </c>
      <c r="AE322" s="354">
        <f t="shared" ref="AE322:AE325" si="310">AB322*$AE$2</f>
        <v>0.72545944884486857</v>
      </c>
      <c r="AF322" s="374">
        <f t="shared" ref="AF322:AF325" si="311">M322*$AF$2</f>
        <v>5.8973815475998306</v>
      </c>
      <c r="AG322" s="354">
        <f t="shared" ref="AG322:AG325" si="312">AF322*$AG$2</f>
        <v>0.37900526378054455</v>
      </c>
      <c r="AH322" s="354">
        <f t="shared" ref="AH322:AH325" si="313">AF322*$AH$2</f>
        <v>1.9069278432803809</v>
      </c>
      <c r="AI322" s="354">
        <f t="shared" ref="AI322:AI325" si="314">AF322*$AI$2</f>
        <v>0</v>
      </c>
      <c r="AJ322" s="354">
        <f t="shared" ref="AJ322:AJ325" si="315">AF322*$AJ$2</f>
        <v>3.6114484405389056</v>
      </c>
      <c r="AK322" s="374">
        <f t="shared" ref="AK322:AK325" si="316">M322*$AK$2</f>
        <v>3.8951794709790351</v>
      </c>
      <c r="AL322" s="354">
        <f t="shared" ref="AL322:AL325" si="317">AK322*$AL$2</f>
        <v>1.1159947746512626</v>
      </c>
      <c r="AM322" s="354">
        <f t="shared" ref="AM322:AM325" si="318">AK322*$AM$2</f>
        <v>2.6321432601617487</v>
      </c>
      <c r="AN322" s="354">
        <f t="shared" ref="AN322:AN325" si="319">AK322*$AN$2</f>
        <v>0.14704143616602383</v>
      </c>
      <c r="AO322" s="374">
        <f t="shared" ref="AO322:AO325" si="320">M322*$AO$2</f>
        <v>2.2586010453502205</v>
      </c>
      <c r="AP322" s="354">
        <f t="shared" ref="AP322:AP325" si="321">AO322*$AP$2</f>
        <v>0.51792097649893032</v>
      </c>
      <c r="AQ322" s="354">
        <f t="shared" ref="AQ322:AQ325" si="322">AO322*$AQ$2</f>
        <v>1.7406800688512902</v>
      </c>
      <c r="AR322" s="374">
        <f t="shared" ref="AR322:AR325" si="323">M322*$AR$2</f>
        <v>4.1203459222005092</v>
      </c>
      <c r="AS322" s="354">
        <f t="shared" ref="AS322:AS325" si="324">AR322*$AS$2</f>
        <v>1.7854857661302093</v>
      </c>
      <c r="AT322" s="354">
        <f t="shared" ref="AT322:AT325" si="325">AR322*$AT$2</f>
        <v>2.3348601560703002</v>
      </c>
      <c r="AU322" s="355" t="s">
        <v>396</v>
      </c>
      <c r="AV322" s="354" t="s">
        <v>346</v>
      </c>
      <c r="AW322" s="353">
        <v>0</v>
      </c>
      <c r="AX322" s="353">
        <v>0</v>
      </c>
      <c r="AY322" s="353">
        <v>0</v>
      </c>
      <c r="AZ322" s="353">
        <v>0</v>
      </c>
      <c r="BA322" s="353">
        <v>0</v>
      </c>
      <c r="BB322" s="353">
        <v>0</v>
      </c>
    </row>
    <row r="323" spans="1:54" x14ac:dyDescent="0.25">
      <c r="A323" s="348" t="s">
        <v>765</v>
      </c>
      <c r="B323" s="349">
        <v>8</v>
      </c>
      <c r="C323" s="380">
        <v>45078</v>
      </c>
      <c r="D323" s="351">
        <v>45107</v>
      </c>
      <c r="E323" s="352"/>
      <c r="F323" s="352">
        <v>6</v>
      </c>
      <c r="G323" s="429" t="s">
        <v>311</v>
      </c>
      <c r="H323" s="353" t="s">
        <v>798</v>
      </c>
      <c r="I323" s="350" t="s">
        <v>393</v>
      </c>
      <c r="J323" s="375">
        <v>102000</v>
      </c>
      <c r="K323" s="350" t="s">
        <v>394</v>
      </c>
      <c r="L323" s="354">
        <v>2803.6597999999999</v>
      </c>
      <c r="M323" s="375">
        <f t="shared" si="295"/>
        <v>36.381018838305565</v>
      </c>
      <c r="N323" s="354" t="s">
        <v>395</v>
      </c>
      <c r="O323" s="354">
        <v>0</v>
      </c>
      <c r="P323" s="374">
        <f t="shared" si="185"/>
        <v>2.2923001408338251</v>
      </c>
      <c r="Q323" s="354">
        <f>P323*$Q$2</f>
        <v>0.21619887282013148</v>
      </c>
      <c r="R323" s="354">
        <f t="shared" si="297"/>
        <v>0.36444841862663629</v>
      </c>
      <c r="S323" s="354">
        <f t="shared" si="298"/>
        <v>0.32464577130154365</v>
      </c>
      <c r="T323" s="354">
        <f t="shared" si="299"/>
        <v>1.3853875402875684</v>
      </c>
      <c r="U323" s="374">
        <f t="shared" si="300"/>
        <v>9.1999950882581061</v>
      </c>
      <c r="V323" s="354">
        <f t="shared" si="301"/>
        <v>0.24353045855698699</v>
      </c>
      <c r="W323" s="354">
        <f t="shared" si="302"/>
        <v>8.3073283310198018</v>
      </c>
      <c r="X323" s="354">
        <f t="shared" si="303"/>
        <v>0.64913629868131706</v>
      </c>
      <c r="Y323" s="374">
        <f t="shared" si="304"/>
        <v>1.3487052106985042</v>
      </c>
      <c r="Z323" s="354">
        <f t="shared" si="305"/>
        <v>0.6957431057293586</v>
      </c>
      <c r="AA323" s="354">
        <f t="shared" si="306"/>
        <v>0.65296210496914553</v>
      </c>
      <c r="AB323" s="374">
        <f t="shared" si="307"/>
        <v>7.3685104123855334</v>
      </c>
      <c r="AC323" s="354">
        <f t="shared" si="308"/>
        <v>2.0911285713828915</v>
      </c>
      <c r="AD323" s="354">
        <f t="shared" si="309"/>
        <v>4.5519223921577732</v>
      </c>
      <c r="AE323" s="354">
        <f t="shared" si="310"/>
        <v>0.72545944884486857</v>
      </c>
      <c r="AF323" s="374">
        <f t="shared" si="311"/>
        <v>5.8973815475998306</v>
      </c>
      <c r="AG323" s="354">
        <f t="shared" si="312"/>
        <v>0.37900526378054455</v>
      </c>
      <c r="AH323" s="354">
        <f t="shared" si="313"/>
        <v>1.9069278432803809</v>
      </c>
      <c r="AI323" s="354">
        <f t="shared" si="314"/>
        <v>0</v>
      </c>
      <c r="AJ323" s="354">
        <f t="shared" si="315"/>
        <v>3.6114484405389056</v>
      </c>
      <c r="AK323" s="374">
        <f t="shared" si="316"/>
        <v>3.8951794709790351</v>
      </c>
      <c r="AL323" s="354">
        <f t="shared" si="317"/>
        <v>1.1159947746512626</v>
      </c>
      <c r="AM323" s="354">
        <f t="shared" si="318"/>
        <v>2.6321432601617487</v>
      </c>
      <c r="AN323" s="354">
        <f t="shared" si="319"/>
        <v>0.14704143616602383</v>
      </c>
      <c r="AO323" s="374">
        <f t="shared" si="320"/>
        <v>2.2586010453502205</v>
      </c>
      <c r="AP323" s="354">
        <f t="shared" si="321"/>
        <v>0.51792097649893032</v>
      </c>
      <c r="AQ323" s="354">
        <f t="shared" si="322"/>
        <v>1.7406800688512902</v>
      </c>
      <c r="AR323" s="374">
        <f t="shared" si="323"/>
        <v>4.1203459222005092</v>
      </c>
      <c r="AS323" s="354">
        <f t="shared" si="324"/>
        <v>1.7854857661302093</v>
      </c>
      <c r="AT323" s="354">
        <f t="shared" si="325"/>
        <v>2.3348601560703002</v>
      </c>
      <c r="AU323" s="355" t="s">
        <v>396</v>
      </c>
      <c r="AV323" s="354" t="s">
        <v>346</v>
      </c>
      <c r="AW323" s="353">
        <v>0</v>
      </c>
      <c r="AX323" s="353">
        <v>0</v>
      </c>
      <c r="AY323" s="353">
        <v>0</v>
      </c>
      <c r="AZ323" s="353">
        <v>0</v>
      </c>
      <c r="BA323" s="353">
        <v>0</v>
      </c>
      <c r="BB323" s="353">
        <v>0</v>
      </c>
    </row>
    <row r="324" spans="1:54" x14ac:dyDescent="0.25">
      <c r="A324" s="348" t="s">
        <v>767</v>
      </c>
      <c r="B324" s="349">
        <v>8</v>
      </c>
      <c r="C324" s="380">
        <v>45078</v>
      </c>
      <c r="D324" s="351">
        <v>45107</v>
      </c>
      <c r="E324" s="352"/>
      <c r="F324" s="352">
        <v>6</v>
      </c>
      <c r="G324" s="429" t="s">
        <v>311</v>
      </c>
      <c r="H324" s="353" t="s">
        <v>799</v>
      </c>
      <c r="I324" s="350" t="s">
        <v>393</v>
      </c>
      <c r="J324" s="375">
        <v>102000</v>
      </c>
      <c r="K324" s="350" t="s">
        <v>394</v>
      </c>
      <c r="L324" s="354">
        <v>2803.6597999999999</v>
      </c>
      <c r="M324" s="375">
        <f t="shared" si="295"/>
        <v>36.381018838305565</v>
      </c>
      <c r="N324" s="354" t="s">
        <v>395</v>
      </c>
      <c r="O324" s="354">
        <v>0</v>
      </c>
      <c r="P324" s="374">
        <f t="shared" si="185"/>
        <v>2.2923001408338251</v>
      </c>
      <c r="Q324" s="354">
        <f t="shared" si="296"/>
        <v>0.21619887282013148</v>
      </c>
      <c r="R324" s="354">
        <f t="shared" si="297"/>
        <v>0.36444841862663629</v>
      </c>
      <c r="S324" s="354">
        <f t="shared" si="298"/>
        <v>0.32464577130154365</v>
      </c>
      <c r="T324" s="354">
        <f t="shared" si="299"/>
        <v>1.3853875402875684</v>
      </c>
      <c r="U324" s="374">
        <f t="shared" si="300"/>
        <v>9.1999950882581061</v>
      </c>
      <c r="V324" s="354">
        <f t="shared" si="301"/>
        <v>0.24353045855698699</v>
      </c>
      <c r="W324" s="354">
        <f t="shared" si="302"/>
        <v>8.3073283310198018</v>
      </c>
      <c r="X324" s="354">
        <f t="shared" si="303"/>
        <v>0.64913629868131706</v>
      </c>
      <c r="Y324" s="374">
        <f t="shared" si="304"/>
        <v>1.3487052106985042</v>
      </c>
      <c r="Z324" s="354">
        <f t="shared" si="305"/>
        <v>0.6957431057293586</v>
      </c>
      <c r="AA324" s="354">
        <f t="shared" si="306"/>
        <v>0.65296210496914553</v>
      </c>
      <c r="AB324" s="374">
        <f t="shared" si="307"/>
        <v>7.3685104123855334</v>
      </c>
      <c r="AC324" s="354">
        <f t="shared" si="308"/>
        <v>2.0911285713828915</v>
      </c>
      <c r="AD324" s="354">
        <f t="shared" si="309"/>
        <v>4.5519223921577732</v>
      </c>
      <c r="AE324" s="354">
        <f t="shared" si="310"/>
        <v>0.72545944884486857</v>
      </c>
      <c r="AF324" s="374">
        <f t="shared" si="311"/>
        <v>5.8973815475998306</v>
      </c>
      <c r="AG324" s="354">
        <f t="shared" si="312"/>
        <v>0.37900526378054455</v>
      </c>
      <c r="AH324" s="354">
        <f t="shared" si="313"/>
        <v>1.9069278432803809</v>
      </c>
      <c r="AI324" s="354">
        <f t="shared" si="314"/>
        <v>0</v>
      </c>
      <c r="AJ324" s="354">
        <f t="shared" si="315"/>
        <v>3.6114484405389056</v>
      </c>
      <c r="AK324" s="374">
        <f t="shared" si="316"/>
        <v>3.8951794709790351</v>
      </c>
      <c r="AL324" s="354">
        <f t="shared" si="317"/>
        <v>1.1159947746512626</v>
      </c>
      <c r="AM324" s="354">
        <f t="shared" si="318"/>
        <v>2.6321432601617487</v>
      </c>
      <c r="AN324" s="354">
        <f t="shared" si="319"/>
        <v>0.14704143616602383</v>
      </c>
      <c r="AO324" s="374">
        <f t="shared" si="320"/>
        <v>2.2586010453502205</v>
      </c>
      <c r="AP324" s="354">
        <f t="shared" si="321"/>
        <v>0.51792097649893032</v>
      </c>
      <c r="AQ324" s="354">
        <f t="shared" si="322"/>
        <v>1.7406800688512902</v>
      </c>
      <c r="AR324" s="374">
        <f t="shared" si="323"/>
        <v>4.1203459222005092</v>
      </c>
      <c r="AS324" s="354">
        <f t="shared" si="324"/>
        <v>1.7854857661302093</v>
      </c>
      <c r="AT324" s="354">
        <f t="shared" si="325"/>
        <v>2.3348601560703002</v>
      </c>
      <c r="AU324" s="355" t="s">
        <v>396</v>
      </c>
      <c r="AV324" s="354" t="s">
        <v>346</v>
      </c>
      <c r="AW324" s="353">
        <v>0</v>
      </c>
      <c r="AX324" s="353">
        <v>0</v>
      </c>
      <c r="AY324" s="353">
        <v>0</v>
      </c>
      <c r="AZ324" s="353">
        <v>0</v>
      </c>
      <c r="BA324" s="353">
        <v>0</v>
      </c>
      <c r="BB324" s="353">
        <v>0</v>
      </c>
    </row>
    <row r="325" spans="1:54" x14ac:dyDescent="0.25">
      <c r="A325" s="348" t="s">
        <v>769</v>
      </c>
      <c r="B325" s="349">
        <v>8</v>
      </c>
      <c r="C325" s="380">
        <v>45078</v>
      </c>
      <c r="D325" s="351">
        <v>45107</v>
      </c>
      <c r="E325" s="352"/>
      <c r="F325" s="352">
        <v>6</v>
      </c>
      <c r="G325" s="429" t="s">
        <v>311</v>
      </c>
      <c r="H325" s="353" t="s">
        <v>800</v>
      </c>
      <c r="I325" s="350" t="s">
        <v>393</v>
      </c>
      <c r="J325" s="375">
        <v>102000</v>
      </c>
      <c r="K325" s="350" t="s">
        <v>394</v>
      </c>
      <c r="L325" s="354">
        <v>2803.6597999999999</v>
      </c>
      <c r="M325" s="375">
        <f t="shared" si="295"/>
        <v>36.381018838305565</v>
      </c>
      <c r="N325" s="354" t="s">
        <v>395</v>
      </c>
      <c r="O325" s="354">
        <v>0</v>
      </c>
      <c r="P325" s="374">
        <f t="shared" si="185"/>
        <v>2.2923001408338251</v>
      </c>
      <c r="Q325" s="354">
        <f t="shared" si="296"/>
        <v>0.21619887282013148</v>
      </c>
      <c r="R325" s="354">
        <f t="shared" si="297"/>
        <v>0.36444841862663629</v>
      </c>
      <c r="S325" s="354">
        <f t="shared" si="298"/>
        <v>0.32464577130154365</v>
      </c>
      <c r="T325" s="354">
        <f t="shared" si="299"/>
        <v>1.3853875402875684</v>
      </c>
      <c r="U325" s="374">
        <f t="shared" si="300"/>
        <v>9.1999950882581061</v>
      </c>
      <c r="V325" s="354">
        <f t="shared" si="301"/>
        <v>0.24353045855698699</v>
      </c>
      <c r="W325" s="354">
        <f t="shared" si="302"/>
        <v>8.3073283310198018</v>
      </c>
      <c r="X325" s="354">
        <f t="shared" si="303"/>
        <v>0.64913629868131706</v>
      </c>
      <c r="Y325" s="374">
        <f t="shared" si="304"/>
        <v>1.3487052106985042</v>
      </c>
      <c r="Z325" s="354">
        <f t="shared" si="305"/>
        <v>0.6957431057293586</v>
      </c>
      <c r="AA325" s="354">
        <f t="shared" si="306"/>
        <v>0.65296210496914553</v>
      </c>
      <c r="AB325" s="374">
        <f t="shared" si="307"/>
        <v>7.3685104123855334</v>
      </c>
      <c r="AC325" s="354">
        <f t="shared" si="308"/>
        <v>2.0911285713828915</v>
      </c>
      <c r="AD325" s="354">
        <f t="shared" si="309"/>
        <v>4.5519223921577732</v>
      </c>
      <c r="AE325" s="354">
        <f t="shared" si="310"/>
        <v>0.72545944884486857</v>
      </c>
      <c r="AF325" s="374">
        <f t="shared" si="311"/>
        <v>5.8973815475998306</v>
      </c>
      <c r="AG325" s="354">
        <f t="shared" si="312"/>
        <v>0.37900526378054455</v>
      </c>
      <c r="AH325" s="354">
        <f t="shared" si="313"/>
        <v>1.9069278432803809</v>
      </c>
      <c r="AI325" s="354">
        <f t="shared" si="314"/>
        <v>0</v>
      </c>
      <c r="AJ325" s="354">
        <f t="shared" si="315"/>
        <v>3.6114484405389056</v>
      </c>
      <c r="AK325" s="374">
        <f t="shared" si="316"/>
        <v>3.8951794709790351</v>
      </c>
      <c r="AL325" s="354">
        <f t="shared" si="317"/>
        <v>1.1159947746512626</v>
      </c>
      <c r="AM325" s="354">
        <f t="shared" si="318"/>
        <v>2.6321432601617487</v>
      </c>
      <c r="AN325" s="354">
        <f t="shared" si="319"/>
        <v>0.14704143616602383</v>
      </c>
      <c r="AO325" s="374">
        <f t="shared" si="320"/>
        <v>2.2586010453502205</v>
      </c>
      <c r="AP325" s="354">
        <f t="shared" si="321"/>
        <v>0.51792097649893032</v>
      </c>
      <c r="AQ325" s="354">
        <f t="shared" si="322"/>
        <v>1.7406800688512902</v>
      </c>
      <c r="AR325" s="374">
        <f t="shared" si="323"/>
        <v>4.1203459222005092</v>
      </c>
      <c r="AS325" s="354">
        <f t="shared" si="324"/>
        <v>1.7854857661302093</v>
      </c>
      <c r="AT325" s="354">
        <f t="shared" si="325"/>
        <v>2.3348601560703002</v>
      </c>
      <c r="AU325" s="355" t="s">
        <v>396</v>
      </c>
      <c r="AV325" s="354" t="s">
        <v>346</v>
      </c>
      <c r="AW325" s="353">
        <v>0</v>
      </c>
      <c r="AX325" s="353">
        <v>0</v>
      </c>
      <c r="AY325" s="353">
        <v>0</v>
      </c>
      <c r="AZ325" s="353">
        <v>0</v>
      </c>
      <c r="BA325" s="353">
        <v>0</v>
      </c>
      <c r="BB325" s="353">
        <v>0</v>
      </c>
    </row>
    <row r="326" spans="1:54" x14ac:dyDescent="0.25">
      <c r="A326" s="348" t="s">
        <v>820</v>
      </c>
      <c r="B326" s="349">
        <v>9</v>
      </c>
      <c r="C326" s="380">
        <v>45078</v>
      </c>
      <c r="D326" s="351">
        <v>45089</v>
      </c>
      <c r="E326" s="352"/>
      <c r="F326" s="352">
        <v>6</v>
      </c>
      <c r="G326" s="352" t="s">
        <v>334</v>
      </c>
      <c r="H326" s="353" t="s">
        <v>821</v>
      </c>
      <c r="I326" s="350" t="s">
        <v>393</v>
      </c>
      <c r="J326" s="375">
        <f>70.82*2823.97</f>
        <v>199993.55539999995</v>
      </c>
      <c r="K326" s="350" t="s">
        <v>394</v>
      </c>
      <c r="L326" s="354">
        <v>2823.97</v>
      </c>
      <c r="M326" s="375">
        <f t="shared" si="295"/>
        <v>70.819999999999993</v>
      </c>
      <c r="N326" s="354" t="s">
        <v>395</v>
      </c>
      <c r="O326" s="354">
        <v>0</v>
      </c>
      <c r="P326" s="374">
        <f t="shared" ref="P326" si="326">M326*$P$2</f>
        <v>4.4622361098618546</v>
      </c>
      <c r="Q326" s="354">
        <f t="shared" ref="Q326" si="327">P326*$Q$2</f>
        <v>0.4208569375467997</v>
      </c>
      <c r="R326" s="354">
        <f t="shared" ref="R326" si="328">P326*$R$2</f>
        <v>0.70944239142535459</v>
      </c>
      <c r="S326" s="354">
        <f t="shared" ref="S326" si="329">P326*$S$2</f>
        <v>0.63196178275710257</v>
      </c>
      <c r="T326" s="354">
        <f t="shared" ref="T326" si="330">P326*$T$2</f>
        <v>2.6968223743053144</v>
      </c>
      <c r="U326" s="374">
        <f t="shared" ref="U326" si="331">M326*$U$2</f>
        <v>17.908889661562441</v>
      </c>
      <c r="V326" s="354">
        <f t="shared" ref="V326" si="332">U326*$V$2</f>
        <v>0.47406113478181749</v>
      </c>
      <c r="W326" s="354">
        <f t="shared" ref="W326" si="333">U326*$W$2</f>
        <v>16.171207162108804</v>
      </c>
      <c r="X326" s="354">
        <f t="shared" ref="X326" si="334">U326*$X$2</f>
        <v>1.26362136467182</v>
      </c>
      <c r="Y326" s="374">
        <f t="shared" ref="Y326" si="335">M326*$Y$2</f>
        <v>2.6254158369281297</v>
      </c>
      <c r="Z326" s="354">
        <f t="shared" ref="Z326" si="336">Y326*$Z$2</f>
        <v>1.3543470832068656</v>
      </c>
      <c r="AA326" s="354">
        <f t="shared" ref="AA326" si="337">Y326*$AA$2</f>
        <v>1.2710687537212639</v>
      </c>
      <c r="AB326" s="374">
        <f t="shared" ref="AB326" si="338">M326*$AB$2</f>
        <v>14.343685912822771</v>
      </c>
      <c r="AC326" s="354">
        <f t="shared" ref="AC326" si="339">AB326*$AC$2</f>
        <v>4.0706316137966017</v>
      </c>
      <c r="AD326" s="354">
        <f t="shared" ref="AD326" si="340">AB326*$AD$2</f>
        <v>8.8608608034141465</v>
      </c>
      <c r="AE326" s="354">
        <f t="shared" ref="AE326" si="341">AB326*$AE$2</f>
        <v>1.4121934956120226</v>
      </c>
      <c r="AF326" s="374">
        <f t="shared" ref="AF326" si="342">M326*$AF$2</f>
        <v>11.479957805944503</v>
      </c>
      <c r="AG326" s="354">
        <f t="shared" ref="AG326" si="343">AF326*$AG$2</f>
        <v>0.73777902978014243</v>
      </c>
      <c r="AH326" s="354">
        <f t="shared" ref="AH326" si="344">AF326*$AH$2</f>
        <v>3.7120628881048243</v>
      </c>
      <c r="AI326" s="354">
        <f t="shared" ref="AI326" si="345">AF326*$AI$2</f>
        <v>0</v>
      </c>
      <c r="AJ326" s="354">
        <f t="shared" ref="AJ326" si="346">AF326*$AJ$2</f>
        <v>7.0301158880595374</v>
      </c>
      <c r="AK326" s="374">
        <f t="shared" ref="AK326" si="347">M326*$AK$2</f>
        <v>7.5824322392061738</v>
      </c>
      <c r="AL326" s="354">
        <f t="shared" ref="AL326" si="348">AK326*$AL$2</f>
        <v>2.1724171687458833</v>
      </c>
      <c r="AM326" s="354">
        <f t="shared" ref="AM326" si="349">AK326*$AM$2</f>
        <v>5.1237813463427715</v>
      </c>
      <c r="AN326" s="354">
        <f t="shared" ref="AN326" si="350">AK326*$AN$2</f>
        <v>0.28623372411751874</v>
      </c>
      <c r="AO326" s="374">
        <f t="shared" ref="AO326" si="351">M326*$AO$2</f>
        <v>4.3966367941099804</v>
      </c>
      <c r="AP326" s="354">
        <f t="shared" ref="AP326" si="352">AO326*$AP$2</f>
        <v>1.0081950623393414</v>
      </c>
      <c r="AQ326" s="354">
        <f t="shared" ref="AQ326" si="353">AO326*$AQ$2</f>
        <v>3.388441731770639</v>
      </c>
      <c r="AR326" s="374">
        <f t="shared" ref="AR326" si="354">M326*$AR$2</f>
        <v>8.0207456395641348</v>
      </c>
      <c r="AS326" s="354">
        <f t="shared" ref="AS326" si="355">AR326*$AS$2</f>
        <v>3.4756613749421503</v>
      </c>
      <c r="AT326" s="354">
        <f t="shared" ref="AT326" si="356">AR326*$AT$2</f>
        <v>4.5450842646219849</v>
      </c>
      <c r="AU326" s="355" t="s">
        <v>396</v>
      </c>
      <c r="AV326" s="354" t="s">
        <v>346</v>
      </c>
      <c r="AW326" s="353">
        <v>0</v>
      </c>
      <c r="AX326" s="353">
        <v>0</v>
      </c>
      <c r="AY326" s="353">
        <v>0</v>
      </c>
      <c r="AZ326" s="353">
        <v>0</v>
      </c>
      <c r="BA326" s="353">
        <v>0</v>
      </c>
      <c r="BB326" s="353">
        <v>0</v>
      </c>
    </row>
    <row r="327" spans="1:54" x14ac:dyDescent="0.25">
      <c r="A327" s="348" t="s">
        <v>822</v>
      </c>
      <c r="B327" s="436" t="s">
        <v>823</v>
      </c>
      <c r="C327" s="380">
        <v>45108</v>
      </c>
      <c r="D327" s="351">
        <v>45126</v>
      </c>
      <c r="E327" s="352"/>
      <c r="F327" s="352">
        <v>6</v>
      </c>
      <c r="G327" s="427" t="s">
        <v>824</v>
      </c>
      <c r="H327" s="350" t="s">
        <v>825</v>
      </c>
      <c r="I327" s="350" t="s">
        <v>393</v>
      </c>
      <c r="J327" s="556">
        <v>200000</v>
      </c>
      <c r="K327" s="350" t="s">
        <v>394</v>
      </c>
      <c r="L327" s="353">
        <v>2830.26</v>
      </c>
      <c r="M327" s="560">
        <f t="shared" ref="M327:M331" si="357">+J327/L327</f>
        <v>70.664885911541688</v>
      </c>
      <c r="N327" s="354" t="s">
        <v>395</v>
      </c>
      <c r="O327" s="354">
        <v>0</v>
      </c>
      <c r="P327" s="374">
        <f t="shared" ref="P327:P331" si="358">M327*$P$2</f>
        <v>4.4524626604596103</v>
      </c>
      <c r="Q327" s="354">
        <f t="shared" ref="Q327:Q331" si="359">P327*$Q$2</f>
        <v>0.41993515217206201</v>
      </c>
      <c r="R327" s="354">
        <f t="shared" ref="R327:R331" si="360">P327*$R$2</f>
        <v>0.70788852938271662</v>
      </c>
      <c r="S327" s="354">
        <f t="shared" ref="S327:S331" si="361">P327*$S$2</f>
        <v>0.6305776232559327</v>
      </c>
      <c r="T327" s="354">
        <f t="shared" ref="T327:T331" si="362">P327*$T$2</f>
        <v>2.6909156368819267</v>
      </c>
      <c r="U327" s="374">
        <f t="shared" ref="U327:U331" si="363">M327*$U$2</f>
        <v>17.86966456843686</v>
      </c>
      <c r="V327" s="354">
        <f t="shared" ref="V327:V331" si="364">U327*$V$2</f>
        <v>0.47302281847575717</v>
      </c>
      <c r="W327" s="354">
        <f t="shared" ref="W327:W331" si="365">U327*$W$2</f>
        <v>16.135788042393738</v>
      </c>
      <c r="X327" s="354">
        <f t="shared" ref="X327:X331" si="366">U327*$X$2</f>
        <v>1.2608537075673649</v>
      </c>
      <c r="Y327" s="374">
        <f t="shared" ref="Y327:Y331" si="367">M327*$Y$2</f>
        <v>2.6196654982615231</v>
      </c>
      <c r="Z327" s="354">
        <f t="shared" ref="Z327:Z331" si="368">Y327*$Z$2</f>
        <v>1.3513807133499356</v>
      </c>
      <c r="AA327" s="354">
        <f t="shared" ref="AA327:AA331" si="369">Y327*$AA$2</f>
        <v>1.2682847849115875</v>
      </c>
      <c r="AB327" s="374">
        <f t="shared" ref="AB327:AB331" si="370">M327*$AB$2</f>
        <v>14.312269536580189</v>
      </c>
      <c r="AC327" s="354">
        <f t="shared" ref="AC327:AC331" si="371">AB327*$AC$2</f>
        <v>4.0617158793681405</v>
      </c>
      <c r="AD327" s="354">
        <f t="shared" ref="AD327:AD331" si="372">AB327*$AD$2</f>
        <v>8.8414532300382991</v>
      </c>
      <c r="AE327" s="354">
        <f t="shared" ref="AE327:AE331" si="373">AB327*$AE$2</f>
        <v>1.4091004271737482</v>
      </c>
      <c r="AF327" s="374">
        <f t="shared" ref="AF327:AF331" si="374">M327*$AF$2</f>
        <v>11.454813733781146</v>
      </c>
      <c r="AG327" s="354">
        <f t="shared" ref="AG327:AG331" si="375">AF327*$AG$2</f>
        <v>0.73616310318189326</v>
      </c>
      <c r="AH327" s="354">
        <f t="shared" ref="AH327:AH331" si="376">AF327*$AH$2</f>
        <v>3.7039325117819168</v>
      </c>
      <c r="AI327" s="354">
        <f t="shared" ref="AI327:AI331" si="377">AF327*$AI$2</f>
        <v>0</v>
      </c>
      <c r="AJ327" s="354">
        <f t="shared" ref="AJ327:AJ331" si="378">AF327*$AJ$2</f>
        <v>7.0147181188173366</v>
      </c>
      <c r="AK327" s="374">
        <f t="shared" ref="AK327:AK331" si="379">M327*$AK$2</f>
        <v>7.5658247545255559</v>
      </c>
      <c r="AL327" s="354">
        <f t="shared" ref="AL327:AL331" si="380">AK327*$AL$2</f>
        <v>2.1676590141443413</v>
      </c>
      <c r="AM327" s="354">
        <f t="shared" ref="AM327:AM331" si="381">AK327*$AM$2</f>
        <v>5.1125589420361122</v>
      </c>
      <c r="AN327" s="354">
        <f t="shared" ref="AN327:AN331" si="382">AK327*$AN$2</f>
        <v>0.28560679834510255</v>
      </c>
      <c r="AO327" s="374">
        <f t="shared" ref="AO327:AO331" si="383">M327*$AO$2</f>
        <v>4.3870070241495087</v>
      </c>
      <c r="AP327" s="354">
        <f t="shared" ref="AP327:AP331" si="384">AO327*$AP$2</f>
        <v>1.0059868547979276</v>
      </c>
      <c r="AQ327" s="354">
        <f t="shared" ref="AQ327:AQ331" si="385">AO327*$AQ$2</f>
        <v>3.3810201693515811</v>
      </c>
      <c r="AR327" s="374">
        <f t="shared" ref="AR327:AR331" si="386">M327*$AR$2</f>
        <v>8.0031781353472908</v>
      </c>
      <c r="AS327" s="354">
        <f t="shared" ref="AS327:AS331" si="387">AR327*$AS$2</f>
        <v>3.4680487789810677</v>
      </c>
      <c r="AT327" s="354">
        <f t="shared" ref="AT327:AT331" si="388">AR327*$AT$2</f>
        <v>4.5351293563662241</v>
      </c>
      <c r="AU327" s="355" t="s">
        <v>396</v>
      </c>
      <c r="AV327" s="354" t="s">
        <v>344</v>
      </c>
      <c r="AW327" s="353">
        <v>0</v>
      </c>
      <c r="AX327" s="353">
        <v>0</v>
      </c>
      <c r="AY327" s="353">
        <v>0</v>
      </c>
      <c r="AZ327" s="353">
        <v>0</v>
      </c>
      <c r="BA327" s="353">
        <v>0</v>
      </c>
      <c r="BB327" s="353">
        <v>0</v>
      </c>
    </row>
    <row r="328" spans="1:54" x14ac:dyDescent="0.25">
      <c r="A328" s="348" t="s">
        <v>826</v>
      </c>
      <c r="B328" s="349">
        <v>3</v>
      </c>
      <c r="C328" s="423">
        <v>45161</v>
      </c>
      <c r="D328" s="351">
        <v>45167</v>
      </c>
      <c r="E328" s="352"/>
      <c r="F328" s="352">
        <v>6</v>
      </c>
      <c r="G328" s="429" t="s">
        <v>828</v>
      </c>
      <c r="H328" s="350" t="s">
        <v>829</v>
      </c>
      <c r="I328" s="350" t="s">
        <v>393</v>
      </c>
      <c r="J328" s="560">
        <v>189000</v>
      </c>
      <c r="K328" s="350" t="s">
        <v>394</v>
      </c>
      <c r="L328" s="353">
        <v>2830.26</v>
      </c>
      <c r="M328" s="560">
        <f t="shared" si="357"/>
        <v>66.778317186406895</v>
      </c>
      <c r="N328" s="354" t="s">
        <v>395</v>
      </c>
      <c r="O328" s="354">
        <v>0</v>
      </c>
      <c r="P328" s="374">
        <f t="shared" si="358"/>
        <v>4.2075772141343322</v>
      </c>
      <c r="Q328" s="354">
        <f t="shared" si="359"/>
        <v>0.39683871880259863</v>
      </c>
      <c r="R328" s="354">
        <f t="shared" si="360"/>
        <v>0.66895466026666728</v>
      </c>
      <c r="S328" s="354">
        <f t="shared" si="361"/>
        <v>0.5958958539768564</v>
      </c>
      <c r="T328" s="354">
        <f t="shared" si="362"/>
        <v>2.5429152768534209</v>
      </c>
      <c r="U328" s="374">
        <f t="shared" si="363"/>
        <v>16.886833017172833</v>
      </c>
      <c r="V328" s="354">
        <f t="shared" si="364"/>
        <v>0.44700656345959056</v>
      </c>
      <c r="W328" s="354">
        <f t="shared" si="365"/>
        <v>15.248319700062083</v>
      </c>
      <c r="X328" s="354">
        <f t="shared" si="366"/>
        <v>1.1915067536511599</v>
      </c>
      <c r="Y328" s="374">
        <f t="shared" si="367"/>
        <v>2.475583895857139</v>
      </c>
      <c r="Z328" s="354">
        <f t="shared" si="368"/>
        <v>1.2770547741156888</v>
      </c>
      <c r="AA328" s="354">
        <f t="shared" si="369"/>
        <v>1.19852912174145</v>
      </c>
      <c r="AB328" s="374">
        <f t="shared" si="370"/>
        <v>13.525094712068277</v>
      </c>
      <c r="AC328" s="354">
        <f t="shared" si="371"/>
        <v>3.8383215060028926</v>
      </c>
      <c r="AD328" s="354">
        <f t="shared" si="372"/>
        <v>8.3551733023861932</v>
      </c>
      <c r="AE328" s="354">
        <f t="shared" si="373"/>
        <v>1.3315999036791919</v>
      </c>
      <c r="AF328" s="374">
        <f t="shared" si="374"/>
        <v>10.824798978423182</v>
      </c>
      <c r="AG328" s="354">
        <f t="shared" si="375"/>
        <v>0.69567413250688914</v>
      </c>
      <c r="AH328" s="354">
        <f t="shared" si="376"/>
        <v>3.5002162236339109</v>
      </c>
      <c r="AI328" s="354">
        <f t="shared" si="377"/>
        <v>0</v>
      </c>
      <c r="AJ328" s="354">
        <f t="shared" si="378"/>
        <v>6.6289086222823821</v>
      </c>
      <c r="AK328" s="374">
        <f t="shared" si="379"/>
        <v>7.1497043930266502</v>
      </c>
      <c r="AL328" s="354">
        <f t="shared" si="380"/>
        <v>2.0484377683664028</v>
      </c>
      <c r="AM328" s="354">
        <f t="shared" si="381"/>
        <v>4.8313682002241256</v>
      </c>
      <c r="AN328" s="354">
        <f t="shared" si="382"/>
        <v>0.26989842443612189</v>
      </c>
      <c r="AO328" s="374">
        <f t="shared" si="383"/>
        <v>4.1457216378212864</v>
      </c>
      <c r="AP328" s="354">
        <f t="shared" si="384"/>
        <v>0.95065757778404181</v>
      </c>
      <c r="AQ328" s="354">
        <f t="shared" si="385"/>
        <v>3.1950640600372449</v>
      </c>
      <c r="AR328" s="374">
        <f t="shared" si="386"/>
        <v>7.56300333790319</v>
      </c>
      <c r="AS328" s="354">
        <f t="shared" si="387"/>
        <v>3.2773060961371088</v>
      </c>
      <c r="AT328" s="354">
        <f t="shared" si="388"/>
        <v>4.2856972417660817</v>
      </c>
      <c r="AU328" s="355" t="s">
        <v>396</v>
      </c>
      <c r="AV328" s="354" t="s">
        <v>344</v>
      </c>
      <c r="AW328" s="353">
        <v>0</v>
      </c>
      <c r="AX328" s="353">
        <v>0</v>
      </c>
      <c r="AY328" s="353">
        <v>0</v>
      </c>
      <c r="AZ328" s="353">
        <v>0</v>
      </c>
      <c r="BA328" s="353">
        <v>0</v>
      </c>
      <c r="BB328" s="353">
        <v>0</v>
      </c>
    </row>
    <row r="329" spans="1:54" x14ac:dyDescent="0.25">
      <c r="A329" s="348" t="s">
        <v>830</v>
      </c>
      <c r="B329" s="349">
        <v>6</v>
      </c>
      <c r="C329" s="380">
        <v>45170</v>
      </c>
      <c r="D329" s="351">
        <v>45175</v>
      </c>
      <c r="E329" s="352"/>
      <c r="F329" s="352">
        <v>6</v>
      </c>
      <c r="G329" s="429" t="s">
        <v>343</v>
      </c>
      <c r="H329" s="350" t="s">
        <v>831</v>
      </c>
      <c r="I329" s="350" t="s">
        <v>393</v>
      </c>
      <c r="J329" s="560">
        <v>865800</v>
      </c>
      <c r="K329" s="350" t="s">
        <v>394</v>
      </c>
      <c r="L329" s="353">
        <v>2830.26</v>
      </c>
      <c r="M329" s="560">
        <f t="shared" si="357"/>
        <v>305.90829111106399</v>
      </c>
      <c r="N329" s="354" t="s">
        <v>395</v>
      </c>
      <c r="O329" s="354">
        <v>0</v>
      </c>
      <c r="P329" s="374">
        <f t="shared" si="358"/>
        <v>19.274710857129655</v>
      </c>
      <c r="Q329" s="354">
        <f t="shared" si="359"/>
        <v>1.8178992737528568</v>
      </c>
      <c r="R329" s="354">
        <f t="shared" si="360"/>
        <v>3.0644494436977809</v>
      </c>
      <c r="S329" s="354">
        <f t="shared" si="361"/>
        <v>2.7297705310749327</v>
      </c>
      <c r="T329" s="354">
        <f t="shared" si="362"/>
        <v>11.648973792061861</v>
      </c>
      <c r="U329" s="374">
        <f t="shared" si="363"/>
        <v>77.357777916763183</v>
      </c>
      <c r="V329" s="354">
        <f t="shared" si="364"/>
        <v>2.0477157811815534</v>
      </c>
      <c r="W329" s="354">
        <f t="shared" si="365"/>
        <v>69.851826435522511</v>
      </c>
      <c r="X329" s="354">
        <f t="shared" si="366"/>
        <v>5.4582357000591237</v>
      </c>
      <c r="Y329" s="374">
        <f t="shared" si="367"/>
        <v>11.340531941974133</v>
      </c>
      <c r="Z329" s="354">
        <f t="shared" si="368"/>
        <v>5.8501271080918702</v>
      </c>
      <c r="AA329" s="354">
        <f t="shared" si="369"/>
        <v>5.4904048338822617</v>
      </c>
      <c r="AB329" s="374">
        <f t="shared" si="370"/>
        <v>61.957814823855642</v>
      </c>
      <c r="AC329" s="354">
        <f t="shared" si="371"/>
        <v>17.583168041784681</v>
      </c>
      <c r="AD329" s="354">
        <f t="shared" si="372"/>
        <v>38.274651032835806</v>
      </c>
      <c r="AE329" s="354">
        <f t="shared" si="373"/>
        <v>6.0999957492351564</v>
      </c>
      <c r="AF329" s="374">
        <f t="shared" si="374"/>
        <v>49.587888653538585</v>
      </c>
      <c r="AG329" s="354">
        <f t="shared" si="375"/>
        <v>3.1868500736744165</v>
      </c>
      <c r="AH329" s="354">
        <f t="shared" si="376"/>
        <v>16.03432384350392</v>
      </c>
      <c r="AI329" s="354">
        <f t="shared" si="377"/>
        <v>0</v>
      </c>
      <c r="AJ329" s="354">
        <f t="shared" si="378"/>
        <v>30.366714736360251</v>
      </c>
      <c r="AK329" s="374">
        <f t="shared" si="379"/>
        <v>32.752455362341131</v>
      </c>
      <c r="AL329" s="354">
        <f t="shared" si="380"/>
        <v>9.3837958722308539</v>
      </c>
      <c r="AM329" s="354">
        <f t="shared" si="381"/>
        <v>22.13226766007433</v>
      </c>
      <c r="AN329" s="354">
        <f t="shared" si="382"/>
        <v>1.2363918300359489</v>
      </c>
      <c r="AO329" s="374">
        <f t="shared" si="383"/>
        <v>18.991353407543226</v>
      </c>
      <c r="AP329" s="354">
        <f t="shared" si="384"/>
        <v>4.3549170944202293</v>
      </c>
      <c r="AQ329" s="354">
        <f t="shared" si="385"/>
        <v>14.636436313122998</v>
      </c>
      <c r="AR329" s="374">
        <f t="shared" si="386"/>
        <v>34.645758147918428</v>
      </c>
      <c r="AS329" s="354">
        <f t="shared" si="387"/>
        <v>15.013183164209044</v>
      </c>
      <c r="AT329" s="354">
        <f t="shared" si="388"/>
        <v>19.632574983709386</v>
      </c>
      <c r="AU329" s="355" t="s">
        <v>396</v>
      </c>
      <c r="AV329" s="354" t="s">
        <v>344</v>
      </c>
      <c r="AW329" s="353">
        <v>0</v>
      </c>
      <c r="AX329" s="353">
        <v>0</v>
      </c>
      <c r="AY329" s="353">
        <v>0</v>
      </c>
      <c r="AZ329" s="353">
        <v>0</v>
      </c>
      <c r="BA329" s="353">
        <v>0</v>
      </c>
      <c r="BB329" s="353">
        <v>0</v>
      </c>
    </row>
    <row r="330" spans="1:54" x14ac:dyDescent="0.25">
      <c r="A330" s="348" t="s">
        <v>832</v>
      </c>
      <c r="B330" s="349">
        <v>7</v>
      </c>
      <c r="C330" s="380">
        <v>45170</v>
      </c>
      <c r="D330" s="351">
        <v>45175</v>
      </c>
      <c r="E330" s="352"/>
      <c r="F330" s="352">
        <v>6</v>
      </c>
      <c r="G330" s="561" t="s">
        <v>833</v>
      </c>
      <c r="H330" s="350" t="s">
        <v>834</v>
      </c>
      <c r="I330" s="350" t="s">
        <v>393</v>
      </c>
      <c r="J330" s="560">
        <v>241900</v>
      </c>
      <c r="K330" s="350" t="s">
        <v>394</v>
      </c>
      <c r="L330" s="353">
        <v>2830.26</v>
      </c>
      <c r="M330" s="560">
        <f t="shared" si="357"/>
        <v>85.469179510009681</v>
      </c>
      <c r="N330" s="354" t="s">
        <v>395</v>
      </c>
      <c r="O330" s="354">
        <v>0</v>
      </c>
      <c r="P330" s="374">
        <f t="shared" si="358"/>
        <v>5.3852535878258996</v>
      </c>
      <c r="Q330" s="354">
        <f t="shared" si="359"/>
        <v>0.50791156655210912</v>
      </c>
      <c r="R330" s="354">
        <f t="shared" si="360"/>
        <v>0.85619117628839592</v>
      </c>
      <c r="S330" s="354">
        <f t="shared" si="361"/>
        <v>0.76268363532805072</v>
      </c>
      <c r="T330" s="354">
        <f t="shared" si="362"/>
        <v>3.2546624628086906</v>
      </c>
      <c r="U330" s="374">
        <f t="shared" si="363"/>
        <v>21.613359295524386</v>
      </c>
      <c r="V330" s="354">
        <f t="shared" si="364"/>
        <v>0.57212109894642837</v>
      </c>
      <c r="W330" s="354">
        <f t="shared" si="365"/>
        <v>19.51623563727523</v>
      </c>
      <c r="X330" s="354">
        <f t="shared" si="366"/>
        <v>1.5250025593027281</v>
      </c>
      <c r="Y330" s="374">
        <f t="shared" si="367"/>
        <v>3.1684854201473125</v>
      </c>
      <c r="Z330" s="354">
        <f t="shared" si="368"/>
        <v>1.6344949727967473</v>
      </c>
      <c r="AA330" s="354">
        <f t="shared" si="369"/>
        <v>1.5339904473505652</v>
      </c>
      <c r="AB330" s="374">
        <f t="shared" si="370"/>
        <v>17.31069000449374</v>
      </c>
      <c r="AC330" s="354">
        <f t="shared" si="371"/>
        <v>4.9126453560957666</v>
      </c>
      <c r="AD330" s="354">
        <f t="shared" si="372"/>
        <v>10.693737681731324</v>
      </c>
      <c r="AE330" s="354">
        <f t="shared" si="373"/>
        <v>1.7043069666666484</v>
      </c>
      <c r="AF330" s="374">
        <f t="shared" si="374"/>
        <v>13.854597211008297</v>
      </c>
      <c r="AG330" s="354">
        <f t="shared" si="375"/>
        <v>0.89038927329850004</v>
      </c>
      <c r="AH330" s="354">
        <f t="shared" si="376"/>
        <v>4.4799063730002286</v>
      </c>
      <c r="AI330" s="354">
        <f t="shared" si="377"/>
        <v>0</v>
      </c>
      <c r="AJ330" s="354">
        <f t="shared" si="378"/>
        <v>8.4843015647095701</v>
      </c>
      <c r="AK330" s="374">
        <f t="shared" si="379"/>
        <v>9.1508650405986618</v>
      </c>
      <c r="AL330" s="354">
        <f t="shared" si="380"/>
        <v>2.6217835776075815</v>
      </c>
      <c r="AM330" s="354">
        <f t="shared" si="381"/>
        <v>6.183640040392679</v>
      </c>
      <c r="AN330" s="354">
        <f t="shared" si="382"/>
        <v>0.3454414225984016</v>
      </c>
      <c r="AO330" s="374">
        <f t="shared" si="383"/>
        <v>5.3060849957088321</v>
      </c>
      <c r="AP330" s="354">
        <f t="shared" si="384"/>
        <v>1.2167411008780937</v>
      </c>
      <c r="AQ330" s="354">
        <f t="shared" si="385"/>
        <v>4.0893438948307388</v>
      </c>
      <c r="AR330" s="374">
        <f t="shared" si="386"/>
        <v>9.6798439547025499</v>
      </c>
      <c r="AS330" s="354">
        <f t="shared" si="387"/>
        <v>4.1946049981776019</v>
      </c>
      <c r="AT330" s="354">
        <f t="shared" si="388"/>
        <v>5.4852389565249489</v>
      </c>
      <c r="AU330" s="355" t="s">
        <v>396</v>
      </c>
      <c r="AV330" s="354" t="s">
        <v>344</v>
      </c>
      <c r="AW330" s="353">
        <v>0</v>
      </c>
      <c r="AX330" s="353">
        <v>0</v>
      </c>
      <c r="AY330" s="353">
        <v>0</v>
      </c>
      <c r="AZ330" s="353">
        <v>0</v>
      </c>
      <c r="BA330" s="353">
        <v>0</v>
      </c>
      <c r="BB330" s="353">
        <v>0</v>
      </c>
    </row>
    <row r="331" spans="1:54" x14ac:dyDescent="0.25">
      <c r="A331" s="348" t="s">
        <v>835</v>
      </c>
      <c r="B331" s="349">
        <v>2</v>
      </c>
      <c r="C331" s="380">
        <v>45139</v>
      </c>
      <c r="D331" s="351">
        <v>45163</v>
      </c>
      <c r="E331" s="352"/>
      <c r="F331" s="352">
        <v>6</v>
      </c>
      <c r="G331" s="429" t="s">
        <v>836</v>
      </c>
      <c r="H331" s="350" t="s">
        <v>837</v>
      </c>
      <c r="I331" s="350" t="s">
        <v>393</v>
      </c>
      <c r="J331" s="354">
        <v>750000</v>
      </c>
      <c r="K331" s="350" t="s">
        <v>394</v>
      </c>
      <c r="L331" s="353">
        <v>2830.26</v>
      </c>
      <c r="M331" s="560">
        <f t="shared" si="357"/>
        <v>264.99332216828134</v>
      </c>
      <c r="N331" s="354" t="s">
        <v>395</v>
      </c>
      <c r="O331" s="354">
        <v>0</v>
      </c>
      <c r="P331" s="374">
        <f t="shared" si="358"/>
        <v>16.69673497672354</v>
      </c>
      <c r="Q331" s="354">
        <f t="shared" si="359"/>
        <v>1.5747568206452327</v>
      </c>
      <c r="R331" s="354">
        <f t="shared" si="360"/>
        <v>2.654581985185188</v>
      </c>
      <c r="S331" s="354">
        <f t="shared" si="361"/>
        <v>2.364666087209748</v>
      </c>
      <c r="T331" s="354">
        <f t="shared" si="362"/>
        <v>10.090933638307225</v>
      </c>
      <c r="U331" s="374">
        <f t="shared" si="363"/>
        <v>67.011242131638227</v>
      </c>
      <c r="V331" s="354">
        <f t="shared" si="364"/>
        <v>1.7738355692840895</v>
      </c>
      <c r="W331" s="354">
        <f t="shared" si="365"/>
        <v>60.509205158976521</v>
      </c>
      <c r="X331" s="354">
        <f t="shared" si="366"/>
        <v>4.7282014033776179</v>
      </c>
      <c r="Y331" s="374">
        <f t="shared" si="367"/>
        <v>9.8237456184807108</v>
      </c>
      <c r="Z331" s="354">
        <f t="shared" si="368"/>
        <v>5.0676776750622574</v>
      </c>
      <c r="AA331" s="354">
        <f t="shared" si="369"/>
        <v>4.7560679434184525</v>
      </c>
      <c r="AB331" s="374">
        <f t="shared" si="370"/>
        <v>53.671010762175705</v>
      </c>
      <c r="AC331" s="354">
        <f t="shared" si="371"/>
        <v>15.231434547630526</v>
      </c>
      <c r="AD331" s="354">
        <f t="shared" si="372"/>
        <v>33.155449612643622</v>
      </c>
      <c r="AE331" s="354">
        <f t="shared" si="373"/>
        <v>5.2841266019015549</v>
      </c>
      <c r="AF331" s="374">
        <f t="shared" si="374"/>
        <v>42.955551501679295</v>
      </c>
      <c r="AG331" s="354">
        <f t="shared" si="375"/>
        <v>2.7606116369320999</v>
      </c>
      <c r="AH331" s="354">
        <f t="shared" si="376"/>
        <v>13.889746919182187</v>
      </c>
      <c r="AI331" s="354">
        <f t="shared" si="377"/>
        <v>0</v>
      </c>
      <c r="AJ331" s="354">
        <f t="shared" si="378"/>
        <v>26.305192945565011</v>
      </c>
      <c r="AK331" s="374">
        <f t="shared" si="379"/>
        <v>28.371842829470836</v>
      </c>
      <c r="AL331" s="354">
        <f t="shared" si="380"/>
        <v>8.1287213030412815</v>
      </c>
      <c r="AM331" s="354">
        <f t="shared" si="381"/>
        <v>19.172096032635423</v>
      </c>
      <c r="AN331" s="354">
        <f t="shared" si="382"/>
        <v>1.0710254937941346</v>
      </c>
      <c r="AO331" s="374">
        <f t="shared" si="383"/>
        <v>16.451276340560661</v>
      </c>
      <c r="AP331" s="354">
        <f t="shared" si="384"/>
        <v>3.7724507054922292</v>
      </c>
      <c r="AQ331" s="354">
        <f t="shared" si="385"/>
        <v>12.678825635068431</v>
      </c>
      <c r="AR331" s="374">
        <f t="shared" si="386"/>
        <v>30.011918007552342</v>
      </c>
      <c r="AS331" s="354">
        <f t="shared" si="387"/>
        <v>13.005182921179005</v>
      </c>
      <c r="AT331" s="354">
        <f t="shared" si="388"/>
        <v>17.00673508637334</v>
      </c>
      <c r="AU331" s="355" t="s">
        <v>396</v>
      </c>
      <c r="AV331" s="354" t="s">
        <v>344</v>
      </c>
      <c r="AW331" s="353">
        <v>0</v>
      </c>
      <c r="AX331" s="353">
        <v>0</v>
      </c>
      <c r="AY331" s="353">
        <v>0</v>
      </c>
      <c r="AZ331" s="353">
        <v>0</v>
      </c>
      <c r="BA331" s="353">
        <v>0</v>
      </c>
      <c r="BB331" s="353">
        <v>0</v>
      </c>
    </row>
    <row r="332" spans="1:54" x14ac:dyDescent="0.25">
      <c r="A332" s="353" t="s">
        <v>849</v>
      </c>
      <c r="B332" s="353">
        <v>13</v>
      </c>
      <c r="C332" s="607">
        <v>45108</v>
      </c>
      <c r="D332" s="562">
        <v>44964</v>
      </c>
      <c r="F332" s="353">
        <v>6</v>
      </c>
      <c r="G332" s="429" t="s">
        <v>851</v>
      </c>
      <c r="H332" s="353" t="s">
        <v>852</v>
      </c>
      <c r="I332" s="353" t="s">
        <v>393</v>
      </c>
      <c r="J332" s="353">
        <v>3.18</v>
      </c>
      <c r="L332" s="353">
        <v>1</v>
      </c>
      <c r="M332" s="560">
        <f t="shared" ref="M332:M395" si="389">J332/L332</f>
        <v>3.18</v>
      </c>
      <c r="N332" s="354" t="s">
        <v>395</v>
      </c>
      <c r="O332" s="354">
        <v>0</v>
      </c>
      <c r="P332" s="374">
        <f t="shared" ref="P332:P333" si="390">M332*$P$2</f>
        <v>0.20036586881333945</v>
      </c>
      <c r="Q332" s="354">
        <f t="shared" ref="Q332:Q333" si="391">P332*$Q$2</f>
        <v>1.8897558054205357E-2</v>
      </c>
      <c r="R332" s="354">
        <f t="shared" ref="R332:R333" si="392">P332*$R$2</f>
        <v>3.1855786567814577E-2</v>
      </c>
      <c r="S332" s="354">
        <f t="shared" ref="S332:S333" si="393">P332*$S$2</f>
        <v>2.8376708121541746E-2</v>
      </c>
      <c r="T332" s="354">
        <f t="shared" ref="T332:T333" si="394">P332*$T$2</f>
        <v>0.12109425515801894</v>
      </c>
      <c r="U332" s="374">
        <f t="shared" ref="U332:U333" si="395">M332*$U$2</f>
        <v>0.80415516977927948</v>
      </c>
      <c r="V332" s="354">
        <f t="shared" ref="V332:V333" si="396">U332*$V$2</f>
        <v>2.1286563239285228E-2</v>
      </c>
      <c r="W332" s="354">
        <f t="shared" ref="W332:W333" si="397">U332*$W$2</f>
        <v>0.7261287598913585</v>
      </c>
      <c r="X332" s="354">
        <f t="shared" ref="X332:X333" si="398">U332*$X$2</f>
        <v>5.6739846648635808E-2</v>
      </c>
      <c r="Y332" s="374">
        <f t="shared" ref="Y332:Y333" si="399">M332*$Y$2</f>
        <v>0.11788791812244358</v>
      </c>
      <c r="Z332" s="354">
        <f t="shared" ref="Z332:Z333" si="400">Y332*$Z$2</f>
        <v>6.0813664566476043E-2</v>
      </c>
      <c r="AA332" s="354">
        <f t="shared" ref="AA332:AA333" si="401">Y332*$AA$2</f>
        <v>5.7074253555967527E-2</v>
      </c>
      <c r="AB332" s="374">
        <f t="shared" ref="AB332:AB333" si="402">M332*$AB$2</f>
        <v>0.64406835925976302</v>
      </c>
      <c r="AC332" s="354">
        <f t="shared" ref="AC332:AC333" si="403">AB332*$AC$2</f>
        <v>0.18278182055737355</v>
      </c>
      <c r="AD332" s="354">
        <f t="shared" ref="AD332:AD333" si="404">AB332*$AD$2</f>
        <v>0.39787542155968636</v>
      </c>
      <c r="AE332" s="354">
        <f t="shared" ref="AE332:AE333" si="405">AB332*$AE$2</f>
        <v>6.3411117142703088E-2</v>
      </c>
      <c r="AF332" s="374">
        <f t="shared" ref="AF332:AF333" si="406">M332*$AF$2</f>
        <v>0.51547960777892576</v>
      </c>
      <c r="AG332" s="354">
        <f t="shared" ref="AG332:AG333" si="407">AF332*$AG$2</f>
        <v>3.3128174452144214E-2</v>
      </c>
      <c r="AH332" s="354">
        <f t="shared" ref="AH332:AH333" si="408">AF332*$AH$2</f>
        <v>0.16668116328965465</v>
      </c>
      <c r="AI332" s="354">
        <f t="shared" ref="AI332:AI333" si="409">AF332*$AI$2</f>
        <v>0</v>
      </c>
      <c r="AJ332" s="354">
        <f t="shared" ref="AJ332:AJ333" si="410">AF332*$AJ$2</f>
        <v>0.31567027003712694</v>
      </c>
      <c r="AK332" s="374">
        <f t="shared" ref="AK332:AK333" si="411">M332*$AK$2</f>
        <v>0.34047069359892168</v>
      </c>
      <c r="AL332" s="354">
        <f t="shared" ref="AL332:AL333" si="412">AK332*$AL$2</f>
        <v>9.7547113761817419E-2</v>
      </c>
      <c r="AM332" s="354">
        <f t="shared" ref="AM332:AM333" si="413">AK332*$AM$2</f>
        <v>0.23007095003346534</v>
      </c>
      <c r="AN332" s="354">
        <f t="shared" ref="AN332:AN333" si="414">AK332*$AN$2</f>
        <v>1.2852629803638939E-2</v>
      </c>
      <c r="AO332" s="374">
        <f t="shared" ref="AO332:AO333" si="415">M332*$AO$2</f>
        <v>0.19742029095269331</v>
      </c>
      <c r="AP332" s="354">
        <f t="shared" ref="AP332:AP333" si="416">AO332*$AP$2</f>
        <v>4.5270549255000091E-2</v>
      </c>
      <c r="AQ332" s="354">
        <f t="shared" ref="AQ332:AQ333" si="417">AO332*$AQ$2</f>
        <v>0.15214974169769321</v>
      </c>
      <c r="AR332" s="374">
        <f t="shared" ref="AR332:AR333" si="418">M332*$AR$2</f>
        <v>0.36015209169463364</v>
      </c>
      <c r="AS332" s="354">
        <f t="shared" ref="AS332:AS333" si="419">AR332*$AS$2</f>
        <v>0.15606612782146342</v>
      </c>
      <c r="AT332" s="354">
        <f t="shared" ref="AT332:AT333" si="420">AR332*$AT$2</f>
        <v>0.20408596387317021</v>
      </c>
      <c r="AU332" s="355" t="s">
        <v>396</v>
      </c>
      <c r="AV332" s="354" t="s">
        <v>346</v>
      </c>
      <c r="AW332" s="353">
        <v>0</v>
      </c>
      <c r="AX332" s="353">
        <v>0</v>
      </c>
      <c r="AY332" s="353">
        <v>0</v>
      </c>
      <c r="AZ332" s="353">
        <v>0</v>
      </c>
      <c r="BA332" s="353">
        <v>0</v>
      </c>
      <c r="BB332" s="353">
        <v>0</v>
      </c>
    </row>
    <row r="333" spans="1:54" x14ac:dyDescent="0.25">
      <c r="A333" s="353" t="s">
        <v>849</v>
      </c>
      <c r="B333" s="353">
        <v>13</v>
      </c>
      <c r="C333" s="607">
        <v>45108</v>
      </c>
      <c r="D333" s="562">
        <v>44964</v>
      </c>
      <c r="F333" s="353">
        <v>6</v>
      </c>
      <c r="G333" s="429" t="s">
        <v>851</v>
      </c>
      <c r="H333" s="353" t="s">
        <v>852</v>
      </c>
      <c r="I333" s="353" t="s">
        <v>393</v>
      </c>
      <c r="J333" s="353">
        <v>3.54</v>
      </c>
      <c r="K333" s="353" t="s">
        <v>394</v>
      </c>
      <c r="L333" s="353">
        <v>1</v>
      </c>
      <c r="M333" s="560">
        <f>J333/L333</f>
        <v>3.54</v>
      </c>
      <c r="N333" s="354" t="s">
        <v>395</v>
      </c>
      <c r="O333" s="354">
        <v>0</v>
      </c>
      <c r="P333" s="374">
        <f t="shared" si="390"/>
        <v>0.22304879735824581</v>
      </c>
      <c r="Q333" s="354">
        <f t="shared" si="391"/>
        <v>2.1036904249021059E-2</v>
      </c>
      <c r="R333" s="354">
        <f t="shared" si="392"/>
        <v>3.5462102028321889E-2</v>
      </c>
      <c r="S333" s="354">
        <f t="shared" si="393"/>
        <v>3.1589165644735157E-2</v>
      </c>
      <c r="T333" s="354">
        <f t="shared" si="394"/>
        <v>0.13480303876081354</v>
      </c>
      <c r="U333" s="374">
        <f t="shared" si="395"/>
        <v>0.89519160409391485</v>
      </c>
      <c r="V333" s="354">
        <f t="shared" si="396"/>
        <v>2.3696362851279781E-2</v>
      </c>
      <c r="W333" s="354">
        <f t="shared" si="397"/>
        <v>0.80833201572811597</v>
      </c>
      <c r="X333" s="354">
        <f t="shared" si="398"/>
        <v>6.3163225514519111E-2</v>
      </c>
      <c r="Y333" s="374">
        <f t="shared" si="399"/>
        <v>0.13123372017404095</v>
      </c>
      <c r="Z333" s="354">
        <f t="shared" si="400"/>
        <v>6.7698230366454448E-2</v>
      </c>
      <c r="AA333" s="354">
        <f t="shared" si="401"/>
        <v>6.3535489807586484E-2</v>
      </c>
      <c r="AB333" s="374">
        <f t="shared" si="402"/>
        <v>0.71698175842124567</v>
      </c>
      <c r="AC333" s="354">
        <f t="shared" si="403"/>
        <v>0.20347410212990641</v>
      </c>
      <c r="AD333" s="354">
        <f t="shared" si="404"/>
        <v>0.44291792211361319</v>
      </c>
      <c r="AE333" s="354">
        <f t="shared" si="405"/>
        <v>7.0589734177726085E-2</v>
      </c>
      <c r="AF333" s="374">
        <f t="shared" si="406"/>
        <v>0.5738357897916343</v>
      </c>
      <c r="AG333" s="354">
        <f t="shared" si="407"/>
        <v>3.6878533824085062E-2</v>
      </c>
      <c r="AH333" s="354">
        <f t="shared" si="408"/>
        <v>0.18555072894508723</v>
      </c>
      <c r="AI333" s="354">
        <f t="shared" si="409"/>
        <v>0</v>
      </c>
      <c r="AJ333" s="354">
        <f t="shared" si="410"/>
        <v>0.35140652702246206</v>
      </c>
      <c r="AK333" s="374">
        <f t="shared" si="411"/>
        <v>0.37901454570445997</v>
      </c>
      <c r="AL333" s="354">
        <f t="shared" si="412"/>
        <v>0.10859018324428731</v>
      </c>
      <c r="AM333" s="354">
        <f t="shared" si="413"/>
        <v>0.25611671796178215</v>
      </c>
      <c r="AN333" s="354">
        <f t="shared" si="414"/>
        <v>1.4307644498390516E-2</v>
      </c>
      <c r="AO333" s="374">
        <f t="shared" si="415"/>
        <v>0.21976975785299821</v>
      </c>
      <c r="AP333" s="354">
        <f t="shared" si="416"/>
        <v>5.0395517095188781E-2</v>
      </c>
      <c r="AQ333" s="354">
        <f t="shared" si="417"/>
        <v>0.16937424075780944</v>
      </c>
      <c r="AR333" s="374">
        <f t="shared" si="418"/>
        <v>0.4009240266034601</v>
      </c>
      <c r="AS333" s="354">
        <f t="shared" si="419"/>
        <v>0.17373399134842157</v>
      </c>
      <c r="AT333" s="354">
        <f t="shared" si="420"/>
        <v>0.22719003525503856</v>
      </c>
      <c r="AU333" s="355" t="s">
        <v>396</v>
      </c>
      <c r="AV333" s="354" t="s">
        <v>346</v>
      </c>
      <c r="AW333" s="353">
        <v>0</v>
      </c>
      <c r="AX333" s="353">
        <v>0</v>
      </c>
      <c r="AY333" s="353">
        <v>0</v>
      </c>
      <c r="AZ333" s="353">
        <v>0</v>
      </c>
      <c r="BA333" s="353">
        <v>0</v>
      </c>
      <c r="BB333" s="353">
        <v>0</v>
      </c>
    </row>
    <row r="334" spans="1:54" x14ac:dyDescent="0.25">
      <c r="A334" s="353" t="s">
        <v>854</v>
      </c>
      <c r="B334" s="353">
        <v>14</v>
      </c>
      <c r="C334" s="607">
        <v>45108</v>
      </c>
      <c r="D334" s="562">
        <v>44964</v>
      </c>
      <c r="F334" s="353">
        <v>6</v>
      </c>
      <c r="G334" s="429" t="s">
        <v>851</v>
      </c>
      <c r="H334" s="353" t="s">
        <v>856</v>
      </c>
      <c r="I334" s="353" t="s">
        <v>393</v>
      </c>
      <c r="J334" s="353">
        <f>3000+3039+6000+3035</f>
        <v>15074</v>
      </c>
      <c r="K334" s="353" t="s">
        <v>394</v>
      </c>
      <c r="L334" s="563">
        <v>2803.6597999999999</v>
      </c>
      <c r="M334" s="560">
        <f t="shared" si="389"/>
        <v>5.3765439016531182</v>
      </c>
      <c r="N334" s="354" t="s">
        <v>395</v>
      </c>
      <c r="O334" s="354">
        <v>0</v>
      </c>
      <c r="P334" s="374">
        <f t="shared" ref="P334:P397" si="421">M334*$P$2</f>
        <v>0.33876600316597139</v>
      </c>
      <c r="Q334" s="354">
        <f t="shared" ref="Q334:Q397" si="422">P334*$Q$2</f>
        <v>3.1950802047947667E-2</v>
      </c>
      <c r="R334" s="354">
        <f t="shared" ref="R334:R397" si="423">P334*$R$2</f>
        <v>5.3859759435077606E-2</v>
      </c>
      <c r="S334" s="354">
        <f t="shared" ref="S334:S397" si="424">P334*$S$2</f>
        <v>4.7977552515681067E-2</v>
      </c>
      <c r="T334" s="354">
        <f t="shared" ref="T334:T397" si="425">P334*$T$2</f>
        <v>0.20473854688524321</v>
      </c>
      <c r="U334" s="374">
        <f t="shared" ref="U334:U397" si="426">M334*$U$2</f>
        <v>1.3596149603961047</v>
      </c>
      <c r="V334" s="354">
        <f t="shared" ref="V334:V397" si="427">U334*$V$2</f>
        <v>3.5989981689098255E-2</v>
      </c>
      <c r="W334" s="354">
        <f t="shared" ref="W334:W397" si="428">U334*$W$2</f>
        <v>1.2276928162920833</v>
      </c>
      <c r="X334" s="354">
        <f t="shared" ref="X334:X397" si="429">U334*$X$2</f>
        <v>9.5932162414923264E-2</v>
      </c>
      <c r="Y334" s="374">
        <f t="shared" ref="Y334:Y397" si="430">M334*$Y$2</f>
        <v>0.19931747398107111</v>
      </c>
      <c r="Z334" s="354">
        <f t="shared" ref="Z334:Z397" si="431">Y334*$Z$2</f>
        <v>0.10281991740945443</v>
      </c>
      <c r="AA334" s="354">
        <f t="shared" ref="AA334:AA397" si="432">Y334*$AA$2</f>
        <v>9.6497556571616669E-2</v>
      </c>
      <c r="AB334" s="374">
        <f t="shared" ref="AB334:AB397" si="433">M334*$AB$2</f>
        <v>1.0889502544735248</v>
      </c>
      <c r="AC334" s="354">
        <f t="shared" ref="AC334:AC397" si="434">AB334*$AC$2</f>
        <v>0.30903600083358534</v>
      </c>
      <c r="AD334" s="354">
        <f t="shared" ref="AD334:AD397" si="435">AB334*$AD$2</f>
        <v>0.67270272685672816</v>
      </c>
      <c r="AE334" s="354">
        <f t="shared" ref="AE334:AE397" si="436">AB334*$AE$2</f>
        <v>0.10721152678321126</v>
      </c>
      <c r="AF334" s="374">
        <f t="shared" ref="AF334:AF397" si="437">M334*$AF$2</f>
        <v>0.87154048478941015</v>
      </c>
      <c r="AG334" s="354">
        <f t="shared" ref="AG334:AG397" si="438">AF334*$AG$2</f>
        <v>5.6011032806156158E-2</v>
      </c>
      <c r="AH334" s="354">
        <f t="shared" ref="AH334:AH397" si="439">AF334*$AH$2</f>
        <v>0.2818140226432202</v>
      </c>
      <c r="AI334" s="354">
        <f t="shared" ref="AI334:AI397" si="440">AF334*$AI$2</f>
        <v>0</v>
      </c>
      <c r="AJ334" s="354">
        <f t="shared" ref="AJ334:AJ397" si="441">AF334*$AJ$2</f>
        <v>0.53371542934003391</v>
      </c>
      <c r="AK334" s="374">
        <f t="shared" ref="AK334:AK397" si="442">M334*$AK$2</f>
        <v>0.57564642495625462</v>
      </c>
      <c r="AL334" s="354">
        <f t="shared" ref="AL334:AL397" si="443">AK334*$AL$2</f>
        <v>0.16492652189306994</v>
      </c>
      <c r="AM334" s="354">
        <f t="shared" ref="AM334:AM397" si="444">AK334*$AM$2</f>
        <v>0.38898948533017841</v>
      </c>
      <c r="AN334" s="354">
        <f t="shared" ref="AN334:AN397" si="445">AK334*$AN$2</f>
        <v>2.1730417733006303E-2</v>
      </c>
      <c r="AO334" s="374">
        <f t="shared" ref="AO334:AO397" si="446">M334*$AO$2</f>
        <v>0.33378580546675707</v>
      </c>
      <c r="AP334" s="354">
        <f t="shared" ref="AP334:AP397" si="447">AO334*$AP$2</f>
        <v>7.654059607593014E-2</v>
      </c>
      <c r="AQ334" s="354">
        <f t="shared" ref="AQ334:AQ397" si="448">AO334*$AQ$2</f>
        <v>0.25724520939082696</v>
      </c>
      <c r="AR334" s="374">
        <f t="shared" ref="AR334:AR397" si="449">M334*$AR$2</f>
        <v>0.60892249442402424</v>
      </c>
      <c r="AS334" s="354">
        <f t="shared" ref="AS334:AS397" si="450">AR334*$AS$2</f>
        <v>0.26386678861418406</v>
      </c>
      <c r="AT334" s="354">
        <f t="shared" ref="AT334:AT397" si="451">AR334*$AT$2</f>
        <v>0.34505570580984024</v>
      </c>
      <c r="AU334" s="355" t="s">
        <v>396</v>
      </c>
      <c r="AV334" s="354" t="s">
        <v>346</v>
      </c>
      <c r="AW334" s="353">
        <v>0</v>
      </c>
      <c r="AX334" s="353">
        <v>0</v>
      </c>
      <c r="AY334" s="353">
        <v>0</v>
      </c>
      <c r="AZ334" s="353">
        <v>0</v>
      </c>
      <c r="BA334" s="353">
        <v>0</v>
      </c>
      <c r="BB334" s="353">
        <v>0</v>
      </c>
    </row>
    <row r="335" spans="1:54" x14ac:dyDescent="0.25">
      <c r="A335" s="353" t="s">
        <v>857</v>
      </c>
      <c r="B335" s="353">
        <v>18</v>
      </c>
      <c r="C335" s="607">
        <v>45108</v>
      </c>
      <c r="D335" s="353">
        <v>45138</v>
      </c>
      <c r="F335" s="353">
        <v>6</v>
      </c>
      <c r="G335" s="429" t="s">
        <v>332</v>
      </c>
      <c r="H335" s="353" t="s">
        <v>858</v>
      </c>
      <c r="I335" s="353" t="s">
        <v>393</v>
      </c>
      <c r="J335" s="353">
        <v>145000</v>
      </c>
      <c r="K335" s="353" t="s">
        <v>394</v>
      </c>
      <c r="L335" s="563">
        <v>2803.6597999999999</v>
      </c>
      <c r="M335" s="560">
        <f t="shared" si="389"/>
        <v>51.718115015238297</v>
      </c>
      <c r="N335" s="354" t="s">
        <v>395</v>
      </c>
      <c r="O335" s="354">
        <v>0</v>
      </c>
      <c r="P335" s="374">
        <f t="shared" si="421"/>
        <v>3.2586619649108295</v>
      </c>
      <c r="Q335" s="354">
        <f t="shared" si="422"/>
        <v>0.30734153489136334</v>
      </c>
      <c r="R335" s="354">
        <f t="shared" si="423"/>
        <v>0.51808843824374762</v>
      </c>
      <c r="S335" s="354">
        <f t="shared" si="424"/>
        <v>0.46150624351690023</v>
      </c>
      <c r="T335" s="354">
        <f t="shared" si="425"/>
        <v>1.9694234641342883</v>
      </c>
      <c r="U335" s="374">
        <f t="shared" si="426"/>
        <v>13.078424390170834</v>
      </c>
      <c r="V335" s="354">
        <f t="shared" si="427"/>
        <v>0.34619525971336379</v>
      </c>
      <c r="W335" s="354">
        <f t="shared" si="428"/>
        <v>11.809437333312461</v>
      </c>
      <c r="X335" s="354">
        <f t="shared" si="429"/>
        <v>0.92279179714500936</v>
      </c>
      <c r="Y335" s="374">
        <f t="shared" si="430"/>
        <v>1.9172770152086578</v>
      </c>
      <c r="Z335" s="354">
        <f t="shared" si="431"/>
        <v>0.98904657187016654</v>
      </c>
      <c r="AA335" s="354">
        <f t="shared" si="432"/>
        <v>0.92823044333849114</v>
      </c>
      <c r="AB335" s="374">
        <f t="shared" si="433"/>
        <v>10.474843233293159</v>
      </c>
      <c r="AC335" s="354">
        <f t="shared" si="434"/>
        <v>2.9726827730443062</v>
      </c>
      <c r="AD335" s="354">
        <f t="shared" si="435"/>
        <v>6.4708700672831085</v>
      </c>
      <c r="AE335" s="354">
        <f t="shared" si="436"/>
        <v>1.0312903929657444</v>
      </c>
      <c r="AF335" s="374">
        <f t="shared" si="437"/>
        <v>8.3835325921762287</v>
      </c>
      <c r="AG335" s="354">
        <f t="shared" si="438"/>
        <v>0.53878199262920545</v>
      </c>
      <c r="AH335" s="354">
        <f t="shared" si="439"/>
        <v>2.7108287968201492</v>
      </c>
      <c r="AI335" s="354">
        <f t="shared" si="440"/>
        <v>0</v>
      </c>
      <c r="AJ335" s="354">
        <f t="shared" si="441"/>
        <v>5.1339218027268751</v>
      </c>
      <c r="AK335" s="374">
        <f t="shared" si="442"/>
        <v>5.5372649342349023</v>
      </c>
      <c r="AL335" s="354">
        <f t="shared" si="443"/>
        <v>1.5864631600434616</v>
      </c>
      <c r="AM335" s="354">
        <f t="shared" si="444"/>
        <v>3.7417722816024854</v>
      </c>
      <c r="AN335" s="354">
        <f t="shared" si="445"/>
        <v>0.20902949258895542</v>
      </c>
      <c r="AO335" s="374">
        <f t="shared" si="446"/>
        <v>3.2107563879978622</v>
      </c>
      <c r="AP335" s="354">
        <f t="shared" si="447"/>
        <v>0.73626021168965572</v>
      </c>
      <c r="AQ335" s="354">
        <f t="shared" si="448"/>
        <v>2.4744961763082065</v>
      </c>
      <c r="AR335" s="374">
        <f t="shared" si="449"/>
        <v>5.8573544972458214</v>
      </c>
      <c r="AS335" s="354">
        <f t="shared" si="450"/>
        <v>2.5381905498909836</v>
      </c>
      <c r="AT335" s="354">
        <f t="shared" si="451"/>
        <v>3.3191639473548382</v>
      </c>
      <c r="AU335" s="355" t="s">
        <v>396</v>
      </c>
      <c r="AV335" s="354" t="s">
        <v>346</v>
      </c>
      <c r="AW335" s="353">
        <v>0</v>
      </c>
      <c r="AX335" s="353">
        <v>0</v>
      </c>
      <c r="AY335" s="353">
        <v>0</v>
      </c>
      <c r="AZ335" s="353">
        <v>0</v>
      </c>
      <c r="BA335" s="353">
        <v>0</v>
      </c>
      <c r="BB335" s="353">
        <v>0</v>
      </c>
    </row>
    <row r="336" spans="1:54" x14ac:dyDescent="0.25">
      <c r="A336" s="348" t="s">
        <v>859</v>
      </c>
      <c r="B336" s="349">
        <v>15</v>
      </c>
      <c r="C336" s="607">
        <v>45108</v>
      </c>
      <c r="D336" s="351">
        <v>45122</v>
      </c>
      <c r="E336" s="352"/>
      <c r="F336" s="352">
        <v>6</v>
      </c>
      <c r="G336" s="429" t="s">
        <v>306</v>
      </c>
      <c r="H336" s="353" t="s">
        <v>860</v>
      </c>
      <c r="I336" s="353" t="s">
        <v>393</v>
      </c>
      <c r="J336" s="563">
        <v>1029</v>
      </c>
      <c r="K336" s="353" t="s">
        <v>394</v>
      </c>
      <c r="L336" s="563">
        <v>2803.6597999999999</v>
      </c>
      <c r="M336" s="560">
        <f t="shared" si="389"/>
        <v>0.36702027828055317</v>
      </c>
      <c r="N336" s="354" t="s">
        <v>395</v>
      </c>
      <c r="O336" s="354">
        <v>0</v>
      </c>
      <c r="P336" s="374">
        <f t="shared" si="421"/>
        <v>2.3125263185470646E-2</v>
      </c>
      <c r="Q336" s="354">
        <f t="shared" si="422"/>
        <v>2.1810650993325026E-3</v>
      </c>
      <c r="R336" s="354">
        <f t="shared" si="423"/>
        <v>3.6766413996745951E-3</v>
      </c>
      <c r="S336" s="354">
        <f t="shared" si="424"/>
        <v>3.2751029281302781E-3</v>
      </c>
      <c r="T336" s="354">
        <f t="shared" si="425"/>
        <v>1.3976115479959882E-2</v>
      </c>
      <c r="U336" s="374">
        <f t="shared" si="426"/>
        <v>9.2811715155074415E-2</v>
      </c>
      <c r="V336" s="354">
        <f t="shared" si="427"/>
        <v>2.456792567207251E-3</v>
      </c>
      <c r="W336" s="354">
        <f t="shared" si="428"/>
        <v>8.3806282868817417E-2</v>
      </c>
      <c r="X336" s="354">
        <f t="shared" si="429"/>
        <v>6.5486397190497574E-3</v>
      </c>
      <c r="Y336" s="374">
        <f t="shared" si="430"/>
        <v>1.3606055507929028E-2</v>
      </c>
      <c r="Z336" s="354">
        <f t="shared" si="431"/>
        <v>7.018820154857941E-3</v>
      </c>
      <c r="AA336" s="354">
        <f t="shared" si="432"/>
        <v>6.5872353530710857E-3</v>
      </c>
      <c r="AB336" s="374">
        <f t="shared" si="433"/>
        <v>7.4335266807301112E-2</v>
      </c>
      <c r="AC336" s="354">
        <f t="shared" si="434"/>
        <v>2.1095797058362696E-2</v>
      </c>
      <c r="AD336" s="354">
        <f t="shared" si="435"/>
        <v>4.5920864132650473E-2</v>
      </c>
      <c r="AE336" s="354">
        <f t="shared" si="436"/>
        <v>7.3186056162879379E-3</v>
      </c>
      <c r="AF336" s="374">
        <f t="shared" si="437"/>
        <v>5.9494172671374752E-2</v>
      </c>
      <c r="AG336" s="354">
        <f t="shared" si="438"/>
        <v>3.8234942787272576E-3</v>
      </c>
      <c r="AH336" s="354">
        <f t="shared" si="439"/>
        <v>1.923753677191678E-2</v>
      </c>
      <c r="AI336" s="354">
        <f t="shared" si="440"/>
        <v>0</v>
      </c>
      <c r="AJ336" s="354">
        <f t="shared" si="441"/>
        <v>3.6433141620730719E-2</v>
      </c>
      <c r="AK336" s="374">
        <f t="shared" si="442"/>
        <v>3.9295487016053204E-2</v>
      </c>
      <c r="AL336" s="354">
        <f t="shared" si="443"/>
        <v>1.1258417873687738E-2</v>
      </c>
      <c r="AM336" s="354">
        <f t="shared" si="444"/>
        <v>2.6553680536337641E-2</v>
      </c>
      <c r="AN336" s="354">
        <f t="shared" si="445"/>
        <v>1.4833886060278286E-3</v>
      </c>
      <c r="AO336" s="374">
        <f t="shared" si="446"/>
        <v>2.2785298781033105E-2</v>
      </c>
      <c r="AP336" s="354">
        <f t="shared" si="447"/>
        <v>5.2249086746803848E-3</v>
      </c>
      <c r="AQ336" s="354">
        <f t="shared" si="448"/>
        <v>1.756039010635272E-2</v>
      </c>
      <c r="AR336" s="374">
        <f t="shared" si="449"/>
        <v>4.1567019156316901E-2</v>
      </c>
      <c r="AS336" s="354">
        <f t="shared" si="450"/>
        <v>1.8012400523019462E-2</v>
      </c>
      <c r="AT336" s="354">
        <f t="shared" si="451"/>
        <v>2.3554618633297442E-2</v>
      </c>
      <c r="AU336" s="355" t="s">
        <v>396</v>
      </c>
      <c r="AV336" s="354" t="s">
        <v>346</v>
      </c>
      <c r="AW336" s="353">
        <v>0</v>
      </c>
      <c r="AX336" s="353">
        <v>0</v>
      </c>
      <c r="AY336" s="353">
        <v>0</v>
      </c>
      <c r="AZ336" s="353">
        <v>0</v>
      </c>
      <c r="BA336" s="353">
        <v>0</v>
      </c>
      <c r="BB336" s="353">
        <v>0</v>
      </c>
    </row>
    <row r="337" spans="1:54" x14ac:dyDescent="0.25">
      <c r="A337" s="348" t="s">
        <v>859</v>
      </c>
      <c r="B337" s="349">
        <v>15</v>
      </c>
      <c r="C337" s="607">
        <v>45108</v>
      </c>
      <c r="D337" s="351">
        <v>45122</v>
      </c>
      <c r="E337" s="352"/>
      <c r="F337" s="352">
        <v>6</v>
      </c>
      <c r="G337" s="429" t="s">
        <v>308</v>
      </c>
      <c r="H337" s="353" t="s">
        <v>861</v>
      </c>
      <c r="I337" s="350" t="s">
        <v>393</v>
      </c>
      <c r="J337" s="560">
        <v>686</v>
      </c>
      <c r="K337" s="350" t="s">
        <v>394</v>
      </c>
      <c r="L337" s="560">
        <v>2803.6597999999999</v>
      </c>
      <c r="M337" s="560">
        <f t="shared" si="389"/>
        <v>0.24468018552036877</v>
      </c>
      <c r="N337" s="354" t="s">
        <v>395</v>
      </c>
      <c r="O337" s="354">
        <v>0</v>
      </c>
      <c r="P337" s="374">
        <f t="shared" si="421"/>
        <v>1.5416842123647096E-2</v>
      </c>
      <c r="Q337" s="354">
        <f t="shared" si="422"/>
        <v>1.4540433995550016E-3</v>
      </c>
      <c r="R337" s="354">
        <f t="shared" si="423"/>
        <v>2.4510942664497299E-3</v>
      </c>
      <c r="S337" s="354">
        <f t="shared" si="424"/>
        <v>2.1834019520868518E-3</v>
      </c>
      <c r="T337" s="354">
        <f t="shared" si="425"/>
        <v>9.3174103199732527E-3</v>
      </c>
      <c r="U337" s="374">
        <f t="shared" si="426"/>
        <v>6.1874476770049605E-2</v>
      </c>
      <c r="V337" s="354">
        <f t="shared" si="427"/>
        <v>1.6378617114715004E-3</v>
      </c>
      <c r="W337" s="354">
        <f t="shared" si="428"/>
        <v>5.5870855245878273E-2</v>
      </c>
      <c r="X337" s="354">
        <f t="shared" si="429"/>
        <v>4.3657598126998374E-3</v>
      </c>
      <c r="Y337" s="374">
        <f t="shared" si="430"/>
        <v>9.0707036719526839E-3</v>
      </c>
      <c r="Z337" s="354">
        <f t="shared" si="431"/>
        <v>4.6792134365719598E-3</v>
      </c>
      <c r="AA337" s="354">
        <f t="shared" si="432"/>
        <v>4.3914902353807232E-3</v>
      </c>
      <c r="AB337" s="374">
        <f t="shared" si="433"/>
        <v>4.9556844538200737E-2</v>
      </c>
      <c r="AC337" s="354">
        <f t="shared" si="434"/>
        <v>1.406386470557513E-2</v>
      </c>
      <c r="AD337" s="354">
        <f t="shared" si="435"/>
        <v>3.0613909421766981E-2</v>
      </c>
      <c r="AE337" s="354">
        <f t="shared" si="436"/>
        <v>4.879070410858625E-3</v>
      </c>
      <c r="AF337" s="374">
        <f t="shared" si="437"/>
        <v>3.9662781780916499E-2</v>
      </c>
      <c r="AG337" s="354">
        <f t="shared" si="438"/>
        <v>2.5489961858181716E-3</v>
      </c>
      <c r="AH337" s="354">
        <f t="shared" si="439"/>
        <v>1.2825024514611186E-2</v>
      </c>
      <c r="AI337" s="354">
        <f t="shared" si="440"/>
        <v>0</v>
      </c>
      <c r="AJ337" s="354">
        <f t="shared" si="441"/>
        <v>2.4288761080487144E-2</v>
      </c>
      <c r="AK337" s="374">
        <f t="shared" si="442"/>
        <v>2.619699134403547E-2</v>
      </c>
      <c r="AL337" s="354">
        <f t="shared" si="443"/>
        <v>7.5056119157918249E-3</v>
      </c>
      <c r="AM337" s="354">
        <f t="shared" si="444"/>
        <v>1.770245369089176E-2</v>
      </c>
      <c r="AN337" s="354">
        <f t="shared" si="445"/>
        <v>9.8892573735188559E-4</v>
      </c>
      <c r="AO337" s="374">
        <f t="shared" si="446"/>
        <v>1.5190199187355403E-2</v>
      </c>
      <c r="AP337" s="354">
        <f t="shared" si="447"/>
        <v>3.4832724497869229E-3</v>
      </c>
      <c r="AQ337" s="354">
        <f t="shared" si="448"/>
        <v>1.1706926737568481E-2</v>
      </c>
      <c r="AR337" s="374">
        <f t="shared" si="449"/>
        <v>2.7711346104211266E-2</v>
      </c>
      <c r="AS337" s="354">
        <f t="shared" si="450"/>
        <v>1.2008267015346309E-2</v>
      </c>
      <c r="AT337" s="354">
        <f t="shared" si="451"/>
        <v>1.5703079088864959E-2</v>
      </c>
      <c r="AU337" s="355" t="s">
        <v>396</v>
      </c>
      <c r="AV337" s="354" t="s">
        <v>346</v>
      </c>
      <c r="AW337" s="353">
        <v>0</v>
      </c>
      <c r="AX337" s="353">
        <v>0</v>
      </c>
      <c r="AY337" s="353">
        <v>0</v>
      </c>
      <c r="AZ337" s="353">
        <v>0</v>
      </c>
      <c r="BA337" s="353">
        <v>0</v>
      </c>
      <c r="BB337" s="353">
        <v>0</v>
      </c>
    </row>
    <row r="338" spans="1:54" x14ac:dyDescent="0.25">
      <c r="A338" s="348" t="s">
        <v>859</v>
      </c>
      <c r="B338" s="349">
        <v>15</v>
      </c>
      <c r="C338" s="607">
        <v>45108</v>
      </c>
      <c r="D338" s="351">
        <v>45122</v>
      </c>
      <c r="E338" s="352"/>
      <c r="F338" s="352">
        <v>6</v>
      </c>
      <c r="G338" s="429" t="s">
        <v>309</v>
      </c>
      <c r="H338" s="353" t="s">
        <v>862</v>
      </c>
      <c r="I338" s="350" t="s">
        <v>393</v>
      </c>
      <c r="J338" s="560">
        <v>89700</v>
      </c>
      <c r="K338" s="350" t="s">
        <v>394</v>
      </c>
      <c r="L338" s="560">
        <v>2803.6597999999999</v>
      </c>
      <c r="M338" s="560">
        <f t="shared" si="389"/>
        <v>31.993895978392246</v>
      </c>
      <c r="N338" s="354" t="s">
        <v>395</v>
      </c>
      <c r="O338" s="354">
        <v>0</v>
      </c>
      <c r="P338" s="374">
        <f t="shared" si="421"/>
        <v>2.015875712086217</v>
      </c>
      <c r="Q338" s="354">
        <f t="shared" si="422"/>
        <v>0.19012783227417446</v>
      </c>
      <c r="R338" s="354">
        <f t="shared" si="423"/>
        <v>0.32050022696871838</v>
      </c>
      <c r="S338" s="354">
        <f t="shared" si="424"/>
        <v>0.28549731064459283</v>
      </c>
      <c r="T338" s="354">
        <f t="shared" si="425"/>
        <v>1.2183261016058324</v>
      </c>
      <c r="U338" s="374">
        <f t="shared" si="426"/>
        <v>8.0905839158505106</v>
      </c>
      <c r="V338" s="354">
        <f t="shared" si="427"/>
        <v>0.21416355031923268</v>
      </c>
      <c r="W338" s="354">
        <f t="shared" si="428"/>
        <v>7.305562267573297</v>
      </c>
      <c r="X338" s="354">
        <f t="shared" si="429"/>
        <v>0.57085809795798181</v>
      </c>
      <c r="Y338" s="374">
        <f t="shared" si="430"/>
        <v>1.1860672294083905</v>
      </c>
      <c r="Z338" s="354">
        <f t="shared" si="431"/>
        <v>0.6118446723914065</v>
      </c>
      <c r="AA338" s="354">
        <f t="shared" si="432"/>
        <v>0.57422255701698388</v>
      </c>
      <c r="AB338" s="374">
        <f t="shared" si="433"/>
        <v>6.4799547450096302</v>
      </c>
      <c r="AC338" s="354">
        <f t="shared" si="434"/>
        <v>1.838963067186719</v>
      </c>
      <c r="AD338" s="354">
        <f t="shared" si="435"/>
        <v>4.0030141036916884</v>
      </c>
      <c r="AE338" s="354">
        <f t="shared" si="436"/>
        <v>0.63797757413122258</v>
      </c>
      <c r="AF338" s="374">
        <f t="shared" si="437"/>
        <v>5.186226713918674</v>
      </c>
      <c r="AG338" s="354">
        <f t="shared" si="438"/>
        <v>0.33330168785406711</v>
      </c>
      <c r="AH338" s="354">
        <f t="shared" si="439"/>
        <v>1.6769747798259818</v>
      </c>
      <c r="AI338" s="354">
        <f t="shared" si="440"/>
        <v>0</v>
      </c>
      <c r="AJ338" s="354">
        <f t="shared" si="441"/>
        <v>3.1759502462386253</v>
      </c>
      <c r="AK338" s="374">
        <f t="shared" si="442"/>
        <v>3.4254666524197983</v>
      </c>
      <c r="AL338" s="354">
        <f t="shared" si="443"/>
        <v>0.98141893417861037</v>
      </c>
      <c r="AM338" s="354">
        <f t="shared" si="444"/>
        <v>2.3147377493775378</v>
      </c>
      <c r="AN338" s="354">
        <f t="shared" si="445"/>
        <v>0.12930996886365037</v>
      </c>
      <c r="AO338" s="374">
        <f t="shared" si="446"/>
        <v>1.9862403310579879</v>
      </c>
      <c r="AP338" s="354">
        <f t="shared" si="447"/>
        <v>0.45546579992111808</v>
      </c>
      <c r="AQ338" s="354">
        <f t="shared" si="448"/>
        <v>1.5307745311368699</v>
      </c>
      <c r="AR338" s="374">
        <f t="shared" si="449"/>
        <v>3.6234806786410361</v>
      </c>
      <c r="AS338" s="354">
        <f t="shared" si="450"/>
        <v>1.5701771884498017</v>
      </c>
      <c r="AT338" s="354">
        <f t="shared" si="451"/>
        <v>2.0533034901912348</v>
      </c>
      <c r="AU338" s="355" t="s">
        <v>396</v>
      </c>
      <c r="AV338" s="354" t="s">
        <v>346</v>
      </c>
      <c r="AW338" s="353">
        <v>0</v>
      </c>
      <c r="AX338" s="353">
        <v>0</v>
      </c>
      <c r="AY338" s="353">
        <v>0</v>
      </c>
      <c r="AZ338" s="353">
        <v>0</v>
      </c>
      <c r="BA338" s="353">
        <v>0</v>
      </c>
      <c r="BB338" s="353">
        <v>0</v>
      </c>
    </row>
    <row r="339" spans="1:54" x14ac:dyDescent="0.25">
      <c r="A339" s="348" t="s">
        <v>859</v>
      </c>
      <c r="B339" s="349">
        <v>15</v>
      </c>
      <c r="C339" s="607">
        <v>45108</v>
      </c>
      <c r="D339" s="351">
        <v>45122</v>
      </c>
      <c r="E339" s="352"/>
      <c r="F339" s="352">
        <v>6</v>
      </c>
      <c r="G339" s="429" t="s">
        <v>310</v>
      </c>
      <c r="H339" s="432" t="s">
        <v>863</v>
      </c>
      <c r="I339" s="350" t="s">
        <v>393</v>
      </c>
      <c r="J339" s="560">
        <v>12114</v>
      </c>
      <c r="K339" s="350" t="s">
        <v>394</v>
      </c>
      <c r="L339" s="354">
        <v>2803.6597999999999</v>
      </c>
      <c r="M339" s="560">
        <f t="shared" si="389"/>
        <v>4.3207810020317021</v>
      </c>
      <c r="N339" s="354" t="s">
        <v>395</v>
      </c>
      <c r="O339" s="354">
        <v>0</v>
      </c>
      <c r="P339" s="374">
        <f t="shared" si="421"/>
        <v>0.27224435202020547</v>
      </c>
      <c r="Q339" s="354">
        <f t="shared" si="422"/>
        <v>2.5676795542579144E-2</v>
      </c>
      <c r="R339" s="354">
        <f t="shared" si="423"/>
        <v>4.3283609247481099E-2</v>
      </c>
      <c r="S339" s="354">
        <f t="shared" si="424"/>
        <v>3.8556459544577447E-2</v>
      </c>
      <c r="T339" s="354">
        <f t="shared" si="425"/>
        <v>0.16453514375532946</v>
      </c>
      <c r="U339" s="374">
        <f t="shared" si="426"/>
        <v>1.0926347107760657</v>
      </c>
      <c r="V339" s="354">
        <f t="shared" si="427"/>
        <v>2.8922823283915104E-2</v>
      </c>
      <c r="W339" s="354">
        <f t="shared" si="428"/>
        <v>0.98661740590170477</v>
      </c>
      <c r="X339" s="354">
        <f t="shared" si="429"/>
        <v>7.7094481590445837E-2</v>
      </c>
      <c r="Y339" s="374">
        <f t="shared" si="430"/>
        <v>0.16017857767060473</v>
      </c>
      <c r="Z339" s="354">
        <f t="shared" si="431"/>
        <v>8.2629725321622063E-2</v>
      </c>
      <c r="AA339" s="354">
        <f t="shared" si="432"/>
        <v>7.754885234898265E-2</v>
      </c>
      <c r="AB339" s="374">
        <f t="shared" si="433"/>
        <v>0.87511897191802301</v>
      </c>
      <c r="AC339" s="354">
        <f t="shared" si="434"/>
        <v>0.24835226974247399</v>
      </c>
      <c r="AD339" s="354">
        <f t="shared" si="435"/>
        <v>0.54060772410391433</v>
      </c>
      <c r="AE339" s="354">
        <f t="shared" si="436"/>
        <v>8.6158978071634681E-2</v>
      </c>
      <c r="AF339" s="374">
        <f t="shared" si="437"/>
        <v>0.70040078497670932</v>
      </c>
      <c r="AG339" s="354">
        <f t="shared" si="438"/>
        <v>4.5012448680759973E-2</v>
      </c>
      <c r="AH339" s="354">
        <f t="shared" si="439"/>
        <v>0.22647572444606406</v>
      </c>
      <c r="AI339" s="354">
        <f t="shared" si="440"/>
        <v>0</v>
      </c>
      <c r="AJ339" s="354">
        <f t="shared" si="441"/>
        <v>0.42891261184988533</v>
      </c>
      <c r="AK339" s="374">
        <f t="shared" si="442"/>
        <v>0.46260984422980422</v>
      </c>
      <c r="AL339" s="354">
        <f t="shared" si="443"/>
        <v>0.13254079117769996</v>
      </c>
      <c r="AM339" s="354">
        <f t="shared" si="444"/>
        <v>0.31260572013332766</v>
      </c>
      <c r="AN339" s="354">
        <f t="shared" si="445"/>
        <v>1.7463332918776595E-2</v>
      </c>
      <c r="AO339" s="374">
        <f t="shared" si="446"/>
        <v>0.26824208885659384</v>
      </c>
      <c r="AP339" s="354">
        <f t="shared" si="447"/>
        <v>6.1510732444196491E-2</v>
      </c>
      <c r="AQ339" s="354">
        <f t="shared" si="448"/>
        <v>0.20673135641239737</v>
      </c>
      <c r="AR339" s="374">
        <f t="shared" si="449"/>
        <v>0.48935167158369575</v>
      </c>
      <c r="AS339" s="354">
        <f t="shared" si="450"/>
        <v>0.21205269187158191</v>
      </c>
      <c r="AT339" s="354">
        <f t="shared" si="451"/>
        <v>0.27729897971211387</v>
      </c>
      <c r="AU339" s="355" t="s">
        <v>396</v>
      </c>
      <c r="AV339" s="354" t="s">
        <v>346</v>
      </c>
      <c r="AW339" s="353">
        <v>0</v>
      </c>
      <c r="AX339" s="353">
        <v>0</v>
      </c>
      <c r="AY339" s="353">
        <v>0</v>
      </c>
      <c r="AZ339" s="353">
        <v>0</v>
      </c>
      <c r="BA339" s="353">
        <v>0</v>
      </c>
      <c r="BB339" s="353">
        <v>0</v>
      </c>
    </row>
    <row r="340" spans="1:54" x14ac:dyDescent="0.25">
      <c r="A340" s="348" t="s">
        <v>864</v>
      </c>
      <c r="B340" s="349">
        <v>16</v>
      </c>
      <c r="C340" s="607">
        <v>45108</v>
      </c>
      <c r="D340" s="351">
        <v>45134</v>
      </c>
      <c r="E340" s="352"/>
      <c r="F340" s="352">
        <v>6</v>
      </c>
      <c r="G340" s="429" t="s">
        <v>306</v>
      </c>
      <c r="H340" s="353" t="s">
        <v>865</v>
      </c>
      <c r="I340" s="350" t="s">
        <v>393</v>
      </c>
      <c r="J340" s="560">
        <v>382454</v>
      </c>
      <c r="K340" s="350" t="s">
        <v>394</v>
      </c>
      <c r="L340" s="354">
        <v>2803.6597999999999</v>
      </c>
      <c r="M340" s="560">
        <f t="shared" si="389"/>
        <v>136.4124135175031</v>
      </c>
      <c r="N340" s="354" t="s">
        <v>395</v>
      </c>
      <c r="O340" s="354">
        <v>0</v>
      </c>
      <c r="P340" s="374">
        <f t="shared" si="421"/>
        <v>8.5950917457103895</v>
      </c>
      <c r="Q340" s="354">
        <f t="shared" si="422"/>
        <v>0.81064827162304476</v>
      </c>
      <c r="R340" s="354">
        <f t="shared" si="423"/>
        <v>1.3665172107591328</v>
      </c>
      <c r="S340" s="354">
        <f t="shared" si="424"/>
        <v>1.2172752335035351</v>
      </c>
      <c r="T340" s="354">
        <f t="shared" si="425"/>
        <v>5.1945784934621733</v>
      </c>
      <c r="U340" s="374">
        <f t="shared" si="426"/>
        <v>34.495832563575149</v>
      </c>
      <c r="V340" s="354">
        <f t="shared" si="427"/>
        <v>0.91312939212699895</v>
      </c>
      <c r="W340" s="354">
        <f t="shared" si="428"/>
        <v>31.148734799135756</v>
      </c>
      <c r="X340" s="354">
        <f t="shared" si="429"/>
        <v>2.4339683723123962</v>
      </c>
      <c r="Y340" s="374">
        <f t="shared" si="430"/>
        <v>5.0570363005145662</v>
      </c>
      <c r="Z340" s="354">
        <f t="shared" si="431"/>
        <v>2.6087228799864324</v>
      </c>
      <c r="AA340" s="354">
        <f t="shared" si="432"/>
        <v>2.4483134205281334</v>
      </c>
      <c r="AB340" s="374">
        <f t="shared" si="433"/>
        <v>27.628590992730359</v>
      </c>
      <c r="AC340" s="354">
        <f t="shared" si="434"/>
        <v>7.8407890847026698</v>
      </c>
      <c r="AD340" s="354">
        <f t="shared" si="435"/>
        <v>17.067656142846165</v>
      </c>
      <c r="AE340" s="354">
        <f t="shared" si="436"/>
        <v>2.7201457651815231</v>
      </c>
      <c r="AF340" s="374">
        <f t="shared" si="437"/>
        <v>22.112521200056328</v>
      </c>
      <c r="AG340" s="354">
        <f t="shared" si="438"/>
        <v>1.4210988152345527</v>
      </c>
      <c r="AH340" s="354">
        <f t="shared" si="439"/>
        <v>7.150119425234851</v>
      </c>
      <c r="AI340" s="354">
        <f t="shared" si="440"/>
        <v>0</v>
      </c>
      <c r="AJ340" s="354">
        <f t="shared" si="441"/>
        <v>13.541302959586925</v>
      </c>
      <c r="AK340" s="374">
        <f t="shared" si="442"/>
        <v>14.605166366606039</v>
      </c>
      <c r="AL340" s="354">
        <f t="shared" si="443"/>
        <v>4.184477113181118</v>
      </c>
      <c r="AM340" s="354">
        <f t="shared" si="444"/>
        <v>9.8693501806068777</v>
      </c>
      <c r="AN340" s="354">
        <f t="shared" si="445"/>
        <v>0.55133907281804395</v>
      </c>
      <c r="AO340" s="374">
        <f t="shared" si="446"/>
        <v>8.4687353352781685</v>
      </c>
      <c r="AP340" s="354">
        <f t="shared" si="447"/>
        <v>1.9419700896659007</v>
      </c>
      <c r="AQ340" s="354">
        <f t="shared" si="448"/>
        <v>6.5267652456122676</v>
      </c>
      <c r="AR340" s="374">
        <f t="shared" si="449"/>
        <v>15.449439013032093</v>
      </c>
      <c r="AS340" s="354">
        <f t="shared" si="450"/>
        <v>6.6947664039172841</v>
      </c>
      <c r="AT340" s="354">
        <f t="shared" si="451"/>
        <v>8.7546726091148095</v>
      </c>
      <c r="AU340" s="355" t="s">
        <v>396</v>
      </c>
      <c r="AV340" s="354" t="s">
        <v>346</v>
      </c>
      <c r="AW340" s="353">
        <v>0</v>
      </c>
      <c r="AX340" s="353">
        <v>0</v>
      </c>
      <c r="AY340" s="353">
        <v>0</v>
      </c>
      <c r="AZ340" s="353">
        <v>0</v>
      </c>
      <c r="BA340" s="353">
        <v>0</v>
      </c>
      <c r="BB340" s="353">
        <v>0</v>
      </c>
    </row>
    <row r="341" spans="1:54" x14ac:dyDescent="0.25">
      <c r="A341" s="348" t="s">
        <v>864</v>
      </c>
      <c r="B341" s="349">
        <v>16</v>
      </c>
      <c r="C341" s="607">
        <v>45108</v>
      </c>
      <c r="D341" s="351">
        <v>45134</v>
      </c>
      <c r="E341" s="352"/>
      <c r="F341" s="352">
        <v>6</v>
      </c>
      <c r="G341" s="429" t="s">
        <v>307</v>
      </c>
      <c r="H341" s="353" t="s">
        <v>866</v>
      </c>
      <c r="I341" s="350" t="s">
        <v>393</v>
      </c>
      <c r="J341" s="560">
        <v>216919</v>
      </c>
      <c r="K341" s="350" t="s">
        <v>394</v>
      </c>
      <c r="L341" s="354">
        <v>2803.6597999999999</v>
      </c>
      <c r="M341" s="560">
        <f t="shared" si="389"/>
        <v>77.369943386141216</v>
      </c>
      <c r="N341" s="354" t="s">
        <v>395</v>
      </c>
      <c r="O341" s="354">
        <v>0</v>
      </c>
      <c r="P341" s="374">
        <f t="shared" si="421"/>
        <v>4.8749358259758084</v>
      </c>
      <c r="Q341" s="354">
        <f t="shared" si="422"/>
        <v>0.4597808166006872</v>
      </c>
      <c r="R341" s="354">
        <f t="shared" si="423"/>
        <v>0.77505673058893443</v>
      </c>
      <c r="S341" s="354">
        <f t="shared" si="424"/>
        <v>0.69041015749960333</v>
      </c>
      <c r="T341" s="354">
        <f t="shared" si="425"/>
        <v>2.946243920114108</v>
      </c>
      <c r="U341" s="374">
        <f t="shared" si="426"/>
        <v>19.56523269166529</v>
      </c>
      <c r="V341" s="354">
        <f t="shared" si="427"/>
        <v>0.51790572097767695</v>
      </c>
      <c r="W341" s="354">
        <f t="shared" si="428"/>
        <v>17.666836806240042</v>
      </c>
      <c r="X341" s="354">
        <f t="shared" si="429"/>
        <v>1.3804901644475744</v>
      </c>
      <c r="Y341" s="374">
        <f t="shared" si="430"/>
        <v>2.8682331921520472</v>
      </c>
      <c r="Z341" s="354">
        <f t="shared" si="431"/>
        <v>1.4796068505069286</v>
      </c>
      <c r="AA341" s="354">
        <f t="shared" si="432"/>
        <v>1.3886263416451183</v>
      </c>
      <c r="AB341" s="374">
        <f t="shared" si="433"/>
        <v>15.670293236708405</v>
      </c>
      <c r="AC341" s="354">
        <f t="shared" si="434"/>
        <v>4.4471129272137784</v>
      </c>
      <c r="AD341" s="354">
        <f t="shared" si="435"/>
        <v>9.6803769939654103</v>
      </c>
      <c r="AE341" s="354">
        <f t="shared" si="436"/>
        <v>1.5428033155292158</v>
      </c>
      <c r="AF341" s="374">
        <f t="shared" si="437"/>
        <v>12.541706940429485</v>
      </c>
      <c r="AG341" s="354">
        <f t="shared" si="438"/>
        <v>0.80601414523541115</v>
      </c>
      <c r="AH341" s="354">
        <f t="shared" si="439"/>
        <v>4.0553811846719299</v>
      </c>
      <c r="AI341" s="354">
        <f t="shared" si="440"/>
        <v>0</v>
      </c>
      <c r="AJ341" s="354">
        <f t="shared" si="441"/>
        <v>7.6803116105221445</v>
      </c>
      <c r="AK341" s="374">
        <f t="shared" si="442"/>
        <v>8.2837101535813851</v>
      </c>
      <c r="AL341" s="354">
        <f t="shared" si="443"/>
        <v>2.373337946299777</v>
      </c>
      <c r="AM341" s="354">
        <f t="shared" si="444"/>
        <v>5.5976655279512384</v>
      </c>
      <c r="AN341" s="354">
        <f t="shared" si="445"/>
        <v>0.31270667933036983</v>
      </c>
      <c r="AO341" s="374">
        <f t="shared" si="446"/>
        <v>4.803269413297298</v>
      </c>
      <c r="AP341" s="354">
        <f t="shared" si="447"/>
        <v>1.1014401990310925</v>
      </c>
      <c r="AQ341" s="354">
        <f t="shared" si="448"/>
        <v>3.7018292142662057</v>
      </c>
      <c r="AR341" s="374">
        <f t="shared" si="449"/>
        <v>8.7625619323314918</v>
      </c>
      <c r="AS341" s="354">
        <f t="shared" si="450"/>
        <v>3.7971155578744979</v>
      </c>
      <c r="AT341" s="354">
        <f t="shared" si="451"/>
        <v>4.9654463744569943</v>
      </c>
      <c r="AU341" s="355" t="s">
        <v>396</v>
      </c>
      <c r="AV341" s="354" t="s">
        <v>346</v>
      </c>
      <c r="AW341" s="353">
        <v>0</v>
      </c>
      <c r="AX341" s="353">
        <v>0</v>
      </c>
      <c r="AY341" s="353">
        <v>0</v>
      </c>
      <c r="AZ341" s="353">
        <v>0</v>
      </c>
      <c r="BA341" s="353">
        <v>0</v>
      </c>
      <c r="BB341" s="353">
        <v>0</v>
      </c>
    </row>
    <row r="342" spans="1:54" x14ac:dyDescent="0.25">
      <c r="A342" s="348" t="s">
        <v>864</v>
      </c>
      <c r="B342" s="349">
        <v>16</v>
      </c>
      <c r="C342" s="607">
        <v>45108</v>
      </c>
      <c r="D342" s="351">
        <v>45134</v>
      </c>
      <c r="E342" s="352"/>
      <c r="F342" s="352">
        <v>6</v>
      </c>
      <c r="G342" s="429" t="s">
        <v>308</v>
      </c>
      <c r="H342" s="353" t="s">
        <v>867</v>
      </c>
      <c r="I342" s="350" t="s">
        <v>393</v>
      </c>
      <c r="J342" s="560">
        <v>382797</v>
      </c>
      <c r="K342" s="350" t="s">
        <v>394</v>
      </c>
      <c r="L342" s="354">
        <v>2803.6597999999999</v>
      </c>
      <c r="M342" s="560">
        <f t="shared" si="389"/>
        <v>136.53475361026327</v>
      </c>
      <c r="N342" s="354" t="s">
        <v>395</v>
      </c>
      <c r="O342" s="354">
        <v>0</v>
      </c>
      <c r="P342" s="374">
        <f t="shared" si="421"/>
        <v>8.6028001667722123</v>
      </c>
      <c r="Q342" s="354">
        <f t="shared" si="422"/>
        <v>0.81137529332282221</v>
      </c>
      <c r="R342" s="354">
        <f t="shared" si="423"/>
        <v>1.3677427578923576</v>
      </c>
      <c r="S342" s="354">
        <f t="shared" si="424"/>
        <v>1.2183669344795782</v>
      </c>
      <c r="T342" s="354">
        <f t="shared" si="425"/>
        <v>5.1992371986221597</v>
      </c>
      <c r="U342" s="374">
        <f t="shared" si="426"/>
        <v>34.526769801960171</v>
      </c>
      <c r="V342" s="354">
        <f t="shared" si="427"/>
        <v>0.91394832298273465</v>
      </c>
      <c r="W342" s="354">
        <f t="shared" si="428"/>
        <v>31.176670226758691</v>
      </c>
      <c r="X342" s="354">
        <f t="shared" si="429"/>
        <v>2.4361512522187461</v>
      </c>
      <c r="Y342" s="374">
        <f t="shared" si="430"/>
        <v>5.0615716523505414</v>
      </c>
      <c r="Z342" s="354">
        <f t="shared" si="431"/>
        <v>2.6110624867047179</v>
      </c>
      <c r="AA342" s="354">
        <f t="shared" si="432"/>
        <v>2.4505091656458231</v>
      </c>
      <c r="AB342" s="374">
        <f t="shared" si="433"/>
        <v>27.653369414999457</v>
      </c>
      <c r="AC342" s="354">
        <f t="shared" si="434"/>
        <v>7.8478210170554563</v>
      </c>
      <c r="AD342" s="354">
        <f t="shared" si="435"/>
        <v>17.082963097557048</v>
      </c>
      <c r="AE342" s="354">
        <f t="shared" si="436"/>
        <v>2.7225853003869518</v>
      </c>
      <c r="AF342" s="374">
        <f t="shared" si="437"/>
        <v>22.132352590946784</v>
      </c>
      <c r="AG342" s="354">
        <f t="shared" si="438"/>
        <v>1.4223733133274616</v>
      </c>
      <c r="AH342" s="354">
        <f t="shared" si="439"/>
        <v>7.1565319374921552</v>
      </c>
      <c r="AI342" s="354">
        <f t="shared" si="440"/>
        <v>0</v>
      </c>
      <c r="AJ342" s="354">
        <f t="shared" si="441"/>
        <v>13.553447340127168</v>
      </c>
      <c r="AK342" s="374">
        <f t="shared" si="442"/>
        <v>14.618264862278053</v>
      </c>
      <c r="AL342" s="354">
        <f t="shared" si="443"/>
        <v>4.1882299191390127</v>
      </c>
      <c r="AM342" s="354">
        <f t="shared" si="444"/>
        <v>9.8782014074523214</v>
      </c>
      <c r="AN342" s="354">
        <f t="shared" si="445"/>
        <v>0.55183353568671978</v>
      </c>
      <c r="AO342" s="374">
        <f t="shared" si="446"/>
        <v>8.476330434871846</v>
      </c>
      <c r="AP342" s="354">
        <f t="shared" si="447"/>
        <v>1.9437117258907941</v>
      </c>
      <c r="AQ342" s="354">
        <f t="shared" si="448"/>
        <v>6.5326187089810519</v>
      </c>
      <c r="AR342" s="374">
        <f t="shared" si="449"/>
        <v>15.463294686084197</v>
      </c>
      <c r="AS342" s="354">
        <f t="shared" si="450"/>
        <v>6.7007705374249564</v>
      </c>
      <c r="AT342" s="354">
        <f t="shared" si="451"/>
        <v>8.7625241486592405</v>
      </c>
      <c r="AU342" s="355" t="s">
        <v>396</v>
      </c>
      <c r="AV342" s="354" t="s">
        <v>346</v>
      </c>
      <c r="AW342" s="353">
        <v>0</v>
      </c>
      <c r="AX342" s="353">
        <v>0</v>
      </c>
      <c r="AY342" s="353">
        <v>0</v>
      </c>
      <c r="AZ342" s="353">
        <v>0</v>
      </c>
      <c r="BA342" s="353">
        <v>0</v>
      </c>
      <c r="BB342" s="353">
        <v>0</v>
      </c>
    </row>
    <row r="343" spans="1:54" x14ac:dyDescent="0.25">
      <c r="A343" s="348" t="s">
        <v>864</v>
      </c>
      <c r="B343" s="349">
        <v>16</v>
      </c>
      <c r="C343" s="607">
        <v>45108</v>
      </c>
      <c r="D343" s="351">
        <v>45134</v>
      </c>
      <c r="E343" s="352"/>
      <c r="F343" s="352">
        <v>6</v>
      </c>
      <c r="G343" s="429" t="s">
        <v>309</v>
      </c>
      <c r="H343" s="353" t="s">
        <v>868</v>
      </c>
      <c r="I343" s="350" t="s">
        <v>393</v>
      </c>
      <c r="J343" s="560">
        <v>1288541</v>
      </c>
      <c r="K343" s="350" t="s">
        <v>394</v>
      </c>
      <c r="L343" s="354">
        <v>2803.6597999999999</v>
      </c>
      <c r="M343" s="560">
        <f t="shared" si="389"/>
        <v>459.59249406793225</v>
      </c>
      <c r="N343" s="354" t="s">
        <v>395</v>
      </c>
      <c r="O343" s="354">
        <v>0</v>
      </c>
      <c r="P343" s="374">
        <f t="shared" si="421"/>
        <v>28.958065840883901</v>
      </c>
      <c r="Q343" s="354">
        <f t="shared" si="422"/>
        <v>2.7311873704169121</v>
      </c>
      <c r="R343" s="354">
        <f t="shared" si="423"/>
        <v>4.6039875469174953</v>
      </c>
      <c r="S343" s="354">
        <f t="shared" si="424"/>
        <v>4.1011704588104152</v>
      </c>
      <c r="T343" s="354">
        <f t="shared" si="425"/>
        <v>17.501261240683174</v>
      </c>
      <c r="U343" s="374">
        <f t="shared" si="426"/>
        <v>116.22128304920771</v>
      </c>
      <c r="V343" s="354">
        <f t="shared" si="427"/>
        <v>3.0764605941125347</v>
      </c>
      <c r="W343" s="354">
        <f t="shared" si="428"/>
        <v>104.9444426958881</v>
      </c>
      <c r="X343" s="354">
        <f t="shared" si="429"/>
        <v>8.2003797592070882</v>
      </c>
      <c r="Y343" s="374">
        <f t="shared" si="430"/>
        <v>17.037862361751582</v>
      </c>
      <c r="Z343" s="354">
        <f t="shared" si="431"/>
        <v>8.7891521294079755</v>
      </c>
      <c r="AA343" s="354">
        <f t="shared" si="432"/>
        <v>8.2487102323436066</v>
      </c>
      <c r="AB343" s="374">
        <f t="shared" si="433"/>
        <v>93.084586032212414</v>
      </c>
      <c r="AC343" s="354">
        <f t="shared" si="434"/>
        <v>26.416714710767469</v>
      </c>
      <c r="AD343" s="354">
        <f t="shared" si="435"/>
        <v>57.503319912876165</v>
      </c>
      <c r="AE343" s="354">
        <f t="shared" si="436"/>
        <v>9.16455140856878</v>
      </c>
      <c r="AF343" s="374">
        <f t="shared" si="437"/>
        <v>74.500175654174825</v>
      </c>
      <c r="AG343" s="354">
        <f t="shared" si="438"/>
        <v>4.7878806038926136</v>
      </c>
      <c r="AH343" s="354">
        <f t="shared" si="439"/>
        <v>24.089752059885736</v>
      </c>
      <c r="AI343" s="354">
        <f t="shared" si="440"/>
        <v>0</v>
      </c>
      <c r="AJ343" s="354">
        <f t="shared" si="441"/>
        <v>45.622542990396482</v>
      </c>
      <c r="AK343" s="374">
        <f t="shared" si="442"/>
        <v>49.206847556027419</v>
      </c>
      <c r="AL343" s="354">
        <f t="shared" si="443"/>
        <v>14.09808846003836</v>
      </c>
      <c r="AM343" s="354">
        <f t="shared" si="444"/>
        <v>33.251220672471369</v>
      </c>
      <c r="AN343" s="354">
        <f t="shared" si="445"/>
        <v>1.8575384235176913</v>
      </c>
      <c r="AO343" s="374">
        <f t="shared" si="446"/>
        <v>28.53235342722175</v>
      </c>
      <c r="AP343" s="354">
        <f t="shared" si="447"/>
        <v>6.542768754695178</v>
      </c>
      <c r="AQ343" s="354">
        <f t="shared" si="448"/>
        <v>21.989584672526572</v>
      </c>
      <c r="AR343" s="374">
        <f t="shared" si="449"/>
        <v>52.051320146452611</v>
      </c>
      <c r="AS343" s="354">
        <f t="shared" si="450"/>
        <v>22.555604064462607</v>
      </c>
      <c r="AT343" s="354">
        <f t="shared" si="451"/>
        <v>29.495716081990007</v>
      </c>
      <c r="AU343" s="355" t="s">
        <v>396</v>
      </c>
      <c r="AV343" s="354" t="s">
        <v>346</v>
      </c>
      <c r="AW343" s="353">
        <v>0</v>
      </c>
      <c r="AX343" s="353">
        <v>0</v>
      </c>
      <c r="AY343" s="353">
        <v>0</v>
      </c>
      <c r="AZ343" s="353">
        <v>0</v>
      </c>
      <c r="BA343" s="353">
        <v>0</v>
      </c>
      <c r="BB343" s="353">
        <v>0</v>
      </c>
    </row>
    <row r="344" spans="1:54" x14ac:dyDescent="0.25">
      <c r="A344" s="348" t="s">
        <v>864</v>
      </c>
      <c r="B344" s="349">
        <v>16</v>
      </c>
      <c r="C344" s="607">
        <v>45108</v>
      </c>
      <c r="D344" s="351">
        <v>45134</v>
      </c>
      <c r="E344" s="352"/>
      <c r="F344" s="352">
        <v>6</v>
      </c>
      <c r="G344" s="429" t="s">
        <v>310</v>
      </c>
      <c r="H344" s="353" t="s">
        <v>869</v>
      </c>
      <c r="I344" s="350" t="s">
        <v>393</v>
      </c>
      <c r="J344" s="560">
        <v>505196</v>
      </c>
      <c r="K344" s="350" t="s">
        <v>394</v>
      </c>
      <c r="L344" s="354">
        <v>2803.6597999999999</v>
      </c>
      <c r="M344" s="560">
        <f t="shared" si="389"/>
        <v>180.19161953957467</v>
      </c>
      <c r="N344" s="354" t="s">
        <v>395</v>
      </c>
      <c r="O344" s="354">
        <v>0</v>
      </c>
      <c r="P344" s="374">
        <f t="shared" si="421"/>
        <v>11.35353786224201</v>
      </c>
      <c r="Q344" s="354">
        <f t="shared" si="422"/>
        <v>1.0708118211101876</v>
      </c>
      <c r="R344" s="354">
        <f t="shared" si="423"/>
        <v>1.8050772872206091</v>
      </c>
      <c r="S344" s="354">
        <f t="shared" si="424"/>
        <v>1.6079386772397513</v>
      </c>
      <c r="T344" s="354">
        <f t="shared" si="425"/>
        <v>6.8616886647364552</v>
      </c>
      <c r="U344" s="374">
        <f t="shared" si="426"/>
        <v>45.56667371183962</v>
      </c>
      <c r="V344" s="354">
        <f t="shared" si="427"/>
        <v>1.2061824856976038</v>
      </c>
      <c r="W344" s="354">
        <f t="shared" si="428"/>
        <v>41.145382779587052</v>
      </c>
      <c r="X344" s="354">
        <f t="shared" si="429"/>
        <v>3.2151084465549666</v>
      </c>
      <c r="Y344" s="374">
        <f t="shared" si="430"/>
        <v>6.6800046825886419</v>
      </c>
      <c r="Z344" s="354">
        <f t="shared" si="431"/>
        <v>3.4459473925691078</v>
      </c>
      <c r="AA344" s="354">
        <f t="shared" si="432"/>
        <v>3.2340572900195337</v>
      </c>
      <c r="AB344" s="374">
        <f t="shared" si="433"/>
        <v>36.495509669563937</v>
      </c>
      <c r="AC344" s="354">
        <f t="shared" si="434"/>
        <v>10.357154801454422</v>
      </c>
      <c r="AD344" s="354">
        <f t="shared" si="435"/>
        <v>22.545225341456256</v>
      </c>
      <c r="AE344" s="354">
        <f t="shared" si="436"/>
        <v>3.5931295266532568</v>
      </c>
      <c r="AF344" s="374">
        <f t="shared" si="437"/>
        <v>29.209152630600428</v>
      </c>
      <c r="AG344" s="354">
        <f t="shared" si="438"/>
        <v>1.877175914126235</v>
      </c>
      <c r="AH344" s="354">
        <f t="shared" si="439"/>
        <v>9.4448266540576</v>
      </c>
      <c r="AI344" s="354">
        <f t="shared" si="440"/>
        <v>0</v>
      </c>
      <c r="AJ344" s="354">
        <f t="shared" si="441"/>
        <v>17.887150062416595</v>
      </c>
      <c r="AK344" s="374">
        <f t="shared" si="442"/>
        <v>19.292442039418869</v>
      </c>
      <c r="AL344" s="354">
        <f t="shared" si="443"/>
        <v>5.5274127075952872</v>
      </c>
      <c r="AM344" s="354">
        <f t="shared" si="444"/>
        <v>13.036747514320341</v>
      </c>
      <c r="AN344" s="354">
        <f t="shared" si="445"/>
        <v>0.72828181750324095</v>
      </c>
      <c r="AO344" s="374">
        <f t="shared" si="446"/>
        <v>11.186629546144607</v>
      </c>
      <c r="AP344" s="354">
        <f t="shared" si="447"/>
        <v>2.5652118200328782</v>
      </c>
      <c r="AQ344" s="354">
        <f t="shared" si="448"/>
        <v>8.6214177261117282</v>
      </c>
      <c r="AR344" s="374">
        <f t="shared" si="449"/>
        <v>20.407669397176551</v>
      </c>
      <c r="AS344" s="354">
        <f t="shared" si="450"/>
        <v>8.8433359520187942</v>
      </c>
      <c r="AT344" s="354">
        <f t="shared" si="451"/>
        <v>11.564333445157757</v>
      </c>
      <c r="AU344" s="355" t="s">
        <v>396</v>
      </c>
      <c r="AV344" s="354" t="s">
        <v>346</v>
      </c>
      <c r="AW344" s="353">
        <v>0</v>
      </c>
      <c r="AX344" s="353">
        <v>0</v>
      </c>
      <c r="AY344" s="353">
        <v>0</v>
      </c>
      <c r="AZ344" s="353">
        <v>0</v>
      </c>
      <c r="BA344" s="353">
        <v>0</v>
      </c>
      <c r="BB344" s="353">
        <v>0</v>
      </c>
    </row>
    <row r="345" spans="1:54" x14ac:dyDescent="0.25">
      <c r="A345" s="348" t="s">
        <v>864</v>
      </c>
      <c r="B345" s="349">
        <v>16</v>
      </c>
      <c r="C345" s="607">
        <v>45108</v>
      </c>
      <c r="D345" s="351">
        <v>45134</v>
      </c>
      <c r="E345" s="352"/>
      <c r="F345" s="352">
        <v>6</v>
      </c>
      <c r="G345" s="429" t="s">
        <v>311</v>
      </c>
      <c r="H345" s="353" t="s">
        <v>870</v>
      </c>
      <c r="I345" s="350" t="s">
        <v>393</v>
      </c>
      <c r="J345" s="560">
        <v>147836</v>
      </c>
      <c r="K345" s="350" t="s">
        <v>394</v>
      </c>
      <c r="L345" s="354">
        <v>2803.6597999999999</v>
      </c>
      <c r="M345" s="560">
        <f t="shared" si="389"/>
        <v>52.729650009605301</v>
      </c>
      <c r="N345" s="354" t="s">
        <v>395</v>
      </c>
      <c r="O345" s="354">
        <v>0</v>
      </c>
      <c r="P345" s="374">
        <f t="shared" si="421"/>
        <v>3.3223968982383267</v>
      </c>
      <c r="Q345" s="354">
        <f t="shared" si="422"/>
        <v>0.31335271139447995</v>
      </c>
      <c r="R345" s="354">
        <f t="shared" si="423"/>
        <v>0.52822153349105283</v>
      </c>
      <c r="S345" s="354">
        <f t="shared" si="424"/>
        <v>0.47053266907975488</v>
      </c>
      <c r="T345" s="354">
        <f t="shared" si="425"/>
        <v>2.0079426706465977</v>
      </c>
      <c r="U345" s="374">
        <f t="shared" si="426"/>
        <v>13.334220332036521</v>
      </c>
      <c r="V345" s="354">
        <f t="shared" si="427"/>
        <v>0.35296636148265415</v>
      </c>
      <c r="W345" s="354">
        <f t="shared" si="428"/>
        <v>12.040413638672973</v>
      </c>
      <c r="X345" s="354">
        <f t="shared" si="429"/>
        <v>0.94084033188089389</v>
      </c>
      <c r="Y345" s="374">
        <f t="shared" si="430"/>
        <v>1.9547763091061181</v>
      </c>
      <c r="Z345" s="354">
        <f t="shared" si="431"/>
        <v>1.0083909586137789</v>
      </c>
      <c r="AA345" s="354">
        <f t="shared" si="432"/>
        <v>0.94638535049233907</v>
      </c>
      <c r="AB345" s="374">
        <f t="shared" si="433"/>
        <v>10.67971671887674</v>
      </c>
      <c r="AC345" s="354">
        <f t="shared" si="434"/>
        <v>3.0308243478329517</v>
      </c>
      <c r="AD345" s="354">
        <f t="shared" si="435"/>
        <v>6.5974313604611421</v>
      </c>
      <c r="AE345" s="354">
        <f t="shared" si="436"/>
        <v>1.0514610105826467</v>
      </c>
      <c r="AF345" s="374">
        <f t="shared" si="437"/>
        <v>8.547502926185965</v>
      </c>
      <c r="AG345" s="354">
        <f t="shared" si="438"/>
        <v>0.5493198252574566</v>
      </c>
      <c r="AH345" s="354">
        <f t="shared" si="439"/>
        <v>2.7638488690117486</v>
      </c>
      <c r="AI345" s="354">
        <f t="shared" si="440"/>
        <v>0</v>
      </c>
      <c r="AJ345" s="354">
        <f t="shared" si="441"/>
        <v>5.2343342319167601</v>
      </c>
      <c r="AK345" s="374">
        <f t="shared" si="442"/>
        <v>5.6455661987417312</v>
      </c>
      <c r="AL345" s="354">
        <f t="shared" si="443"/>
        <v>1.6174921912288633</v>
      </c>
      <c r="AM345" s="354">
        <f t="shared" si="444"/>
        <v>3.8149561863654142</v>
      </c>
      <c r="AN345" s="354">
        <f t="shared" si="445"/>
        <v>0.2131178211474539</v>
      </c>
      <c r="AO345" s="374">
        <f t="shared" si="446"/>
        <v>3.2735543543175996</v>
      </c>
      <c r="AP345" s="354">
        <f t="shared" si="447"/>
        <v>0.75066044589897896</v>
      </c>
      <c r="AQ345" s="354">
        <f t="shared" si="448"/>
        <v>2.5228939084186206</v>
      </c>
      <c r="AR345" s="374">
        <f t="shared" si="449"/>
        <v>5.9719162721022983</v>
      </c>
      <c r="AS345" s="354">
        <f t="shared" si="450"/>
        <v>2.5878340560943687</v>
      </c>
      <c r="AT345" s="354">
        <f t="shared" si="451"/>
        <v>3.38408221600793</v>
      </c>
      <c r="AU345" s="355" t="s">
        <v>396</v>
      </c>
      <c r="AV345" s="354" t="s">
        <v>346</v>
      </c>
      <c r="AW345" s="353">
        <v>0</v>
      </c>
      <c r="AX345" s="353">
        <v>0</v>
      </c>
      <c r="AY345" s="353">
        <v>0</v>
      </c>
      <c r="AZ345" s="353">
        <v>0</v>
      </c>
      <c r="BA345" s="353">
        <v>0</v>
      </c>
      <c r="BB345" s="353">
        <v>0</v>
      </c>
    </row>
    <row r="346" spans="1:54" x14ac:dyDescent="0.25">
      <c r="A346" s="348" t="s">
        <v>871</v>
      </c>
      <c r="B346" s="349">
        <v>17</v>
      </c>
      <c r="C346" s="607">
        <v>45108</v>
      </c>
      <c r="D346" s="351">
        <v>45134</v>
      </c>
      <c r="E346" s="352"/>
      <c r="F346" s="352">
        <v>6</v>
      </c>
      <c r="G346" s="429" t="s">
        <v>306</v>
      </c>
      <c r="H346" s="353" t="s">
        <v>872</v>
      </c>
      <c r="I346" s="350" t="s">
        <v>393</v>
      </c>
      <c r="J346" s="560">
        <f>608892/6</f>
        <v>101482</v>
      </c>
      <c r="K346" s="350" t="s">
        <v>394</v>
      </c>
      <c r="L346" s="354">
        <v>2803.6597999999999</v>
      </c>
      <c r="M346" s="560">
        <f t="shared" si="389"/>
        <v>36.196260330871816</v>
      </c>
      <c r="N346" s="354" t="s">
        <v>395</v>
      </c>
      <c r="O346" s="354">
        <v>0</v>
      </c>
      <c r="P346" s="374">
        <f t="shared" si="421"/>
        <v>2.2806588518833162</v>
      </c>
      <c r="Q346" s="354">
        <f t="shared" si="422"/>
        <v>0.21510092168169201</v>
      </c>
      <c r="R346" s="354">
        <f t="shared" si="423"/>
        <v>0.3625975923438069</v>
      </c>
      <c r="S346" s="354">
        <f t="shared" si="424"/>
        <v>0.32299708003160055</v>
      </c>
      <c r="T346" s="354">
        <f t="shared" si="425"/>
        <v>1.3783519447398336</v>
      </c>
      <c r="U346" s="374">
        <f t="shared" si="426"/>
        <v>9.1532735445745974</v>
      </c>
      <c r="V346" s="354">
        <f t="shared" si="427"/>
        <v>0.2422937058360799</v>
      </c>
      <c r="W346" s="354">
        <f t="shared" si="428"/>
        <v>8.2651401342014843</v>
      </c>
      <c r="X346" s="354">
        <f t="shared" si="429"/>
        <v>0.64583970453703343</v>
      </c>
      <c r="Y346" s="374">
        <f t="shared" si="430"/>
        <v>1.3418559038441726</v>
      </c>
      <c r="Z346" s="354">
        <f t="shared" si="431"/>
        <v>0.69220982211398796</v>
      </c>
      <c r="AA346" s="354">
        <f t="shared" si="432"/>
        <v>0.64964608173018457</v>
      </c>
      <c r="AB346" s="374">
        <f t="shared" si="433"/>
        <v>7.3310899379383203</v>
      </c>
      <c r="AC346" s="354">
        <f t="shared" si="434"/>
        <v>2.080508918441947</v>
      </c>
      <c r="AD346" s="354">
        <f t="shared" si="435"/>
        <v>4.5288057666760304</v>
      </c>
      <c r="AE346" s="354">
        <f t="shared" si="436"/>
        <v>0.72177525282034261</v>
      </c>
      <c r="AF346" s="374">
        <f t="shared" si="437"/>
        <v>5.867432100132608</v>
      </c>
      <c r="AG346" s="354">
        <f t="shared" si="438"/>
        <v>0.37708051155860023</v>
      </c>
      <c r="AH346" s="354">
        <f t="shared" si="439"/>
        <v>1.8972436410958786</v>
      </c>
      <c r="AI346" s="354">
        <f t="shared" si="440"/>
        <v>0</v>
      </c>
      <c r="AJ346" s="354">
        <f t="shared" si="441"/>
        <v>3.5931079474781296</v>
      </c>
      <c r="AK346" s="374">
        <f t="shared" si="442"/>
        <v>3.8753980693519061</v>
      </c>
      <c r="AL346" s="354">
        <f t="shared" si="443"/>
        <v>1.1103272717760728</v>
      </c>
      <c r="AM346" s="354">
        <f t="shared" si="444"/>
        <v>2.6187761012522999</v>
      </c>
      <c r="AN346" s="354">
        <f t="shared" si="445"/>
        <v>0.14629469632353362</v>
      </c>
      <c r="AO346" s="374">
        <f t="shared" si="446"/>
        <v>2.2471308949434419</v>
      </c>
      <c r="AP346" s="354">
        <f t="shared" si="447"/>
        <v>0.5152907503633769</v>
      </c>
      <c r="AQ346" s="354">
        <f t="shared" si="448"/>
        <v>1.7318401445800651</v>
      </c>
      <c r="AR346" s="374">
        <f t="shared" si="449"/>
        <v>4.0994210282034516</v>
      </c>
      <c r="AS346" s="354">
        <f t="shared" si="450"/>
        <v>1.7764182992002537</v>
      </c>
      <c r="AT346" s="354">
        <f t="shared" si="451"/>
        <v>2.323002729003198</v>
      </c>
      <c r="AU346" s="355" t="s">
        <v>396</v>
      </c>
      <c r="AV346" s="354" t="s">
        <v>346</v>
      </c>
      <c r="AW346" s="353">
        <v>0</v>
      </c>
      <c r="AX346" s="353">
        <v>0</v>
      </c>
      <c r="AY346" s="353">
        <v>0</v>
      </c>
      <c r="AZ346" s="353">
        <v>0</v>
      </c>
      <c r="BA346" s="353">
        <v>0</v>
      </c>
      <c r="BB346" s="353">
        <v>0</v>
      </c>
    </row>
    <row r="347" spans="1:54" x14ac:dyDescent="0.25">
      <c r="A347" s="348" t="s">
        <v>871</v>
      </c>
      <c r="B347" s="349">
        <v>17</v>
      </c>
      <c r="C347" s="607">
        <v>45108</v>
      </c>
      <c r="D347" s="351">
        <v>45134</v>
      </c>
      <c r="E347" s="352"/>
      <c r="F347" s="352">
        <v>6</v>
      </c>
      <c r="G347" s="429" t="s">
        <v>306</v>
      </c>
      <c r="H347" s="353" t="s">
        <v>873</v>
      </c>
      <c r="I347" s="350" t="s">
        <v>393</v>
      </c>
      <c r="J347" s="560">
        <f t="shared" ref="J347:J351" si="452">608892/6</f>
        <v>101482</v>
      </c>
      <c r="K347" s="350" t="s">
        <v>394</v>
      </c>
      <c r="L347" s="354">
        <v>2803.6597999999999</v>
      </c>
      <c r="M347" s="560">
        <f t="shared" si="389"/>
        <v>36.196260330871816</v>
      </c>
      <c r="N347" s="354" t="s">
        <v>395</v>
      </c>
      <c r="O347" s="354">
        <v>0</v>
      </c>
      <c r="P347" s="374">
        <f t="shared" si="421"/>
        <v>2.2806588518833162</v>
      </c>
      <c r="Q347" s="354">
        <f t="shared" si="422"/>
        <v>0.21510092168169201</v>
      </c>
      <c r="R347" s="354">
        <f t="shared" si="423"/>
        <v>0.3625975923438069</v>
      </c>
      <c r="S347" s="354">
        <f t="shared" si="424"/>
        <v>0.32299708003160055</v>
      </c>
      <c r="T347" s="354">
        <f t="shared" si="425"/>
        <v>1.3783519447398336</v>
      </c>
      <c r="U347" s="374">
        <f t="shared" si="426"/>
        <v>9.1532735445745974</v>
      </c>
      <c r="V347" s="354">
        <f t="shared" si="427"/>
        <v>0.2422937058360799</v>
      </c>
      <c r="W347" s="354">
        <f t="shared" si="428"/>
        <v>8.2651401342014843</v>
      </c>
      <c r="X347" s="354">
        <f t="shared" si="429"/>
        <v>0.64583970453703343</v>
      </c>
      <c r="Y347" s="374">
        <f t="shared" si="430"/>
        <v>1.3418559038441726</v>
      </c>
      <c r="Z347" s="354">
        <f t="shared" si="431"/>
        <v>0.69220982211398796</v>
      </c>
      <c r="AA347" s="354">
        <f t="shared" si="432"/>
        <v>0.64964608173018457</v>
      </c>
      <c r="AB347" s="374">
        <f t="shared" si="433"/>
        <v>7.3310899379383203</v>
      </c>
      <c r="AC347" s="354">
        <f t="shared" si="434"/>
        <v>2.080508918441947</v>
      </c>
      <c r="AD347" s="354">
        <f t="shared" si="435"/>
        <v>4.5288057666760304</v>
      </c>
      <c r="AE347" s="354">
        <f t="shared" si="436"/>
        <v>0.72177525282034261</v>
      </c>
      <c r="AF347" s="374">
        <f t="shared" si="437"/>
        <v>5.867432100132608</v>
      </c>
      <c r="AG347" s="354">
        <f t="shared" si="438"/>
        <v>0.37708051155860023</v>
      </c>
      <c r="AH347" s="354">
        <f t="shared" si="439"/>
        <v>1.8972436410958786</v>
      </c>
      <c r="AI347" s="354">
        <f t="shared" si="440"/>
        <v>0</v>
      </c>
      <c r="AJ347" s="354">
        <f t="shared" si="441"/>
        <v>3.5931079474781296</v>
      </c>
      <c r="AK347" s="374">
        <f t="shared" si="442"/>
        <v>3.8753980693519061</v>
      </c>
      <c r="AL347" s="354">
        <f t="shared" si="443"/>
        <v>1.1103272717760728</v>
      </c>
      <c r="AM347" s="354">
        <f t="shared" si="444"/>
        <v>2.6187761012522999</v>
      </c>
      <c r="AN347" s="354">
        <f t="shared" si="445"/>
        <v>0.14629469632353362</v>
      </c>
      <c r="AO347" s="374">
        <f t="shared" si="446"/>
        <v>2.2471308949434419</v>
      </c>
      <c r="AP347" s="354">
        <f t="shared" si="447"/>
        <v>0.5152907503633769</v>
      </c>
      <c r="AQ347" s="354">
        <f t="shared" si="448"/>
        <v>1.7318401445800651</v>
      </c>
      <c r="AR347" s="374">
        <f t="shared" si="449"/>
        <v>4.0994210282034516</v>
      </c>
      <c r="AS347" s="354">
        <f t="shared" si="450"/>
        <v>1.7764182992002537</v>
      </c>
      <c r="AT347" s="354">
        <f t="shared" si="451"/>
        <v>2.323002729003198</v>
      </c>
      <c r="AU347" s="355" t="s">
        <v>396</v>
      </c>
      <c r="AV347" s="354" t="s">
        <v>346</v>
      </c>
      <c r="AW347" s="353">
        <v>0</v>
      </c>
      <c r="AX347" s="353">
        <v>0</v>
      </c>
      <c r="AY347" s="353">
        <v>0</v>
      </c>
      <c r="AZ347" s="353">
        <v>0</v>
      </c>
      <c r="BA347" s="353">
        <v>0</v>
      </c>
      <c r="BB347" s="353">
        <v>0</v>
      </c>
    </row>
    <row r="348" spans="1:54" x14ac:dyDescent="0.25">
      <c r="A348" s="348" t="s">
        <v>871</v>
      </c>
      <c r="B348" s="349">
        <v>17</v>
      </c>
      <c r="C348" s="607">
        <v>45108</v>
      </c>
      <c r="D348" s="351">
        <v>45134</v>
      </c>
      <c r="E348" s="352"/>
      <c r="F348" s="352">
        <v>6</v>
      </c>
      <c r="G348" s="429" t="s">
        <v>306</v>
      </c>
      <c r="H348" s="353" t="s">
        <v>874</v>
      </c>
      <c r="I348" s="350" t="s">
        <v>393</v>
      </c>
      <c r="J348" s="560">
        <f t="shared" si="452"/>
        <v>101482</v>
      </c>
      <c r="K348" s="350" t="s">
        <v>394</v>
      </c>
      <c r="L348" s="354">
        <v>2803.6597999999999</v>
      </c>
      <c r="M348" s="560">
        <f t="shared" si="389"/>
        <v>36.196260330871816</v>
      </c>
      <c r="N348" s="354" t="s">
        <v>395</v>
      </c>
      <c r="O348" s="354">
        <v>0</v>
      </c>
      <c r="P348" s="374">
        <f t="shared" si="421"/>
        <v>2.2806588518833162</v>
      </c>
      <c r="Q348" s="354">
        <f t="shared" si="422"/>
        <v>0.21510092168169201</v>
      </c>
      <c r="R348" s="354">
        <f t="shared" si="423"/>
        <v>0.3625975923438069</v>
      </c>
      <c r="S348" s="354">
        <f t="shared" si="424"/>
        <v>0.32299708003160055</v>
      </c>
      <c r="T348" s="354">
        <f t="shared" si="425"/>
        <v>1.3783519447398336</v>
      </c>
      <c r="U348" s="374">
        <f t="shared" si="426"/>
        <v>9.1532735445745974</v>
      </c>
      <c r="V348" s="354">
        <f t="shared" si="427"/>
        <v>0.2422937058360799</v>
      </c>
      <c r="W348" s="354">
        <f t="shared" si="428"/>
        <v>8.2651401342014843</v>
      </c>
      <c r="X348" s="354">
        <f t="shared" si="429"/>
        <v>0.64583970453703343</v>
      </c>
      <c r="Y348" s="374">
        <f t="shared" si="430"/>
        <v>1.3418559038441726</v>
      </c>
      <c r="Z348" s="354">
        <f t="shared" si="431"/>
        <v>0.69220982211398796</v>
      </c>
      <c r="AA348" s="354">
        <f t="shared" si="432"/>
        <v>0.64964608173018457</v>
      </c>
      <c r="AB348" s="374">
        <f t="shared" si="433"/>
        <v>7.3310899379383203</v>
      </c>
      <c r="AC348" s="354">
        <f t="shared" si="434"/>
        <v>2.080508918441947</v>
      </c>
      <c r="AD348" s="354">
        <f t="shared" si="435"/>
        <v>4.5288057666760304</v>
      </c>
      <c r="AE348" s="354">
        <f t="shared" si="436"/>
        <v>0.72177525282034261</v>
      </c>
      <c r="AF348" s="374">
        <f t="shared" si="437"/>
        <v>5.867432100132608</v>
      </c>
      <c r="AG348" s="354">
        <f t="shared" si="438"/>
        <v>0.37708051155860023</v>
      </c>
      <c r="AH348" s="354">
        <f t="shared" si="439"/>
        <v>1.8972436410958786</v>
      </c>
      <c r="AI348" s="354">
        <f t="shared" si="440"/>
        <v>0</v>
      </c>
      <c r="AJ348" s="354">
        <f t="shared" si="441"/>
        <v>3.5931079474781296</v>
      </c>
      <c r="AK348" s="374">
        <f t="shared" si="442"/>
        <v>3.8753980693519061</v>
      </c>
      <c r="AL348" s="354">
        <f t="shared" si="443"/>
        <v>1.1103272717760728</v>
      </c>
      <c r="AM348" s="354">
        <f t="shared" si="444"/>
        <v>2.6187761012522999</v>
      </c>
      <c r="AN348" s="354">
        <f t="shared" si="445"/>
        <v>0.14629469632353362</v>
      </c>
      <c r="AO348" s="374">
        <f t="shared" si="446"/>
        <v>2.2471308949434419</v>
      </c>
      <c r="AP348" s="354">
        <f t="shared" si="447"/>
        <v>0.5152907503633769</v>
      </c>
      <c r="AQ348" s="354">
        <f t="shared" si="448"/>
        <v>1.7318401445800651</v>
      </c>
      <c r="AR348" s="374">
        <f t="shared" si="449"/>
        <v>4.0994210282034516</v>
      </c>
      <c r="AS348" s="354">
        <f t="shared" si="450"/>
        <v>1.7764182992002537</v>
      </c>
      <c r="AT348" s="354">
        <f t="shared" si="451"/>
        <v>2.323002729003198</v>
      </c>
      <c r="AU348" s="355" t="s">
        <v>396</v>
      </c>
      <c r="AV348" s="354" t="s">
        <v>346</v>
      </c>
      <c r="AW348" s="353">
        <v>0</v>
      </c>
      <c r="AX348" s="353">
        <v>0</v>
      </c>
      <c r="AY348" s="353">
        <v>0</v>
      </c>
      <c r="AZ348" s="353">
        <v>0</v>
      </c>
      <c r="BA348" s="353">
        <v>0</v>
      </c>
      <c r="BB348" s="353">
        <v>0</v>
      </c>
    </row>
    <row r="349" spans="1:54" x14ac:dyDescent="0.25">
      <c r="A349" s="348" t="s">
        <v>871</v>
      </c>
      <c r="B349" s="349">
        <v>17</v>
      </c>
      <c r="C349" s="607">
        <v>45108</v>
      </c>
      <c r="D349" s="351">
        <v>45134</v>
      </c>
      <c r="E349" s="352"/>
      <c r="F349" s="352">
        <v>6</v>
      </c>
      <c r="G349" s="429" t="s">
        <v>306</v>
      </c>
      <c r="H349" s="353" t="s">
        <v>875</v>
      </c>
      <c r="I349" s="350" t="s">
        <v>393</v>
      </c>
      <c r="J349" s="560">
        <f t="shared" si="452"/>
        <v>101482</v>
      </c>
      <c r="K349" s="350" t="s">
        <v>394</v>
      </c>
      <c r="L349" s="354">
        <v>2803.6597999999999</v>
      </c>
      <c r="M349" s="560">
        <f t="shared" si="389"/>
        <v>36.196260330871816</v>
      </c>
      <c r="N349" s="354" t="s">
        <v>395</v>
      </c>
      <c r="O349" s="354">
        <v>0</v>
      </c>
      <c r="P349" s="374">
        <f t="shared" si="421"/>
        <v>2.2806588518833162</v>
      </c>
      <c r="Q349" s="354">
        <f t="shared" si="422"/>
        <v>0.21510092168169201</v>
      </c>
      <c r="R349" s="354">
        <f t="shared" si="423"/>
        <v>0.3625975923438069</v>
      </c>
      <c r="S349" s="354">
        <f t="shared" si="424"/>
        <v>0.32299708003160055</v>
      </c>
      <c r="T349" s="354">
        <f t="shared" si="425"/>
        <v>1.3783519447398336</v>
      </c>
      <c r="U349" s="374">
        <f t="shared" si="426"/>
        <v>9.1532735445745974</v>
      </c>
      <c r="V349" s="354">
        <f t="shared" si="427"/>
        <v>0.2422937058360799</v>
      </c>
      <c r="W349" s="354">
        <f t="shared" si="428"/>
        <v>8.2651401342014843</v>
      </c>
      <c r="X349" s="354">
        <f t="shared" si="429"/>
        <v>0.64583970453703343</v>
      </c>
      <c r="Y349" s="374">
        <f t="shared" si="430"/>
        <v>1.3418559038441726</v>
      </c>
      <c r="Z349" s="354">
        <f t="shared" si="431"/>
        <v>0.69220982211398796</v>
      </c>
      <c r="AA349" s="354">
        <f t="shared" si="432"/>
        <v>0.64964608173018457</v>
      </c>
      <c r="AB349" s="374">
        <f t="shared" si="433"/>
        <v>7.3310899379383203</v>
      </c>
      <c r="AC349" s="354">
        <f t="shared" si="434"/>
        <v>2.080508918441947</v>
      </c>
      <c r="AD349" s="354">
        <f t="shared" si="435"/>
        <v>4.5288057666760304</v>
      </c>
      <c r="AE349" s="354">
        <f t="shared" si="436"/>
        <v>0.72177525282034261</v>
      </c>
      <c r="AF349" s="374">
        <f t="shared" si="437"/>
        <v>5.867432100132608</v>
      </c>
      <c r="AG349" s="354">
        <f t="shared" si="438"/>
        <v>0.37708051155860023</v>
      </c>
      <c r="AH349" s="354">
        <f t="shared" si="439"/>
        <v>1.8972436410958786</v>
      </c>
      <c r="AI349" s="354">
        <f t="shared" si="440"/>
        <v>0</v>
      </c>
      <c r="AJ349" s="354">
        <f t="shared" si="441"/>
        <v>3.5931079474781296</v>
      </c>
      <c r="AK349" s="374">
        <f t="shared" si="442"/>
        <v>3.8753980693519061</v>
      </c>
      <c r="AL349" s="354">
        <f t="shared" si="443"/>
        <v>1.1103272717760728</v>
      </c>
      <c r="AM349" s="354">
        <f t="shared" si="444"/>
        <v>2.6187761012522999</v>
      </c>
      <c r="AN349" s="354">
        <f t="shared" si="445"/>
        <v>0.14629469632353362</v>
      </c>
      <c r="AO349" s="374">
        <f t="shared" si="446"/>
        <v>2.2471308949434419</v>
      </c>
      <c r="AP349" s="354">
        <f t="shared" si="447"/>
        <v>0.5152907503633769</v>
      </c>
      <c r="AQ349" s="354">
        <f t="shared" si="448"/>
        <v>1.7318401445800651</v>
      </c>
      <c r="AR349" s="374">
        <f t="shared" si="449"/>
        <v>4.0994210282034516</v>
      </c>
      <c r="AS349" s="354">
        <f t="shared" si="450"/>
        <v>1.7764182992002537</v>
      </c>
      <c r="AT349" s="354">
        <f t="shared" si="451"/>
        <v>2.323002729003198</v>
      </c>
      <c r="AU349" s="355" t="s">
        <v>396</v>
      </c>
      <c r="AV349" s="354" t="s">
        <v>346</v>
      </c>
      <c r="AW349" s="353">
        <v>0</v>
      </c>
      <c r="AX349" s="353">
        <v>0</v>
      </c>
      <c r="AY349" s="353">
        <v>0</v>
      </c>
      <c r="AZ349" s="353">
        <v>0</v>
      </c>
      <c r="BA349" s="353">
        <v>0</v>
      </c>
      <c r="BB349" s="353">
        <v>0</v>
      </c>
    </row>
    <row r="350" spans="1:54" x14ac:dyDescent="0.25">
      <c r="A350" s="348" t="s">
        <v>871</v>
      </c>
      <c r="B350" s="349">
        <v>17</v>
      </c>
      <c r="C350" s="607">
        <v>45108</v>
      </c>
      <c r="D350" s="351">
        <v>45134</v>
      </c>
      <c r="E350" s="352"/>
      <c r="F350" s="352">
        <v>6</v>
      </c>
      <c r="G350" s="429" t="s">
        <v>306</v>
      </c>
      <c r="H350" s="353" t="s">
        <v>876</v>
      </c>
      <c r="I350" s="350" t="s">
        <v>393</v>
      </c>
      <c r="J350" s="560">
        <f t="shared" si="452"/>
        <v>101482</v>
      </c>
      <c r="K350" s="350" t="s">
        <v>394</v>
      </c>
      <c r="L350" s="354">
        <v>2803.6597999999999</v>
      </c>
      <c r="M350" s="560">
        <f t="shared" si="389"/>
        <v>36.196260330871816</v>
      </c>
      <c r="N350" s="354" t="s">
        <v>395</v>
      </c>
      <c r="O350" s="354">
        <v>0</v>
      </c>
      <c r="P350" s="374">
        <f t="shared" si="421"/>
        <v>2.2806588518833162</v>
      </c>
      <c r="Q350" s="354">
        <f t="shared" si="422"/>
        <v>0.21510092168169201</v>
      </c>
      <c r="R350" s="354">
        <f t="shared" si="423"/>
        <v>0.3625975923438069</v>
      </c>
      <c r="S350" s="354">
        <f t="shared" si="424"/>
        <v>0.32299708003160055</v>
      </c>
      <c r="T350" s="354">
        <f t="shared" si="425"/>
        <v>1.3783519447398336</v>
      </c>
      <c r="U350" s="374">
        <f t="shared" si="426"/>
        <v>9.1532735445745974</v>
      </c>
      <c r="V350" s="354">
        <f t="shared" si="427"/>
        <v>0.2422937058360799</v>
      </c>
      <c r="W350" s="354">
        <f t="shared" si="428"/>
        <v>8.2651401342014843</v>
      </c>
      <c r="X350" s="354">
        <f t="shared" si="429"/>
        <v>0.64583970453703343</v>
      </c>
      <c r="Y350" s="374">
        <f t="shared" si="430"/>
        <v>1.3418559038441726</v>
      </c>
      <c r="Z350" s="354">
        <f t="shared" si="431"/>
        <v>0.69220982211398796</v>
      </c>
      <c r="AA350" s="354">
        <f t="shared" si="432"/>
        <v>0.64964608173018457</v>
      </c>
      <c r="AB350" s="374">
        <f t="shared" si="433"/>
        <v>7.3310899379383203</v>
      </c>
      <c r="AC350" s="354">
        <f t="shared" si="434"/>
        <v>2.080508918441947</v>
      </c>
      <c r="AD350" s="354">
        <f t="shared" si="435"/>
        <v>4.5288057666760304</v>
      </c>
      <c r="AE350" s="354">
        <f t="shared" si="436"/>
        <v>0.72177525282034261</v>
      </c>
      <c r="AF350" s="374">
        <f t="shared" si="437"/>
        <v>5.867432100132608</v>
      </c>
      <c r="AG350" s="354">
        <f t="shared" si="438"/>
        <v>0.37708051155860023</v>
      </c>
      <c r="AH350" s="354">
        <f t="shared" si="439"/>
        <v>1.8972436410958786</v>
      </c>
      <c r="AI350" s="354">
        <f t="shared" si="440"/>
        <v>0</v>
      </c>
      <c r="AJ350" s="354">
        <f t="shared" si="441"/>
        <v>3.5931079474781296</v>
      </c>
      <c r="AK350" s="374">
        <f t="shared" si="442"/>
        <v>3.8753980693519061</v>
      </c>
      <c r="AL350" s="354">
        <f t="shared" si="443"/>
        <v>1.1103272717760728</v>
      </c>
      <c r="AM350" s="354">
        <f t="shared" si="444"/>
        <v>2.6187761012522999</v>
      </c>
      <c r="AN350" s="354">
        <f t="shared" si="445"/>
        <v>0.14629469632353362</v>
      </c>
      <c r="AO350" s="374">
        <f t="shared" si="446"/>
        <v>2.2471308949434419</v>
      </c>
      <c r="AP350" s="354">
        <f t="shared" si="447"/>
        <v>0.5152907503633769</v>
      </c>
      <c r="AQ350" s="354">
        <f t="shared" si="448"/>
        <v>1.7318401445800651</v>
      </c>
      <c r="AR350" s="374">
        <f t="shared" si="449"/>
        <v>4.0994210282034516</v>
      </c>
      <c r="AS350" s="354">
        <f t="shared" si="450"/>
        <v>1.7764182992002537</v>
      </c>
      <c r="AT350" s="354">
        <f t="shared" si="451"/>
        <v>2.323002729003198</v>
      </c>
      <c r="AU350" s="355" t="s">
        <v>396</v>
      </c>
      <c r="AV350" s="354" t="s">
        <v>346</v>
      </c>
      <c r="AW350" s="353">
        <v>0</v>
      </c>
      <c r="AX350" s="353">
        <v>0</v>
      </c>
      <c r="AY350" s="353">
        <v>0</v>
      </c>
      <c r="AZ350" s="353">
        <v>0</v>
      </c>
      <c r="BA350" s="353">
        <v>0</v>
      </c>
      <c r="BB350" s="353">
        <v>0</v>
      </c>
    </row>
    <row r="351" spans="1:54" x14ac:dyDescent="0.25">
      <c r="A351" s="348" t="s">
        <v>871</v>
      </c>
      <c r="B351" s="349">
        <v>17</v>
      </c>
      <c r="C351" s="607">
        <v>45108</v>
      </c>
      <c r="D351" s="351">
        <v>45134</v>
      </c>
      <c r="E351" s="352"/>
      <c r="F351" s="352">
        <v>6</v>
      </c>
      <c r="G351" s="429" t="s">
        <v>306</v>
      </c>
      <c r="H351" s="353" t="s">
        <v>877</v>
      </c>
      <c r="I351" s="350" t="s">
        <v>393</v>
      </c>
      <c r="J351" s="560">
        <f t="shared" si="452"/>
        <v>101482</v>
      </c>
      <c r="K351" s="350" t="s">
        <v>394</v>
      </c>
      <c r="L351" s="354">
        <v>2803.6597999999999</v>
      </c>
      <c r="M351" s="560">
        <f t="shared" si="389"/>
        <v>36.196260330871816</v>
      </c>
      <c r="N351" s="354" t="s">
        <v>395</v>
      </c>
      <c r="O351" s="354">
        <v>0</v>
      </c>
      <c r="P351" s="374">
        <f t="shared" si="421"/>
        <v>2.2806588518833162</v>
      </c>
      <c r="Q351" s="354">
        <f t="shared" si="422"/>
        <v>0.21510092168169201</v>
      </c>
      <c r="R351" s="354">
        <f t="shared" si="423"/>
        <v>0.3625975923438069</v>
      </c>
      <c r="S351" s="354">
        <f t="shared" si="424"/>
        <v>0.32299708003160055</v>
      </c>
      <c r="T351" s="354">
        <f t="shared" si="425"/>
        <v>1.3783519447398336</v>
      </c>
      <c r="U351" s="374">
        <f t="shared" si="426"/>
        <v>9.1532735445745974</v>
      </c>
      <c r="V351" s="354">
        <f t="shared" si="427"/>
        <v>0.2422937058360799</v>
      </c>
      <c r="W351" s="354">
        <f t="shared" si="428"/>
        <v>8.2651401342014843</v>
      </c>
      <c r="X351" s="354">
        <f t="shared" si="429"/>
        <v>0.64583970453703343</v>
      </c>
      <c r="Y351" s="374">
        <f t="shared" si="430"/>
        <v>1.3418559038441726</v>
      </c>
      <c r="Z351" s="354">
        <f t="shared" si="431"/>
        <v>0.69220982211398796</v>
      </c>
      <c r="AA351" s="354">
        <f t="shared" si="432"/>
        <v>0.64964608173018457</v>
      </c>
      <c r="AB351" s="374">
        <f t="shared" si="433"/>
        <v>7.3310899379383203</v>
      </c>
      <c r="AC351" s="354">
        <f t="shared" si="434"/>
        <v>2.080508918441947</v>
      </c>
      <c r="AD351" s="354">
        <f t="shared" si="435"/>
        <v>4.5288057666760304</v>
      </c>
      <c r="AE351" s="354">
        <f t="shared" si="436"/>
        <v>0.72177525282034261</v>
      </c>
      <c r="AF351" s="374">
        <f t="shared" si="437"/>
        <v>5.867432100132608</v>
      </c>
      <c r="AG351" s="354">
        <f t="shared" si="438"/>
        <v>0.37708051155860023</v>
      </c>
      <c r="AH351" s="354">
        <f t="shared" si="439"/>
        <v>1.8972436410958786</v>
      </c>
      <c r="AI351" s="354">
        <f t="shared" si="440"/>
        <v>0</v>
      </c>
      <c r="AJ351" s="354">
        <f t="shared" si="441"/>
        <v>3.5931079474781296</v>
      </c>
      <c r="AK351" s="374">
        <f t="shared" si="442"/>
        <v>3.8753980693519061</v>
      </c>
      <c r="AL351" s="354">
        <f t="shared" si="443"/>
        <v>1.1103272717760728</v>
      </c>
      <c r="AM351" s="354">
        <f t="shared" si="444"/>
        <v>2.6187761012522999</v>
      </c>
      <c r="AN351" s="354">
        <f t="shared" si="445"/>
        <v>0.14629469632353362</v>
      </c>
      <c r="AO351" s="374">
        <f t="shared" si="446"/>
        <v>2.2471308949434419</v>
      </c>
      <c r="AP351" s="354">
        <f t="shared" si="447"/>
        <v>0.5152907503633769</v>
      </c>
      <c r="AQ351" s="354">
        <f t="shared" si="448"/>
        <v>1.7318401445800651</v>
      </c>
      <c r="AR351" s="374">
        <f t="shared" si="449"/>
        <v>4.0994210282034516</v>
      </c>
      <c r="AS351" s="354">
        <f t="shared" si="450"/>
        <v>1.7764182992002537</v>
      </c>
      <c r="AT351" s="354">
        <f t="shared" si="451"/>
        <v>2.323002729003198</v>
      </c>
      <c r="AU351" s="355" t="s">
        <v>396</v>
      </c>
      <c r="AV351" s="354" t="s">
        <v>346</v>
      </c>
      <c r="AW351" s="353">
        <v>0</v>
      </c>
      <c r="AX351" s="353">
        <v>0</v>
      </c>
      <c r="AY351" s="353">
        <v>0</v>
      </c>
      <c r="AZ351" s="353">
        <v>0</v>
      </c>
      <c r="BA351" s="353">
        <v>0</v>
      </c>
      <c r="BB351" s="353">
        <v>0</v>
      </c>
    </row>
    <row r="352" spans="1:54" x14ac:dyDescent="0.25">
      <c r="A352" s="348" t="s">
        <v>871</v>
      </c>
      <c r="B352" s="349">
        <v>17</v>
      </c>
      <c r="C352" s="607">
        <v>45108</v>
      </c>
      <c r="D352" s="351">
        <v>45134</v>
      </c>
      <c r="E352" s="352"/>
      <c r="F352" s="352">
        <v>6</v>
      </c>
      <c r="G352" s="429" t="s">
        <v>307</v>
      </c>
      <c r="H352" s="353" t="s">
        <v>878</v>
      </c>
      <c r="I352" s="350" t="s">
        <v>393</v>
      </c>
      <c r="J352" s="560">
        <f>389514/6</f>
        <v>64919</v>
      </c>
      <c r="K352" s="350" t="s">
        <v>394</v>
      </c>
      <c r="L352" s="354">
        <v>2803.6597999999999</v>
      </c>
      <c r="M352" s="560">
        <f t="shared" si="389"/>
        <v>23.15509178396038</v>
      </c>
      <c r="N352" s="354" t="s">
        <v>395</v>
      </c>
      <c r="O352" s="354">
        <v>0</v>
      </c>
      <c r="P352" s="374">
        <f t="shared" si="421"/>
        <v>1.4589591455175597</v>
      </c>
      <c r="Q352" s="354">
        <f t="shared" si="422"/>
        <v>0.13760210416284427</v>
      </c>
      <c r="R352" s="354">
        <f t="shared" si="423"/>
        <v>0.23195712636100588</v>
      </c>
      <c r="S352" s="354">
        <f t="shared" si="424"/>
        <v>0.20662430222671482</v>
      </c>
      <c r="T352" s="354">
        <f t="shared" si="425"/>
        <v>0.88174484046988877</v>
      </c>
      <c r="U352" s="374">
        <f t="shared" si="426"/>
        <v>5.8554360895551758</v>
      </c>
      <c r="V352" s="354">
        <f t="shared" si="427"/>
        <v>0.15499758665746116</v>
      </c>
      <c r="W352" s="354">
        <f t="shared" si="428"/>
        <v>5.2872887051124948</v>
      </c>
      <c r="X352" s="354">
        <f t="shared" si="429"/>
        <v>0.41314979778521982</v>
      </c>
      <c r="Y352" s="374">
        <f t="shared" si="430"/>
        <v>0.85839797620917835</v>
      </c>
      <c r="Z352" s="354">
        <f t="shared" si="431"/>
        <v>0.44281320275337477</v>
      </c>
      <c r="AA352" s="354">
        <f t="shared" si="432"/>
        <v>0.41558477345580352</v>
      </c>
      <c r="AB352" s="374">
        <f t="shared" si="433"/>
        <v>4.6897679162907489</v>
      </c>
      <c r="AC352" s="354">
        <f t="shared" si="434"/>
        <v>1.3309213306431953</v>
      </c>
      <c r="AD352" s="354">
        <f t="shared" si="435"/>
        <v>2.8971200958479457</v>
      </c>
      <c r="AE352" s="354">
        <f t="shared" si="436"/>
        <v>0.46172648979960801</v>
      </c>
      <c r="AF352" s="374">
        <f t="shared" si="437"/>
        <v>3.7534520851826798</v>
      </c>
      <c r="AG352" s="354">
        <f t="shared" si="438"/>
        <v>0.24122198744479575</v>
      </c>
      <c r="AH352" s="354">
        <f t="shared" si="439"/>
        <v>1.2136847907639121</v>
      </c>
      <c r="AI352" s="354">
        <f t="shared" si="440"/>
        <v>0</v>
      </c>
      <c r="AJ352" s="354">
        <f t="shared" si="441"/>
        <v>2.2985453069739723</v>
      </c>
      <c r="AK352" s="374">
        <f t="shared" si="442"/>
        <v>2.4791289811420389</v>
      </c>
      <c r="AL352" s="354">
        <f t="shared" si="443"/>
        <v>0.71028690956456197</v>
      </c>
      <c r="AM352" s="354">
        <f t="shared" si="444"/>
        <v>1.6752559637886328</v>
      </c>
      <c r="AN352" s="354">
        <f t="shared" si="445"/>
        <v>9.3586107788844131E-2</v>
      </c>
      <c r="AO352" s="374">
        <f t="shared" si="446"/>
        <v>1.4375109927754015</v>
      </c>
      <c r="AP352" s="354">
        <f t="shared" si="447"/>
        <v>0.32963639091503971</v>
      </c>
      <c r="AQ352" s="354">
        <f t="shared" si="448"/>
        <v>1.1078746018603618</v>
      </c>
      <c r="AR352" s="374">
        <f t="shared" si="449"/>
        <v>2.6224385972875965</v>
      </c>
      <c r="AS352" s="354">
        <f t="shared" si="450"/>
        <v>1.1363916710922259</v>
      </c>
      <c r="AT352" s="354">
        <f t="shared" si="451"/>
        <v>1.4860469261953708</v>
      </c>
      <c r="AU352" s="355" t="s">
        <v>396</v>
      </c>
      <c r="AV352" s="354" t="s">
        <v>346</v>
      </c>
      <c r="AW352" s="353">
        <v>0</v>
      </c>
      <c r="AX352" s="353">
        <v>0</v>
      </c>
      <c r="AY352" s="353">
        <v>0</v>
      </c>
      <c r="AZ352" s="353">
        <v>0</v>
      </c>
      <c r="BA352" s="353">
        <v>0</v>
      </c>
      <c r="BB352" s="353">
        <v>0</v>
      </c>
    </row>
    <row r="353" spans="1:54" x14ac:dyDescent="0.25">
      <c r="A353" s="348" t="s">
        <v>871</v>
      </c>
      <c r="B353" s="349">
        <v>17</v>
      </c>
      <c r="C353" s="607">
        <v>45108</v>
      </c>
      <c r="D353" s="351">
        <v>45134</v>
      </c>
      <c r="E353" s="352"/>
      <c r="F353" s="352">
        <v>6</v>
      </c>
      <c r="G353" s="429" t="s">
        <v>307</v>
      </c>
      <c r="H353" s="353" t="s">
        <v>879</v>
      </c>
      <c r="I353" s="350" t="s">
        <v>393</v>
      </c>
      <c r="J353" s="560">
        <f t="shared" ref="J353:J357" si="453">389514/6</f>
        <v>64919</v>
      </c>
      <c r="K353" s="350" t="s">
        <v>394</v>
      </c>
      <c r="L353" s="354">
        <v>2803.6597999999999</v>
      </c>
      <c r="M353" s="560">
        <f t="shared" si="389"/>
        <v>23.15509178396038</v>
      </c>
      <c r="N353" s="354" t="s">
        <v>395</v>
      </c>
      <c r="O353" s="354">
        <v>0</v>
      </c>
      <c r="P353" s="374">
        <f t="shared" si="421"/>
        <v>1.4589591455175597</v>
      </c>
      <c r="Q353" s="354">
        <f t="shared" si="422"/>
        <v>0.13760210416284427</v>
      </c>
      <c r="R353" s="354">
        <f t="shared" si="423"/>
        <v>0.23195712636100588</v>
      </c>
      <c r="S353" s="354">
        <f t="shared" si="424"/>
        <v>0.20662430222671482</v>
      </c>
      <c r="T353" s="354">
        <f t="shared" si="425"/>
        <v>0.88174484046988877</v>
      </c>
      <c r="U353" s="374">
        <f t="shared" si="426"/>
        <v>5.8554360895551758</v>
      </c>
      <c r="V353" s="354">
        <f t="shared" si="427"/>
        <v>0.15499758665746116</v>
      </c>
      <c r="W353" s="354">
        <f t="shared" si="428"/>
        <v>5.2872887051124948</v>
      </c>
      <c r="X353" s="354">
        <f t="shared" si="429"/>
        <v>0.41314979778521982</v>
      </c>
      <c r="Y353" s="374">
        <f t="shared" si="430"/>
        <v>0.85839797620917835</v>
      </c>
      <c r="Z353" s="354">
        <f t="shared" si="431"/>
        <v>0.44281320275337477</v>
      </c>
      <c r="AA353" s="354">
        <f t="shared" si="432"/>
        <v>0.41558477345580352</v>
      </c>
      <c r="AB353" s="374">
        <f t="shared" si="433"/>
        <v>4.6897679162907489</v>
      </c>
      <c r="AC353" s="354">
        <f t="shared" si="434"/>
        <v>1.3309213306431953</v>
      </c>
      <c r="AD353" s="354">
        <f t="shared" si="435"/>
        <v>2.8971200958479457</v>
      </c>
      <c r="AE353" s="354">
        <f t="shared" si="436"/>
        <v>0.46172648979960801</v>
      </c>
      <c r="AF353" s="374">
        <f t="shared" si="437"/>
        <v>3.7534520851826798</v>
      </c>
      <c r="AG353" s="354">
        <f t="shared" si="438"/>
        <v>0.24122198744479575</v>
      </c>
      <c r="AH353" s="354">
        <f t="shared" si="439"/>
        <v>1.2136847907639121</v>
      </c>
      <c r="AI353" s="354">
        <f t="shared" si="440"/>
        <v>0</v>
      </c>
      <c r="AJ353" s="354">
        <f t="shared" si="441"/>
        <v>2.2985453069739723</v>
      </c>
      <c r="AK353" s="374">
        <f t="shared" si="442"/>
        <v>2.4791289811420389</v>
      </c>
      <c r="AL353" s="354">
        <f t="shared" si="443"/>
        <v>0.71028690956456197</v>
      </c>
      <c r="AM353" s="354">
        <f t="shared" si="444"/>
        <v>1.6752559637886328</v>
      </c>
      <c r="AN353" s="354">
        <f t="shared" si="445"/>
        <v>9.3586107788844131E-2</v>
      </c>
      <c r="AO353" s="374">
        <f t="shared" si="446"/>
        <v>1.4375109927754015</v>
      </c>
      <c r="AP353" s="354">
        <f t="shared" si="447"/>
        <v>0.32963639091503971</v>
      </c>
      <c r="AQ353" s="354">
        <f t="shared" si="448"/>
        <v>1.1078746018603618</v>
      </c>
      <c r="AR353" s="374">
        <f t="shared" si="449"/>
        <v>2.6224385972875965</v>
      </c>
      <c r="AS353" s="354">
        <f t="shared" si="450"/>
        <v>1.1363916710922259</v>
      </c>
      <c r="AT353" s="354">
        <f t="shared" si="451"/>
        <v>1.4860469261953708</v>
      </c>
      <c r="AU353" s="355" t="s">
        <v>396</v>
      </c>
      <c r="AV353" s="354" t="s">
        <v>346</v>
      </c>
      <c r="AW353" s="353">
        <v>0</v>
      </c>
      <c r="AX353" s="353">
        <v>0</v>
      </c>
      <c r="AY353" s="353">
        <v>0</v>
      </c>
      <c r="AZ353" s="353">
        <v>0</v>
      </c>
      <c r="BA353" s="353">
        <v>0</v>
      </c>
      <c r="BB353" s="353">
        <v>0</v>
      </c>
    </row>
    <row r="354" spans="1:54" x14ac:dyDescent="0.25">
      <c r="A354" s="348" t="s">
        <v>871</v>
      </c>
      <c r="B354" s="349">
        <v>17</v>
      </c>
      <c r="C354" s="607">
        <v>45108</v>
      </c>
      <c r="D354" s="351">
        <v>45134</v>
      </c>
      <c r="E354" s="352"/>
      <c r="F354" s="352">
        <v>6</v>
      </c>
      <c r="G354" s="429" t="s">
        <v>307</v>
      </c>
      <c r="H354" s="353" t="s">
        <v>880</v>
      </c>
      <c r="I354" s="350" t="s">
        <v>393</v>
      </c>
      <c r="J354" s="560">
        <f t="shared" si="453"/>
        <v>64919</v>
      </c>
      <c r="K354" s="350" t="s">
        <v>394</v>
      </c>
      <c r="L354" s="354">
        <v>2803.6597999999999</v>
      </c>
      <c r="M354" s="560">
        <f t="shared" si="389"/>
        <v>23.15509178396038</v>
      </c>
      <c r="N354" s="354" t="s">
        <v>395</v>
      </c>
      <c r="O354" s="354">
        <v>0</v>
      </c>
      <c r="P354" s="374">
        <f t="shared" si="421"/>
        <v>1.4589591455175597</v>
      </c>
      <c r="Q354" s="354">
        <f t="shared" si="422"/>
        <v>0.13760210416284427</v>
      </c>
      <c r="R354" s="354">
        <f t="shared" si="423"/>
        <v>0.23195712636100588</v>
      </c>
      <c r="S354" s="354">
        <f t="shared" si="424"/>
        <v>0.20662430222671482</v>
      </c>
      <c r="T354" s="354">
        <f t="shared" si="425"/>
        <v>0.88174484046988877</v>
      </c>
      <c r="U354" s="374">
        <f t="shared" si="426"/>
        <v>5.8554360895551758</v>
      </c>
      <c r="V354" s="354">
        <f t="shared" si="427"/>
        <v>0.15499758665746116</v>
      </c>
      <c r="W354" s="354">
        <f t="shared" si="428"/>
        <v>5.2872887051124948</v>
      </c>
      <c r="X354" s="354">
        <f t="shared" si="429"/>
        <v>0.41314979778521982</v>
      </c>
      <c r="Y354" s="374">
        <f t="shared" si="430"/>
        <v>0.85839797620917835</v>
      </c>
      <c r="Z354" s="354">
        <f t="shared" si="431"/>
        <v>0.44281320275337477</v>
      </c>
      <c r="AA354" s="354">
        <f t="shared" si="432"/>
        <v>0.41558477345580352</v>
      </c>
      <c r="AB354" s="374">
        <f t="shared" si="433"/>
        <v>4.6897679162907489</v>
      </c>
      <c r="AC354" s="354">
        <f t="shared" si="434"/>
        <v>1.3309213306431953</v>
      </c>
      <c r="AD354" s="354">
        <f t="shared" si="435"/>
        <v>2.8971200958479457</v>
      </c>
      <c r="AE354" s="354">
        <f t="shared" si="436"/>
        <v>0.46172648979960801</v>
      </c>
      <c r="AF354" s="374">
        <f t="shared" si="437"/>
        <v>3.7534520851826798</v>
      </c>
      <c r="AG354" s="354">
        <f t="shared" si="438"/>
        <v>0.24122198744479575</v>
      </c>
      <c r="AH354" s="354">
        <f t="shared" si="439"/>
        <v>1.2136847907639121</v>
      </c>
      <c r="AI354" s="354">
        <f t="shared" si="440"/>
        <v>0</v>
      </c>
      <c r="AJ354" s="354">
        <f t="shared" si="441"/>
        <v>2.2985453069739723</v>
      </c>
      <c r="AK354" s="374">
        <f t="shared" si="442"/>
        <v>2.4791289811420389</v>
      </c>
      <c r="AL354" s="354">
        <f t="shared" si="443"/>
        <v>0.71028690956456197</v>
      </c>
      <c r="AM354" s="354">
        <f t="shared" si="444"/>
        <v>1.6752559637886328</v>
      </c>
      <c r="AN354" s="354">
        <f t="shared" si="445"/>
        <v>9.3586107788844131E-2</v>
      </c>
      <c r="AO354" s="374">
        <f t="shared" si="446"/>
        <v>1.4375109927754015</v>
      </c>
      <c r="AP354" s="354">
        <f t="shared" si="447"/>
        <v>0.32963639091503971</v>
      </c>
      <c r="AQ354" s="354">
        <f t="shared" si="448"/>
        <v>1.1078746018603618</v>
      </c>
      <c r="AR354" s="374">
        <f t="shared" si="449"/>
        <v>2.6224385972875965</v>
      </c>
      <c r="AS354" s="354">
        <f t="shared" si="450"/>
        <v>1.1363916710922259</v>
      </c>
      <c r="AT354" s="354">
        <f t="shared" si="451"/>
        <v>1.4860469261953708</v>
      </c>
      <c r="AU354" s="355" t="s">
        <v>396</v>
      </c>
      <c r="AV354" s="354" t="s">
        <v>346</v>
      </c>
      <c r="AW354" s="353">
        <v>0</v>
      </c>
      <c r="AX354" s="353">
        <v>0</v>
      </c>
      <c r="AY354" s="353">
        <v>0</v>
      </c>
      <c r="AZ354" s="353">
        <v>0</v>
      </c>
      <c r="BA354" s="353">
        <v>0</v>
      </c>
      <c r="BB354" s="353">
        <v>0</v>
      </c>
    </row>
    <row r="355" spans="1:54" x14ac:dyDescent="0.25">
      <c r="A355" s="348" t="s">
        <v>871</v>
      </c>
      <c r="B355" s="349">
        <v>17</v>
      </c>
      <c r="C355" s="607">
        <v>45108</v>
      </c>
      <c r="D355" s="351">
        <v>45134</v>
      </c>
      <c r="E355" s="352"/>
      <c r="F355" s="352">
        <v>6</v>
      </c>
      <c r="G355" s="429" t="s">
        <v>307</v>
      </c>
      <c r="H355" s="353" t="s">
        <v>881</v>
      </c>
      <c r="I355" s="350" t="s">
        <v>393</v>
      </c>
      <c r="J355" s="560">
        <f t="shared" si="453"/>
        <v>64919</v>
      </c>
      <c r="K355" s="350" t="s">
        <v>394</v>
      </c>
      <c r="L355" s="354">
        <v>2803.6597999999999</v>
      </c>
      <c r="M355" s="560">
        <f t="shared" si="389"/>
        <v>23.15509178396038</v>
      </c>
      <c r="N355" s="354" t="s">
        <v>395</v>
      </c>
      <c r="O355" s="354">
        <v>0</v>
      </c>
      <c r="P355" s="374">
        <f t="shared" si="421"/>
        <v>1.4589591455175597</v>
      </c>
      <c r="Q355" s="354">
        <f t="shared" si="422"/>
        <v>0.13760210416284427</v>
      </c>
      <c r="R355" s="354">
        <f t="shared" si="423"/>
        <v>0.23195712636100588</v>
      </c>
      <c r="S355" s="354">
        <f t="shared" si="424"/>
        <v>0.20662430222671482</v>
      </c>
      <c r="T355" s="354">
        <f t="shared" si="425"/>
        <v>0.88174484046988877</v>
      </c>
      <c r="U355" s="374">
        <f t="shared" si="426"/>
        <v>5.8554360895551758</v>
      </c>
      <c r="V355" s="354">
        <f t="shared" si="427"/>
        <v>0.15499758665746116</v>
      </c>
      <c r="W355" s="354">
        <f t="shared" si="428"/>
        <v>5.2872887051124948</v>
      </c>
      <c r="X355" s="354">
        <f t="shared" si="429"/>
        <v>0.41314979778521982</v>
      </c>
      <c r="Y355" s="374">
        <f t="shared" si="430"/>
        <v>0.85839797620917835</v>
      </c>
      <c r="Z355" s="354">
        <f t="shared" si="431"/>
        <v>0.44281320275337477</v>
      </c>
      <c r="AA355" s="354">
        <f t="shared" si="432"/>
        <v>0.41558477345580352</v>
      </c>
      <c r="AB355" s="374">
        <f t="shared" si="433"/>
        <v>4.6897679162907489</v>
      </c>
      <c r="AC355" s="354">
        <f t="shared" si="434"/>
        <v>1.3309213306431953</v>
      </c>
      <c r="AD355" s="354">
        <f t="shared" si="435"/>
        <v>2.8971200958479457</v>
      </c>
      <c r="AE355" s="354">
        <f t="shared" si="436"/>
        <v>0.46172648979960801</v>
      </c>
      <c r="AF355" s="374">
        <f t="shared" si="437"/>
        <v>3.7534520851826798</v>
      </c>
      <c r="AG355" s="354">
        <f t="shared" si="438"/>
        <v>0.24122198744479575</v>
      </c>
      <c r="AH355" s="354">
        <f t="shared" si="439"/>
        <v>1.2136847907639121</v>
      </c>
      <c r="AI355" s="354">
        <f t="shared" si="440"/>
        <v>0</v>
      </c>
      <c r="AJ355" s="354">
        <f t="shared" si="441"/>
        <v>2.2985453069739723</v>
      </c>
      <c r="AK355" s="374">
        <f t="shared" si="442"/>
        <v>2.4791289811420389</v>
      </c>
      <c r="AL355" s="354">
        <f t="shared" si="443"/>
        <v>0.71028690956456197</v>
      </c>
      <c r="AM355" s="354">
        <f t="shared" si="444"/>
        <v>1.6752559637886328</v>
      </c>
      <c r="AN355" s="354">
        <f t="shared" si="445"/>
        <v>9.3586107788844131E-2</v>
      </c>
      <c r="AO355" s="374">
        <f t="shared" si="446"/>
        <v>1.4375109927754015</v>
      </c>
      <c r="AP355" s="354">
        <f t="shared" si="447"/>
        <v>0.32963639091503971</v>
      </c>
      <c r="AQ355" s="354">
        <f t="shared" si="448"/>
        <v>1.1078746018603618</v>
      </c>
      <c r="AR355" s="374">
        <f t="shared" si="449"/>
        <v>2.6224385972875965</v>
      </c>
      <c r="AS355" s="354">
        <f t="shared" si="450"/>
        <v>1.1363916710922259</v>
      </c>
      <c r="AT355" s="354">
        <f t="shared" si="451"/>
        <v>1.4860469261953708</v>
      </c>
      <c r="AU355" s="355" t="s">
        <v>396</v>
      </c>
      <c r="AV355" s="354" t="s">
        <v>346</v>
      </c>
      <c r="AW355" s="353">
        <v>0</v>
      </c>
      <c r="AX355" s="353">
        <v>0</v>
      </c>
      <c r="AY355" s="353">
        <v>0</v>
      </c>
      <c r="AZ355" s="353">
        <v>0</v>
      </c>
      <c r="BA355" s="353">
        <v>0</v>
      </c>
      <c r="BB355" s="353">
        <v>0</v>
      </c>
    </row>
    <row r="356" spans="1:54" x14ac:dyDescent="0.25">
      <c r="A356" s="348" t="s">
        <v>871</v>
      </c>
      <c r="B356" s="349">
        <v>17</v>
      </c>
      <c r="C356" s="607">
        <v>45108</v>
      </c>
      <c r="D356" s="351">
        <v>45134</v>
      </c>
      <c r="E356" s="352"/>
      <c r="F356" s="352">
        <v>6</v>
      </c>
      <c r="G356" s="429" t="s">
        <v>307</v>
      </c>
      <c r="H356" s="353" t="s">
        <v>882</v>
      </c>
      <c r="I356" s="350" t="s">
        <v>393</v>
      </c>
      <c r="J356" s="560">
        <f t="shared" si="453"/>
        <v>64919</v>
      </c>
      <c r="K356" s="350" t="s">
        <v>394</v>
      </c>
      <c r="L356" s="354">
        <v>2803.6597999999999</v>
      </c>
      <c r="M356" s="560">
        <f t="shared" si="389"/>
        <v>23.15509178396038</v>
      </c>
      <c r="N356" s="354" t="s">
        <v>395</v>
      </c>
      <c r="O356" s="354">
        <v>0</v>
      </c>
      <c r="P356" s="374">
        <f t="shared" si="421"/>
        <v>1.4589591455175597</v>
      </c>
      <c r="Q356" s="354">
        <f t="shared" si="422"/>
        <v>0.13760210416284427</v>
      </c>
      <c r="R356" s="354">
        <f t="shared" si="423"/>
        <v>0.23195712636100588</v>
      </c>
      <c r="S356" s="354">
        <f t="shared" si="424"/>
        <v>0.20662430222671482</v>
      </c>
      <c r="T356" s="354">
        <f t="shared" si="425"/>
        <v>0.88174484046988877</v>
      </c>
      <c r="U356" s="374">
        <f t="shared" si="426"/>
        <v>5.8554360895551758</v>
      </c>
      <c r="V356" s="354">
        <f t="shared" si="427"/>
        <v>0.15499758665746116</v>
      </c>
      <c r="W356" s="354">
        <f t="shared" si="428"/>
        <v>5.2872887051124948</v>
      </c>
      <c r="X356" s="354">
        <f t="shared" si="429"/>
        <v>0.41314979778521982</v>
      </c>
      <c r="Y356" s="374">
        <f t="shared" si="430"/>
        <v>0.85839797620917835</v>
      </c>
      <c r="Z356" s="354">
        <f t="shared" si="431"/>
        <v>0.44281320275337477</v>
      </c>
      <c r="AA356" s="354">
        <f t="shared" si="432"/>
        <v>0.41558477345580352</v>
      </c>
      <c r="AB356" s="374">
        <f t="shared" si="433"/>
        <v>4.6897679162907489</v>
      </c>
      <c r="AC356" s="354">
        <f t="shared" si="434"/>
        <v>1.3309213306431953</v>
      </c>
      <c r="AD356" s="354">
        <f t="shared" si="435"/>
        <v>2.8971200958479457</v>
      </c>
      <c r="AE356" s="354">
        <f t="shared" si="436"/>
        <v>0.46172648979960801</v>
      </c>
      <c r="AF356" s="374">
        <f t="shared" si="437"/>
        <v>3.7534520851826798</v>
      </c>
      <c r="AG356" s="354">
        <f t="shared" si="438"/>
        <v>0.24122198744479575</v>
      </c>
      <c r="AH356" s="354">
        <f t="shared" si="439"/>
        <v>1.2136847907639121</v>
      </c>
      <c r="AI356" s="354">
        <f t="shared" si="440"/>
        <v>0</v>
      </c>
      <c r="AJ356" s="354">
        <f t="shared" si="441"/>
        <v>2.2985453069739723</v>
      </c>
      <c r="AK356" s="374">
        <f t="shared" si="442"/>
        <v>2.4791289811420389</v>
      </c>
      <c r="AL356" s="354">
        <f t="shared" si="443"/>
        <v>0.71028690956456197</v>
      </c>
      <c r="AM356" s="354">
        <f t="shared" si="444"/>
        <v>1.6752559637886328</v>
      </c>
      <c r="AN356" s="354">
        <f t="shared" si="445"/>
        <v>9.3586107788844131E-2</v>
      </c>
      <c r="AO356" s="374">
        <f t="shared" si="446"/>
        <v>1.4375109927754015</v>
      </c>
      <c r="AP356" s="354">
        <f t="shared" si="447"/>
        <v>0.32963639091503971</v>
      </c>
      <c r="AQ356" s="354">
        <f t="shared" si="448"/>
        <v>1.1078746018603618</v>
      </c>
      <c r="AR356" s="374">
        <f t="shared" si="449"/>
        <v>2.6224385972875965</v>
      </c>
      <c r="AS356" s="354">
        <f t="shared" si="450"/>
        <v>1.1363916710922259</v>
      </c>
      <c r="AT356" s="354">
        <f t="shared" si="451"/>
        <v>1.4860469261953708</v>
      </c>
      <c r="AU356" s="355" t="s">
        <v>396</v>
      </c>
      <c r="AV356" s="354" t="s">
        <v>346</v>
      </c>
      <c r="AW356" s="353">
        <v>0</v>
      </c>
      <c r="AX356" s="353">
        <v>0</v>
      </c>
      <c r="AY356" s="353">
        <v>0</v>
      </c>
      <c r="AZ356" s="353">
        <v>0</v>
      </c>
      <c r="BA356" s="353">
        <v>0</v>
      </c>
      <c r="BB356" s="353">
        <v>0</v>
      </c>
    </row>
    <row r="357" spans="1:54" x14ac:dyDescent="0.25">
      <c r="A357" s="348" t="s">
        <v>871</v>
      </c>
      <c r="B357" s="349">
        <v>17</v>
      </c>
      <c r="C357" s="607">
        <v>45108</v>
      </c>
      <c r="D357" s="351">
        <v>45134</v>
      </c>
      <c r="E357" s="352"/>
      <c r="F357" s="352">
        <v>6</v>
      </c>
      <c r="G357" s="429" t="s">
        <v>307</v>
      </c>
      <c r="H357" s="353" t="s">
        <v>883</v>
      </c>
      <c r="I357" s="350" t="s">
        <v>393</v>
      </c>
      <c r="J357" s="560">
        <f t="shared" si="453"/>
        <v>64919</v>
      </c>
      <c r="K357" s="350" t="s">
        <v>394</v>
      </c>
      <c r="L357" s="354">
        <v>2803.6597999999999</v>
      </c>
      <c r="M357" s="560">
        <f t="shared" si="389"/>
        <v>23.15509178396038</v>
      </c>
      <c r="N357" s="354" t="s">
        <v>395</v>
      </c>
      <c r="O357" s="354">
        <v>0</v>
      </c>
      <c r="P357" s="374">
        <f t="shared" si="421"/>
        <v>1.4589591455175597</v>
      </c>
      <c r="Q357" s="354">
        <f t="shared" si="422"/>
        <v>0.13760210416284427</v>
      </c>
      <c r="R357" s="354">
        <f t="shared" si="423"/>
        <v>0.23195712636100588</v>
      </c>
      <c r="S357" s="354">
        <f t="shared" si="424"/>
        <v>0.20662430222671482</v>
      </c>
      <c r="T357" s="354">
        <f t="shared" si="425"/>
        <v>0.88174484046988877</v>
      </c>
      <c r="U357" s="374">
        <f t="shared" si="426"/>
        <v>5.8554360895551758</v>
      </c>
      <c r="V357" s="354">
        <f t="shared" si="427"/>
        <v>0.15499758665746116</v>
      </c>
      <c r="W357" s="354">
        <f t="shared" si="428"/>
        <v>5.2872887051124948</v>
      </c>
      <c r="X357" s="354">
        <f t="shared" si="429"/>
        <v>0.41314979778521982</v>
      </c>
      <c r="Y357" s="374">
        <f t="shared" si="430"/>
        <v>0.85839797620917835</v>
      </c>
      <c r="Z357" s="354">
        <f t="shared" si="431"/>
        <v>0.44281320275337477</v>
      </c>
      <c r="AA357" s="354">
        <f t="shared" si="432"/>
        <v>0.41558477345580352</v>
      </c>
      <c r="AB357" s="374">
        <f t="shared" si="433"/>
        <v>4.6897679162907489</v>
      </c>
      <c r="AC357" s="354">
        <f t="shared" si="434"/>
        <v>1.3309213306431953</v>
      </c>
      <c r="AD357" s="354">
        <f t="shared" si="435"/>
        <v>2.8971200958479457</v>
      </c>
      <c r="AE357" s="354">
        <f t="shared" si="436"/>
        <v>0.46172648979960801</v>
      </c>
      <c r="AF357" s="374">
        <f t="shared" si="437"/>
        <v>3.7534520851826798</v>
      </c>
      <c r="AG357" s="354">
        <f t="shared" si="438"/>
        <v>0.24122198744479575</v>
      </c>
      <c r="AH357" s="354">
        <f t="shared" si="439"/>
        <v>1.2136847907639121</v>
      </c>
      <c r="AI357" s="354">
        <f t="shared" si="440"/>
        <v>0</v>
      </c>
      <c r="AJ357" s="354">
        <f t="shared" si="441"/>
        <v>2.2985453069739723</v>
      </c>
      <c r="AK357" s="374">
        <f t="shared" si="442"/>
        <v>2.4791289811420389</v>
      </c>
      <c r="AL357" s="354">
        <f t="shared" si="443"/>
        <v>0.71028690956456197</v>
      </c>
      <c r="AM357" s="354">
        <f t="shared" si="444"/>
        <v>1.6752559637886328</v>
      </c>
      <c r="AN357" s="354">
        <f t="shared" si="445"/>
        <v>9.3586107788844131E-2</v>
      </c>
      <c r="AO357" s="374">
        <f t="shared" si="446"/>
        <v>1.4375109927754015</v>
      </c>
      <c r="AP357" s="354">
        <f t="shared" si="447"/>
        <v>0.32963639091503971</v>
      </c>
      <c r="AQ357" s="354">
        <f t="shared" si="448"/>
        <v>1.1078746018603618</v>
      </c>
      <c r="AR357" s="374">
        <f t="shared" si="449"/>
        <v>2.6224385972875965</v>
      </c>
      <c r="AS357" s="354">
        <f t="shared" si="450"/>
        <v>1.1363916710922259</v>
      </c>
      <c r="AT357" s="354">
        <f t="shared" si="451"/>
        <v>1.4860469261953708</v>
      </c>
      <c r="AU357" s="355" t="s">
        <v>396</v>
      </c>
      <c r="AV357" s="354" t="s">
        <v>346</v>
      </c>
      <c r="AW357" s="353">
        <v>0</v>
      </c>
      <c r="AX357" s="353">
        <v>0</v>
      </c>
      <c r="AY357" s="353">
        <v>0</v>
      </c>
      <c r="AZ357" s="353">
        <v>0</v>
      </c>
      <c r="BA357" s="353">
        <v>0</v>
      </c>
      <c r="BB357" s="353">
        <v>0</v>
      </c>
    </row>
    <row r="358" spans="1:54" x14ac:dyDescent="0.25">
      <c r="A358" s="348" t="s">
        <v>871</v>
      </c>
      <c r="B358" s="349">
        <v>17</v>
      </c>
      <c r="C358" s="607">
        <v>45108</v>
      </c>
      <c r="D358" s="351">
        <v>45134</v>
      </c>
      <c r="E358" s="352"/>
      <c r="F358" s="352">
        <v>6</v>
      </c>
      <c r="G358" s="429" t="s">
        <v>308</v>
      </c>
      <c r="H358" s="353" t="s">
        <v>884</v>
      </c>
      <c r="I358" s="350" t="s">
        <v>393</v>
      </c>
      <c r="J358" s="560">
        <f>608898/6</f>
        <v>101483</v>
      </c>
      <c r="K358" s="350" t="s">
        <v>394</v>
      </c>
      <c r="L358" s="354">
        <v>2803.6597999999999</v>
      </c>
      <c r="M358" s="560">
        <f t="shared" si="389"/>
        <v>36.196617007527088</v>
      </c>
      <c r="N358" s="354" t="s">
        <v>395</v>
      </c>
      <c r="O358" s="354">
        <v>0</v>
      </c>
      <c r="P358" s="374">
        <f t="shared" si="421"/>
        <v>2.2806813254141081</v>
      </c>
      <c r="Q358" s="354">
        <f t="shared" si="422"/>
        <v>0.21510304127848429</v>
      </c>
      <c r="R358" s="354">
        <f t="shared" si="423"/>
        <v>0.36260116536751885</v>
      </c>
      <c r="S358" s="354">
        <f t="shared" si="424"/>
        <v>0.32300026283327987</v>
      </c>
      <c r="T358" s="354">
        <f t="shared" si="425"/>
        <v>1.3783655269706203</v>
      </c>
      <c r="U358" s="374">
        <f t="shared" si="426"/>
        <v>9.153363740604874</v>
      </c>
      <c r="V358" s="354">
        <f t="shared" si="427"/>
        <v>0.24229609338959515</v>
      </c>
      <c r="W358" s="354">
        <f t="shared" si="428"/>
        <v>8.2652215785968863</v>
      </c>
      <c r="X358" s="354">
        <f t="shared" si="429"/>
        <v>0.645846068618393</v>
      </c>
      <c r="Y358" s="374">
        <f t="shared" si="430"/>
        <v>1.3418691264442772</v>
      </c>
      <c r="Z358" s="354">
        <f t="shared" si="431"/>
        <v>0.69221664312482833</v>
      </c>
      <c r="AA358" s="354">
        <f t="shared" si="432"/>
        <v>0.64965248331944891</v>
      </c>
      <c r="AB358" s="374">
        <f t="shared" si="433"/>
        <v>7.3311621782364798</v>
      </c>
      <c r="AC358" s="354">
        <f t="shared" si="434"/>
        <v>2.0805294197024504</v>
      </c>
      <c r="AD358" s="354">
        <f t="shared" si="435"/>
        <v>4.5288503933661488</v>
      </c>
      <c r="AE358" s="354">
        <f t="shared" si="436"/>
        <v>0.72178236516788019</v>
      </c>
      <c r="AF358" s="374">
        <f t="shared" si="437"/>
        <v>5.8674899175987596</v>
      </c>
      <c r="AG358" s="354">
        <f t="shared" si="438"/>
        <v>0.37708422729648033</v>
      </c>
      <c r="AH358" s="354">
        <f t="shared" si="439"/>
        <v>1.8972623364668908</v>
      </c>
      <c r="AI358" s="354">
        <f t="shared" si="440"/>
        <v>0</v>
      </c>
      <c r="AJ358" s="354">
        <f t="shared" si="441"/>
        <v>3.593143353835389</v>
      </c>
      <c r="AK358" s="374">
        <f t="shared" si="442"/>
        <v>3.8754362573859349</v>
      </c>
      <c r="AL358" s="354">
        <f t="shared" si="443"/>
        <v>1.1103382129013144</v>
      </c>
      <c r="AM358" s="354">
        <f t="shared" si="444"/>
        <v>2.6188019065783794</v>
      </c>
      <c r="AN358" s="354">
        <f t="shared" si="445"/>
        <v>0.14629613790624113</v>
      </c>
      <c r="AO358" s="374">
        <f t="shared" si="446"/>
        <v>2.247153038090945</v>
      </c>
      <c r="AP358" s="354">
        <f t="shared" si="447"/>
        <v>0.51529582802000917</v>
      </c>
      <c r="AQ358" s="354">
        <f t="shared" si="448"/>
        <v>1.731857210070936</v>
      </c>
      <c r="AR358" s="374">
        <f t="shared" si="449"/>
        <v>4.0994614237517082</v>
      </c>
      <c r="AS358" s="354">
        <f t="shared" si="450"/>
        <v>1.7764358039626666</v>
      </c>
      <c r="AT358" s="354">
        <f t="shared" si="451"/>
        <v>2.3230256197890418</v>
      </c>
      <c r="AU358" s="355" t="s">
        <v>396</v>
      </c>
      <c r="AV358" s="354" t="s">
        <v>346</v>
      </c>
      <c r="AW358" s="353">
        <v>0</v>
      </c>
      <c r="AX358" s="353">
        <v>0</v>
      </c>
      <c r="AY358" s="353">
        <v>0</v>
      </c>
      <c r="AZ358" s="353">
        <v>0</v>
      </c>
      <c r="BA358" s="353">
        <v>0</v>
      </c>
      <c r="BB358" s="353">
        <v>0</v>
      </c>
    </row>
    <row r="359" spans="1:54" x14ac:dyDescent="0.25">
      <c r="A359" s="348" t="s">
        <v>871</v>
      </c>
      <c r="B359" s="349">
        <v>17</v>
      </c>
      <c r="C359" s="607">
        <v>45108</v>
      </c>
      <c r="D359" s="351">
        <v>45134</v>
      </c>
      <c r="E359" s="352"/>
      <c r="F359" s="352">
        <v>6</v>
      </c>
      <c r="G359" s="429" t="s">
        <v>308</v>
      </c>
      <c r="H359" s="353" t="s">
        <v>885</v>
      </c>
      <c r="I359" s="350" t="s">
        <v>393</v>
      </c>
      <c r="J359" s="560">
        <f t="shared" ref="J359:J363" si="454">608898/6</f>
        <v>101483</v>
      </c>
      <c r="K359" s="350" t="s">
        <v>394</v>
      </c>
      <c r="L359" s="354">
        <v>2803.6597999999999</v>
      </c>
      <c r="M359" s="560">
        <f t="shared" si="389"/>
        <v>36.196617007527088</v>
      </c>
      <c r="N359" s="354" t="s">
        <v>395</v>
      </c>
      <c r="O359" s="354">
        <v>0</v>
      </c>
      <c r="P359" s="374">
        <f t="shared" si="421"/>
        <v>2.2806813254141081</v>
      </c>
      <c r="Q359" s="354">
        <f t="shared" si="422"/>
        <v>0.21510304127848429</v>
      </c>
      <c r="R359" s="354">
        <f t="shared" si="423"/>
        <v>0.36260116536751885</v>
      </c>
      <c r="S359" s="354">
        <f t="shared" si="424"/>
        <v>0.32300026283327987</v>
      </c>
      <c r="T359" s="354">
        <f t="shared" si="425"/>
        <v>1.3783655269706203</v>
      </c>
      <c r="U359" s="374">
        <f t="shared" si="426"/>
        <v>9.153363740604874</v>
      </c>
      <c r="V359" s="354">
        <f t="shared" si="427"/>
        <v>0.24229609338959515</v>
      </c>
      <c r="W359" s="354">
        <f t="shared" si="428"/>
        <v>8.2652215785968863</v>
      </c>
      <c r="X359" s="354">
        <f t="shared" si="429"/>
        <v>0.645846068618393</v>
      </c>
      <c r="Y359" s="374">
        <f t="shared" si="430"/>
        <v>1.3418691264442772</v>
      </c>
      <c r="Z359" s="354">
        <f t="shared" si="431"/>
        <v>0.69221664312482833</v>
      </c>
      <c r="AA359" s="354">
        <f t="shared" si="432"/>
        <v>0.64965248331944891</v>
      </c>
      <c r="AB359" s="374">
        <f t="shared" si="433"/>
        <v>7.3311621782364798</v>
      </c>
      <c r="AC359" s="354">
        <f t="shared" si="434"/>
        <v>2.0805294197024504</v>
      </c>
      <c r="AD359" s="354">
        <f t="shared" si="435"/>
        <v>4.5288503933661488</v>
      </c>
      <c r="AE359" s="354">
        <f t="shared" si="436"/>
        <v>0.72178236516788019</v>
      </c>
      <c r="AF359" s="374">
        <f t="shared" si="437"/>
        <v>5.8674899175987596</v>
      </c>
      <c r="AG359" s="354">
        <f t="shared" si="438"/>
        <v>0.37708422729648033</v>
      </c>
      <c r="AH359" s="354">
        <f t="shared" si="439"/>
        <v>1.8972623364668908</v>
      </c>
      <c r="AI359" s="354">
        <f t="shared" si="440"/>
        <v>0</v>
      </c>
      <c r="AJ359" s="354">
        <f t="shared" si="441"/>
        <v>3.593143353835389</v>
      </c>
      <c r="AK359" s="374">
        <f t="shared" si="442"/>
        <v>3.8754362573859349</v>
      </c>
      <c r="AL359" s="354">
        <f t="shared" si="443"/>
        <v>1.1103382129013144</v>
      </c>
      <c r="AM359" s="354">
        <f t="shared" si="444"/>
        <v>2.6188019065783794</v>
      </c>
      <c r="AN359" s="354">
        <f t="shared" si="445"/>
        <v>0.14629613790624113</v>
      </c>
      <c r="AO359" s="374">
        <f t="shared" si="446"/>
        <v>2.247153038090945</v>
      </c>
      <c r="AP359" s="354">
        <f t="shared" si="447"/>
        <v>0.51529582802000917</v>
      </c>
      <c r="AQ359" s="354">
        <f t="shared" si="448"/>
        <v>1.731857210070936</v>
      </c>
      <c r="AR359" s="374">
        <f t="shared" si="449"/>
        <v>4.0994614237517082</v>
      </c>
      <c r="AS359" s="354">
        <f t="shared" si="450"/>
        <v>1.7764358039626666</v>
      </c>
      <c r="AT359" s="354">
        <f t="shared" si="451"/>
        <v>2.3230256197890418</v>
      </c>
      <c r="AU359" s="355" t="s">
        <v>396</v>
      </c>
      <c r="AV359" s="354" t="s">
        <v>346</v>
      </c>
      <c r="AW359" s="353">
        <v>0</v>
      </c>
      <c r="AX359" s="353">
        <v>0</v>
      </c>
      <c r="AY359" s="353">
        <v>0</v>
      </c>
      <c r="AZ359" s="353">
        <v>0</v>
      </c>
      <c r="BA359" s="353">
        <v>0</v>
      </c>
      <c r="BB359" s="353">
        <v>0</v>
      </c>
    </row>
    <row r="360" spans="1:54" x14ac:dyDescent="0.25">
      <c r="A360" s="348" t="s">
        <v>871</v>
      </c>
      <c r="B360" s="349">
        <v>17</v>
      </c>
      <c r="C360" s="607">
        <v>45108</v>
      </c>
      <c r="D360" s="351">
        <v>45134</v>
      </c>
      <c r="E360" s="352"/>
      <c r="F360" s="352">
        <v>6</v>
      </c>
      <c r="G360" s="429" t="s">
        <v>307</v>
      </c>
      <c r="H360" s="353" t="s">
        <v>886</v>
      </c>
      <c r="I360" s="350" t="s">
        <v>393</v>
      </c>
      <c r="J360" s="560">
        <f t="shared" si="454"/>
        <v>101483</v>
      </c>
      <c r="K360" s="350" t="s">
        <v>394</v>
      </c>
      <c r="L360" s="354">
        <v>2803.6597999999999</v>
      </c>
      <c r="M360" s="560">
        <f t="shared" si="389"/>
        <v>36.196617007527088</v>
      </c>
      <c r="N360" s="354" t="s">
        <v>395</v>
      </c>
      <c r="O360" s="354">
        <v>0</v>
      </c>
      <c r="P360" s="374">
        <f t="shared" si="421"/>
        <v>2.2806813254141081</v>
      </c>
      <c r="Q360" s="354">
        <f t="shared" si="422"/>
        <v>0.21510304127848429</v>
      </c>
      <c r="R360" s="354">
        <f t="shared" si="423"/>
        <v>0.36260116536751885</v>
      </c>
      <c r="S360" s="354">
        <f t="shared" si="424"/>
        <v>0.32300026283327987</v>
      </c>
      <c r="T360" s="354">
        <f t="shared" si="425"/>
        <v>1.3783655269706203</v>
      </c>
      <c r="U360" s="374">
        <f t="shared" si="426"/>
        <v>9.153363740604874</v>
      </c>
      <c r="V360" s="354">
        <f t="shared" si="427"/>
        <v>0.24229609338959515</v>
      </c>
      <c r="W360" s="354">
        <f t="shared" si="428"/>
        <v>8.2652215785968863</v>
      </c>
      <c r="X360" s="354">
        <f t="shared" si="429"/>
        <v>0.645846068618393</v>
      </c>
      <c r="Y360" s="374">
        <f t="shared" si="430"/>
        <v>1.3418691264442772</v>
      </c>
      <c r="Z360" s="354">
        <f t="shared" si="431"/>
        <v>0.69221664312482833</v>
      </c>
      <c r="AA360" s="354">
        <f t="shared" si="432"/>
        <v>0.64965248331944891</v>
      </c>
      <c r="AB360" s="374">
        <f t="shared" si="433"/>
        <v>7.3311621782364798</v>
      </c>
      <c r="AC360" s="354">
        <f t="shared" si="434"/>
        <v>2.0805294197024504</v>
      </c>
      <c r="AD360" s="354">
        <f t="shared" si="435"/>
        <v>4.5288503933661488</v>
      </c>
      <c r="AE360" s="354">
        <f t="shared" si="436"/>
        <v>0.72178236516788019</v>
      </c>
      <c r="AF360" s="374">
        <f t="shared" si="437"/>
        <v>5.8674899175987596</v>
      </c>
      <c r="AG360" s="354">
        <f t="shared" si="438"/>
        <v>0.37708422729648033</v>
      </c>
      <c r="AH360" s="354">
        <f t="shared" si="439"/>
        <v>1.8972623364668908</v>
      </c>
      <c r="AI360" s="354">
        <f t="shared" si="440"/>
        <v>0</v>
      </c>
      <c r="AJ360" s="354">
        <f t="shared" si="441"/>
        <v>3.593143353835389</v>
      </c>
      <c r="AK360" s="374">
        <f t="shared" si="442"/>
        <v>3.8754362573859349</v>
      </c>
      <c r="AL360" s="354">
        <f t="shared" si="443"/>
        <v>1.1103382129013144</v>
      </c>
      <c r="AM360" s="354">
        <f t="shared" si="444"/>
        <v>2.6188019065783794</v>
      </c>
      <c r="AN360" s="354">
        <f t="shared" si="445"/>
        <v>0.14629613790624113</v>
      </c>
      <c r="AO360" s="374">
        <f t="shared" si="446"/>
        <v>2.247153038090945</v>
      </c>
      <c r="AP360" s="354">
        <f t="shared" si="447"/>
        <v>0.51529582802000917</v>
      </c>
      <c r="AQ360" s="354">
        <f t="shared" si="448"/>
        <v>1.731857210070936</v>
      </c>
      <c r="AR360" s="374">
        <f t="shared" si="449"/>
        <v>4.0994614237517082</v>
      </c>
      <c r="AS360" s="354">
        <f t="shared" si="450"/>
        <v>1.7764358039626666</v>
      </c>
      <c r="AT360" s="354">
        <f t="shared" si="451"/>
        <v>2.3230256197890418</v>
      </c>
      <c r="AU360" s="355" t="s">
        <v>396</v>
      </c>
      <c r="AV360" s="354" t="s">
        <v>346</v>
      </c>
      <c r="AW360" s="353">
        <v>0</v>
      </c>
      <c r="AX360" s="353">
        <v>0</v>
      </c>
      <c r="AY360" s="353">
        <v>0</v>
      </c>
      <c r="AZ360" s="353">
        <v>0</v>
      </c>
      <c r="BA360" s="353">
        <v>0</v>
      </c>
      <c r="BB360" s="353">
        <v>0</v>
      </c>
    </row>
    <row r="361" spans="1:54" x14ac:dyDescent="0.25">
      <c r="A361" s="348" t="s">
        <v>871</v>
      </c>
      <c r="B361" s="349">
        <v>17</v>
      </c>
      <c r="C361" s="607">
        <v>45108</v>
      </c>
      <c r="D361" s="351">
        <v>45134</v>
      </c>
      <c r="E361" s="352"/>
      <c r="F361" s="352">
        <v>6</v>
      </c>
      <c r="G361" s="429" t="s">
        <v>308</v>
      </c>
      <c r="H361" s="353" t="s">
        <v>887</v>
      </c>
      <c r="I361" s="350" t="s">
        <v>393</v>
      </c>
      <c r="J361" s="560">
        <f t="shared" si="454"/>
        <v>101483</v>
      </c>
      <c r="K361" s="350" t="s">
        <v>394</v>
      </c>
      <c r="L361" s="354">
        <v>2803.6597999999999</v>
      </c>
      <c r="M361" s="560">
        <f t="shared" si="389"/>
        <v>36.196617007527088</v>
      </c>
      <c r="N361" s="354" t="s">
        <v>395</v>
      </c>
      <c r="O361" s="354">
        <v>0</v>
      </c>
      <c r="P361" s="374">
        <f t="shared" si="421"/>
        <v>2.2806813254141081</v>
      </c>
      <c r="Q361" s="354">
        <f t="shared" si="422"/>
        <v>0.21510304127848429</v>
      </c>
      <c r="R361" s="354">
        <f t="shared" si="423"/>
        <v>0.36260116536751885</v>
      </c>
      <c r="S361" s="354">
        <f t="shared" si="424"/>
        <v>0.32300026283327987</v>
      </c>
      <c r="T361" s="354">
        <f t="shared" si="425"/>
        <v>1.3783655269706203</v>
      </c>
      <c r="U361" s="374">
        <f t="shared" si="426"/>
        <v>9.153363740604874</v>
      </c>
      <c r="V361" s="354">
        <f t="shared" si="427"/>
        <v>0.24229609338959515</v>
      </c>
      <c r="W361" s="354">
        <f t="shared" si="428"/>
        <v>8.2652215785968863</v>
      </c>
      <c r="X361" s="354">
        <f t="shared" si="429"/>
        <v>0.645846068618393</v>
      </c>
      <c r="Y361" s="374">
        <f t="shared" si="430"/>
        <v>1.3418691264442772</v>
      </c>
      <c r="Z361" s="354">
        <f t="shared" si="431"/>
        <v>0.69221664312482833</v>
      </c>
      <c r="AA361" s="354">
        <f t="shared" si="432"/>
        <v>0.64965248331944891</v>
      </c>
      <c r="AB361" s="374">
        <f t="shared" si="433"/>
        <v>7.3311621782364798</v>
      </c>
      <c r="AC361" s="354">
        <f t="shared" si="434"/>
        <v>2.0805294197024504</v>
      </c>
      <c r="AD361" s="354">
        <f t="shared" si="435"/>
        <v>4.5288503933661488</v>
      </c>
      <c r="AE361" s="354">
        <f t="shared" si="436"/>
        <v>0.72178236516788019</v>
      </c>
      <c r="AF361" s="374">
        <f t="shared" si="437"/>
        <v>5.8674899175987596</v>
      </c>
      <c r="AG361" s="354">
        <f t="shared" si="438"/>
        <v>0.37708422729648033</v>
      </c>
      <c r="AH361" s="354">
        <f t="shared" si="439"/>
        <v>1.8972623364668908</v>
      </c>
      <c r="AI361" s="354">
        <f t="shared" si="440"/>
        <v>0</v>
      </c>
      <c r="AJ361" s="354">
        <f t="shared" si="441"/>
        <v>3.593143353835389</v>
      </c>
      <c r="AK361" s="374">
        <f t="shared" si="442"/>
        <v>3.8754362573859349</v>
      </c>
      <c r="AL361" s="354">
        <f t="shared" si="443"/>
        <v>1.1103382129013144</v>
      </c>
      <c r="AM361" s="354">
        <f t="shared" si="444"/>
        <v>2.6188019065783794</v>
      </c>
      <c r="AN361" s="354">
        <f t="shared" si="445"/>
        <v>0.14629613790624113</v>
      </c>
      <c r="AO361" s="374">
        <f t="shared" si="446"/>
        <v>2.247153038090945</v>
      </c>
      <c r="AP361" s="354">
        <f t="shared" si="447"/>
        <v>0.51529582802000917</v>
      </c>
      <c r="AQ361" s="354">
        <f t="shared" si="448"/>
        <v>1.731857210070936</v>
      </c>
      <c r="AR361" s="374">
        <f t="shared" si="449"/>
        <v>4.0994614237517082</v>
      </c>
      <c r="AS361" s="354">
        <f t="shared" si="450"/>
        <v>1.7764358039626666</v>
      </c>
      <c r="AT361" s="354">
        <f t="shared" si="451"/>
        <v>2.3230256197890418</v>
      </c>
      <c r="AU361" s="355" t="s">
        <v>396</v>
      </c>
      <c r="AV361" s="354" t="s">
        <v>346</v>
      </c>
      <c r="AW361" s="353">
        <v>0</v>
      </c>
      <c r="AX361" s="353">
        <v>0</v>
      </c>
      <c r="AY361" s="353">
        <v>0</v>
      </c>
      <c r="AZ361" s="353">
        <v>0</v>
      </c>
      <c r="BA361" s="353">
        <v>0</v>
      </c>
      <c r="BB361" s="353">
        <v>0</v>
      </c>
    </row>
    <row r="362" spans="1:54" x14ac:dyDescent="0.25">
      <c r="A362" s="348" t="s">
        <v>871</v>
      </c>
      <c r="B362" s="349">
        <v>17</v>
      </c>
      <c r="C362" s="607">
        <v>45108</v>
      </c>
      <c r="D362" s="351">
        <v>45134</v>
      </c>
      <c r="E362" s="352"/>
      <c r="F362" s="352">
        <v>6</v>
      </c>
      <c r="G362" s="429" t="s">
        <v>308</v>
      </c>
      <c r="H362" s="353" t="s">
        <v>888</v>
      </c>
      <c r="I362" s="350" t="s">
        <v>393</v>
      </c>
      <c r="J362" s="560">
        <f t="shared" si="454"/>
        <v>101483</v>
      </c>
      <c r="K362" s="350" t="s">
        <v>394</v>
      </c>
      <c r="L362" s="354">
        <v>2803.6597999999999</v>
      </c>
      <c r="M362" s="560">
        <f t="shared" si="389"/>
        <v>36.196617007527088</v>
      </c>
      <c r="N362" s="354" t="s">
        <v>395</v>
      </c>
      <c r="O362" s="354">
        <v>0</v>
      </c>
      <c r="P362" s="374">
        <f t="shared" si="421"/>
        <v>2.2806813254141081</v>
      </c>
      <c r="Q362" s="354">
        <f t="shared" si="422"/>
        <v>0.21510304127848429</v>
      </c>
      <c r="R362" s="354">
        <f t="shared" si="423"/>
        <v>0.36260116536751885</v>
      </c>
      <c r="S362" s="354">
        <f t="shared" si="424"/>
        <v>0.32300026283327987</v>
      </c>
      <c r="T362" s="354">
        <f t="shared" si="425"/>
        <v>1.3783655269706203</v>
      </c>
      <c r="U362" s="374">
        <f t="shared" si="426"/>
        <v>9.153363740604874</v>
      </c>
      <c r="V362" s="354">
        <f t="shared" si="427"/>
        <v>0.24229609338959515</v>
      </c>
      <c r="W362" s="354">
        <f t="shared" si="428"/>
        <v>8.2652215785968863</v>
      </c>
      <c r="X362" s="354">
        <f t="shared" si="429"/>
        <v>0.645846068618393</v>
      </c>
      <c r="Y362" s="374">
        <f t="shared" si="430"/>
        <v>1.3418691264442772</v>
      </c>
      <c r="Z362" s="354">
        <f t="shared" si="431"/>
        <v>0.69221664312482833</v>
      </c>
      <c r="AA362" s="354">
        <f t="shared" si="432"/>
        <v>0.64965248331944891</v>
      </c>
      <c r="AB362" s="374">
        <f t="shared" si="433"/>
        <v>7.3311621782364798</v>
      </c>
      <c r="AC362" s="354">
        <f t="shared" si="434"/>
        <v>2.0805294197024504</v>
      </c>
      <c r="AD362" s="354">
        <f t="shared" si="435"/>
        <v>4.5288503933661488</v>
      </c>
      <c r="AE362" s="354">
        <f t="shared" si="436"/>
        <v>0.72178236516788019</v>
      </c>
      <c r="AF362" s="374">
        <f t="shared" si="437"/>
        <v>5.8674899175987596</v>
      </c>
      <c r="AG362" s="354">
        <f t="shared" si="438"/>
        <v>0.37708422729648033</v>
      </c>
      <c r="AH362" s="354">
        <f t="shared" si="439"/>
        <v>1.8972623364668908</v>
      </c>
      <c r="AI362" s="354">
        <f t="shared" si="440"/>
        <v>0</v>
      </c>
      <c r="AJ362" s="354">
        <f t="shared" si="441"/>
        <v>3.593143353835389</v>
      </c>
      <c r="AK362" s="374">
        <f t="shared" si="442"/>
        <v>3.8754362573859349</v>
      </c>
      <c r="AL362" s="354">
        <f t="shared" si="443"/>
        <v>1.1103382129013144</v>
      </c>
      <c r="AM362" s="354">
        <f t="shared" si="444"/>
        <v>2.6188019065783794</v>
      </c>
      <c r="AN362" s="354">
        <f t="shared" si="445"/>
        <v>0.14629613790624113</v>
      </c>
      <c r="AO362" s="374">
        <f t="shared" si="446"/>
        <v>2.247153038090945</v>
      </c>
      <c r="AP362" s="354">
        <f t="shared" si="447"/>
        <v>0.51529582802000917</v>
      </c>
      <c r="AQ362" s="354">
        <f t="shared" si="448"/>
        <v>1.731857210070936</v>
      </c>
      <c r="AR362" s="374">
        <f t="shared" si="449"/>
        <v>4.0994614237517082</v>
      </c>
      <c r="AS362" s="354">
        <f t="shared" si="450"/>
        <v>1.7764358039626666</v>
      </c>
      <c r="AT362" s="354">
        <f t="shared" si="451"/>
        <v>2.3230256197890418</v>
      </c>
      <c r="AU362" s="355" t="s">
        <v>396</v>
      </c>
      <c r="AV362" s="354" t="s">
        <v>346</v>
      </c>
      <c r="AW362" s="353">
        <v>0</v>
      </c>
      <c r="AX362" s="353">
        <v>0</v>
      </c>
      <c r="AY362" s="353">
        <v>0</v>
      </c>
      <c r="AZ362" s="353">
        <v>0</v>
      </c>
      <c r="BA362" s="353">
        <v>0</v>
      </c>
      <c r="BB362" s="353">
        <v>0</v>
      </c>
    </row>
    <row r="363" spans="1:54" x14ac:dyDescent="0.25">
      <c r="A363" s="348" t="s">
        <v>871</v>
      </c>
      <c r="B363" s="349">
        <v>17</v>
      </c>
      <c r="C363" s="607">
        <v>45108</v>
      </c>
      <c r="D363" s="351">
        <v>45134</v>
      </c>
      <c r="E363" s="352"/>
      <c r="F363" s="352">
        <v>6</v>
      </c>
      <c r="G363" s="429" t="s">
        <v>308</v>
      </c>
      <c r="H363" s="353" t="s">
        <v>889</v>
      </c>
      <c r="I363" s="350" t="s">
        <v>393</v>
      </c>
      <c r="J363" s="560">
        <f t="shared" si="454"/>
        <v>101483</v>
      </c>
      <c r="K363" s="350" t="s">
        <v>394</v>
      </c>
      <c r="L363" s="354">
        <v>2803.6597999999999</v>
      </c>
      <c r="M363" s="560">
        <f t="shared" si="389"/>
        <v>36.196617007527088</v>
      </c>
      <c r="N363" s="354" t="s">
        <v>395</v>
      </c>
      <c r="O363" s="354">
        <v>0</v>
      </c>
      <c r="P363" s="374">
        <f t="shared" si="421"/>
        <v>2.2806813254141081</v>
      </c>
      <c r="Q363" s="354">
        <f t="shared" si="422"/>
        <v>0.21510304127848429</v>
      </c>
      <c r="R363" s="354">
        <f t="shared" si="423"/>
        <v>0.36260116536751885</v>
      </c>
      <c r="S363" s="354">
        <f t="shared" si="424"/>
        <v>0.32300026283327987</v>
      </c>
      <c r="T363" s="354">
        <f t="shared" si="425"/>
        <v>1.3783655269706203</v>
      </c>
      <c r="U363" s="374">
        <f t="shared" si="426"/>
        <v>9.153363740604874</v>
      </c>
      <c r="V363" s="354">
        <f t="shared" si="427"/>
        <v>0.24229609338959515</v>
      </c>
      <c r="W363" s="354">
        <f t="shared" si="428"/>
        <v>8.2652215785968863</v>
      </c>
      <c r="X363" s="354">
        <f t="shared" si="429"/>
        <v>0.645846068618393</v>
      </c>
      <c r="Y363" s="374">
        <f t="shared" si="430"/>
        <v>1.3418691264442772</v>
      </c>
      <c r="Z363" s="354">
        <f t="shared" si="431"/>
        <v>0.69221664312482833</v>
      </c>
      <c r="AA363" s="354">
        <f t="shared" si="432"/>
        <v>0.64965248331944891</v>
      </c>
      <c r="AB363" s="374">
        <f t="shared" si="433"/>
        <v>7.3311621782364798</v>
      </c>
      <c r="AC363" s="354">
        <f t="shared" si="434"/>
        <v>2.0805294197024504</v>
      </c>
      <c r="AD363" s="354">
        <f t="shared" si="435"/>
        <v>4.5288503933661488</v>
      </c>
      <c r="AE363" s="354">
        <f t="shared" si="436"/>
        <v>0.72178236516788019</v>
      </c>
      <c r="AF363" s="374">
        <f t="shared" si="437"/>
        <v>5.8674899175987596</v>
      </c>
      <c r="AG363" s="354">
        <f t="shared" si="438"/>
        <v>0.37708422729648033</v>
      </c>
      <c r="AH363" s="354">
        <f t="shared" si="439"/>
        <v>1.8972623364668908</v>
      </c>
      <c r="AI363" s="354">
        <f t="shared" si="440"/>
        <v>0</v>
      </c>
      <c r="AJ363" s="354">
        <f t="shared" si="441"/>
        <v>3.593143353835389</v>
      </c>
      <c r="AK363" s="374">
        <f t="shared" si="442"/>
        <v>3.8754362573859349</v>
      </c>
      <c r="AL363" s="354">
        <f t="shared" si="443"/>
        <v>1.1103382129013144</v>
      </c>
      <c r="AM363" s="354">
        <f t="shared" si="444"/>
        <v>2.6188019065783794</v>
      </c>
      <c r="AN363" s="354">
        <f t="shared" si="445"/>
        <v>0.14629613790624113</v>
      </c>
      <c r="AO363" s="374">
        <f t="shared" si="446"/>
        <v>2.247153038090945</v>
      </c>
      <c r="AP363" s="354">
        <f t="shared" si="447"/>
        <v>0.51529582802000917</v>
      </c>
      <c r="AQ363" s="354">
        <f t="shared" si="448"/>
        <v>1.731857210070936</v>
      </c>
      <c r="AR363" s="374">
        <f t="shared" si="449"/>
        <v>4.0994614237517082</v>
      </c>
      <c r="AS363" s="354">
        <f t="shared" si="450"/>
        <v>1.7764358039626666</v>
      </c>
      <c r="AT363" s="354">
        <f t="shared" si="451"/>
        <v>2.3230256197890418</v>
      </c>
      <c r="AU363" s="355" t="s">
        <v>396</v>
      </c>
      <c r="AV363" s="354" t="s">
        <v>346</v>
      </c>
      <c r="AW363" s="353">
        <v>0</v>
      </c>
      <c r="AX363" s="353">
        <v>0</v>
      </c>
      <c r="AY363" s="353">
        <v>0</v>
      </c>
      <c r="AZ363" s="353">
        <v>0</v>
      </c>
      <c r="BA363" s="353">
        <v>0</v>
      </c>
      <c r="BB363" s="353">
        <v>0</v>
      </c>
    </row>
    <row r="364" spans="1:54" x14ac:dyDescent="0.25">
      <c r="A364" s="348" t="s">
        <v>871</v>
      </c>
      <c r="B364" s="349">
        <v>17</v>
      </c>
      <c r="C364" s="607">
        <v>45108</v>
      </c>
      <c r="D364" s="351">
        <v>45134</v>
      </c>
      <c r="E364" s="352"/>
      <c r="F364" s="352">
        <v>6</v>
      </c>
      <c r="G364" s="429" t="s">
        <v>309</v>
      </c>
      <c r="H364" s="353" t="s">
        <v>890</v>
      </c>
      <c r="I364" s="350" t="s">
        <v>393</v>
      </c>
      <c r="J364" s="560">
        <f>1929926/6</f>
        <v>321654.33333333331</v>
      </c>
      <c r="K364" s="350" t="s">
        <v>394</v>
      </c>
      <c r="L364" s="354">
        <v>2803.6597999999999</v>
      </c>
      <c r="M364" s="560">
        <f t="shared" si="389"/>
        <v>114.72659176884918</v>
      </c>
      <c r="N364" s="354" t="s">
        <v>395</v>
      </c>
      <c r="O364" s="354">
        <v>0</v>
      </c>
      <c r="P364" s="374">
        <f t="shared" si="421"/>
        <v>7.2287085647040197</v>
      </c>
      <c r="Q364" s="354">
        <f t="shared" si="422"/>
        <v>0.68177749318017156</v>
      </c>
      <c r="R364" s="354">
        <f t="shared" si="423"/>
        <v>1.1492785600758653</v>
      </c>
      <c r="S364" s="354">
        <f t="shared" si="424"/>
        <v>1.0237619523282726</v>
      </c>
      <c r="T364" s="354">
        <f t="shared" si="425"/>
        <v>4.3687833890147472</v>
      </c>
      <c r="U364" s="374">
        <f t="shared" si="426"/>
        <v>29.011943988074524</v>
      </c>
      <c r="V364" s="354">
        <f t="shared" si="427"/>
        <v>0.76796693425008422</v>
      </c>
      <c r="W364" s="354">
        <f t="shared" si="428"/>
        <v>26.196942706816532</v>
      </c>
      <c r="X364" s="354">
        <f t="shared" si="429"/>
        <v>2.0470343470079073</v>
      </c>
      <c r="Y364" s="374">
        <f t="shared" si="430"/>
        <v>4.2531066216707858</v>
      </c>
      <c r="Z364" s="354">
        <f t="shared" si="431"/>
        <v>2.1940076945552907</v>
      </c>
      <c r="AA364" s="354">
        <f t="shared" si="432"/>
        <v>2.0590989271154951</v>
      </c>
      <c r="AB364" s="374">
        <f t="shared" si="433"/>
        <v>23.236404944662681</v>
      </c>
      <c r="AC364" s="354">
        <f t="shared" si="434"/>
        <v>6.5943192798279373</v>
      </c>
      <c r="AD364" s="354">
        <f t="shared" si="435"/>
        <v>14.354368259162552</v>
      </c>
      <c r="AE364" s="354">
        <f t="shared" si="436"/>
        <v>2.2877174056721921</v>
      </c>
      <c r="AF364" s="374">
        <f t="shared" si="437"/>
        <v>18.597238530446322</v>
      </c>
      <c r="AG364" s="354">
        <f t="shared" si="438"/>
        <v>1.1951831906975998</v>
      </c>
      <c r="AH364" s="354">
        <f t="shared" si="439"/>
        <v>6.0134470994619802</v>
      </c>
      <c r="AI364" s="354">
        <f t="shared" si="440"/>
        <v>0</v>
      </c>
      <c r="AJ364" s="354">
        <f t="shared" si="441"/>
        <v>11.388608240286743</v>
      </c>
      <c r="AK364" s="374">
        <f t="shared" si="442"/>
        <v>12.283346626974975</v>
      </c>
      <c r="AL364" s="354">
        <f t="shared" si="443"/>
        <v>3.519260345528779</v>
      </c>
      <c r="AM364" s="354">
        <f t="shared" si="444"/>
        <v>8.3003949567171933</v>
      </c>
      <c r="AN364" s="354">
        <f t="shared" si="445"/>
        <v>0.46369132472900276</v>
      </c>
      <c r="AO364" s="374">
        <f t="shared" si="446"/>
        <v>7.1224393481185766</v>
      </c>
      <c r="AP364" s="354">
        <f t="shared" si="447"/>
        <v>1.6332502589716902</v>
      </c>
      <c r="AQ364" s="354">
        <f t="shared" si="448"/>
        <v>5.4891890891468869</v>
      </c>
      <c r="AR364" s="374">
        <f t="shared" si="449"/>
        <v>12.993403144197286</v>
      </c>
      <c r="AS364" s="354">
        <f t="shared" si="450"/>
        <v>5.6304826841251794</v>
      </c>
      <c r="AT364" s="354">
        <f t="shared" si="451"/>
        <v>7.3629204600721074</v>
      </c>
      <c r="AU364" s="355" t="s">
        <v>396</v>
      </c>
      <c r="AV364" s="354" t="s">
        <v>346</v>
      </c>
      <c r="AW364" s="353">
        <v>0</v>
      </c>
      <c r="AX364" s="353">
        <v>0</v>
      </c>
      <c r="AY364" s="353">
        <v>0</v>
      </c>
      <c r="AZ364" s="353">
        <v>0</v>
      </c>
      <c r="BA364" s="353">
        <v>0</v>
      </c>
      <c r="BB364" s="353">
        <v>0</v>
      </c>
    </row>
    <row r="365" spans="1:54" x14ac:dyDescent="0.25">
      <c r="A365" s="348" t="s">
        <v>871</v>
      </c>
      <c r="B365" s="349">
        <v>17</v>
      </c>
      <c r="C365" s="607">
        <v>45108</v>
      </c>
      <c r="D365" s="351">
        <v>45134</v>
      </c>
      <c r="E365" s="352"/>
      <c r="F365" s="352">
        <v>6</v>
      </c>
      <c r="G365" s="429" t="s">
        <v>309</v>
      </c>
      <c r="H365" s="353" t="s">
        <v>891</v>
      </c>
      <c r="I365" s="350" t="s">
        <v>393</v>
      </c>
      <c r="J365" s="560">
        <f t="shared" ref="J365:J369" si="455">1929926/6</f>
        <v>321654.33333333331</v>
      </c>
      <c r="K365" s="350" t="s">
        <v>394</v>
      </c>
      <c r="L365" s="354">
        <v>2803.6597999999999</v>
      </c>
      <c r="M365" s="560">
        <f t="shared" si="389"/>
        <v>114.72659176884918</v>
      </c>
      <c r="N365" s="354" t="s">
        <v>395</v>
      </c>
      <c r="O365" s="354">
        <v>0</v>
      </c>
      <c r="P365" s="374">
        <f t="shared" si="421"/>
        <v>7.2287085647040197</v>
      </c>
      <c r="Q365" s="354">
        <f t="shared" si="422"/>
        <v>0.68177749318017156</v>
      </c>
      <c r="R365" s="354">
        <f t="shared" si="423"/>
        <v>1.1492785600758653</v>
      </c>
      <c r="S365" s="354">
        <f t="shared" si="424"/>
        <v>1.0237619523282726</v>
      </c>
      <c r="T365" s="354">
        <f t="shared" si="425"/>
        <v>4.3687833890147472</v>
      </c>
      <c r="U365" s="374">
        <f t="shared" si="426"/>
        <v>29.011943988074524</v>
      </c>
      <c r="V365" s="354">
        <f t="shared" si="427"/>
        <v>0.76796693425008422</v>
      </c>
      <c r="W365" s="354">
        <f t="shared" si="428"/>
        <v>26.196942706816532</v>
      </c>
      <c r="X365" s="354">
        <f t="shared" si="429"/>
        <v>2.0470343470079073</v>
      </c>
      <c r="Y365" s="374">
        <f t="shared" si="430"/>
        <v>4.2531066216707858</v>
      </c>
      <c r="Z365" s="354">
        <f t="shared" si="431"/>
        <v>2.1940076945552907</v>
      </c>
      <c r="AA365" s="354">
        <f t="shared" si="432"/>
        <v>2.0590989271154951</v>
      </c>
      <c r="AB365" s="374">
        <f t="shared" si="433"/>
        <v>23.236404944662681</v>
      </c>
      <c r="AC365" s="354">
        <f t="shared" si="434"/>
        <v>6.5943192798279373</v>
      </c>
      <c r="AD365" s="354">
        <f t="shared" si="435"/>
        <v>14.354368259162552</v>
      </c>
      <c r="AE365" s="354">
        <f t="shared" si="436"/>
        <v>2.2877174056721921</v>
      </c>
      <c r="AF365" s="374">
        <f t="shared" si="437"/>
        <v>18.597238530446322</v>
      </c>
      <c r="AG365" s="354">
        <f t="shared" si="438"/>
        <v>1.1951831906975998</v>
      </c>
      <c r="AH365" s="354">
        <f t="shared" si="439"/>
        <v>6.0134470994619802</v>
      </c>
      <c r="AI365" s="354">
        <f t="shared" si="440"/>
        <v>0</v>
      </c>
      <c r="AJ365" s="354">
        <f t="shared" si="441"/>
        <v>11.388608240286743</v>
      </c>
      <c r="AK365" s="374">
        <f t="shared" si="442"/>
        <v>12.283346626974975</v>
      </c>
      <c r="AL365" s="354">
        <f t="shared" si="443"/>
        <v>3.519260345528779</v>
      </c>
      <c r="AM365" s="354">
        <f t="shared" si="444"/>
        <v>8.3003949567171933</v>
      </c>
      <c r="AN365" s="354">
        <f t="shared" si="445"/>
        <v>0.46369132472900276</v>
      </c>
      <c r="AO365" s="374">
        <f t="shared" si="446"/>
        <v>7.1224393481185766</v>
      </c>
      <c r="AP365" s="354">
        <f t="shared" si="447"/>
        <v>1.6332502589716902</v>
      </c>
      <c r="AQ365" s="354">
        <f t="shared" si="448"/>
        <v>5.4891890891468869</v>
      </c>
      <c r="AR365" s="374">
        <f t="shared" si="449"/>
        <v>12.993403144197286</v>
      </c>
      <c r="AS365" s="354">
        <f t="shared" si="450"/>
        <v>5.6304826841251794</v>
      </c>
      <c r="AT365" s="354">
        <f t="shared" si="451"/>
        <v>7.3629204600721074</v>
      </c>
      <c r="AU365" s="355" t="s">
        <v>396</v>
      </c>
      <c r="AV365" s="354" t="s">
        <v>346</v>
      </c>
      <c r="AW365" s="353">
        <v>0</v>
      </c>
      <c r="AX365" s="353">
        <v>0</v>
      </c>
      <c r="AY365" s="353">
        <v>0</v>
      </c>
      <c r="AZ365" s="353">
        <v>0</v>
      </c>
      <c r="BA365" s="353">
        <v>0</v>
      </c>
      <c r="BB365" s="353">
        <v>0</v>
      </c>
    </row>
    <row r="366" spans="1:54" x14ac:dyDescent="0.25">
      <c r="A366" s="348" t="s">
        <v>871</v>
      </c>
      <c r="B366" s="349">
        <v>17</v>
      </c>
      <c r="C366" s="607">
        <v>45108</v>
      </c>
      <c r="D366" s="351">
        <v>45134</v>
      </c>
      <c r="E366" s="352"/>
      <c r="F366" s="352">
        <v>6</v>
      </c>
      <c r="G366" s="429" t="s">
        <v>309</v>
      </c>
      <c r="H366" s="353" t="s">
        <v>892</v>
      </c>
      <c r="I366" s="350" t="s">
        <v>393</v>
      </c>
      <c r="J366" s="560">
        <f t="shared" si="455"/>
        <v>321654.33333333331</v>
      </c>
      <c r="K366" s="350" t="s">
        <v>394</v>
      </c>
      <c r="L366" s="354">
        <v>2803.6597999999999</v>
      </c>
      <c r="M366" s="560">
        <f t="shared" si="389"/>
        <v>114.72659176884918</v>
      </c>
      <c r="N366" s="354" t="s">
        <v>395</v>
      </c>
      <c r="O366" s="354">
        <v>0</v>
      </c>
      <c r="P366" s="374">
        <f t="shared" si="421"/>
        <v>7.2287085647040197</v>
      </c>
      <c r="Q366" s="354">
        <f t="shared" si="422"/>
        <v>0.68177749318017156</v>
      </c>
      <c r="R366" s="354">
        <f t="shared" si="423"/>
        <v>1.1492785600758653</v>
      </c>
      <c r="S366" s="354">
        <f t="shared" si="424"/>
        <v>1.0237619523282726</v>
      </c>
      <c r="T366" s="354">
        <f t="shared" si="425"/>
        <v>4.3687833890147472</v>
      </c>
      <c r="U366" s="374">
        <f t="shared" si="426"/>
        <v>29.011943988074524</v>
      </c>
      <c r="V366" s="354">
        <f t="shared" si="427"/>
        <v>0.76796693425008422</v>
      </c>
      <c r="W366" s="354">
        <f t="shared" si="428"/>
        <v>26.196942706816532</v>
      </c>
      <c r="X366" s="354">
        <f t="shared" si="429"/>
        <v>2.0470343470079073</v>
      </c>
      <c r="Y366" s="374">
        <f t="shared" si="430"/>
        <v>4.2531066216707858</v>
      </c>
      <c r="Z366" s="354">
        <f t="shared" si="431"/>
        <v>2.1940076945552907</v>
      </c>
      <c r="AA366" s="354">
        <f t="shared" si="432"/>
        <v>2.0590989271154951</v>
      </c>
      <c r="AB366" s="374">
        <f t="shared" si="433"/>
        <v>23.236404944662681</v>
      </c>
      <c r="AC366" s="354">
        <f t="shared" si="434"/>
        <v>6.5943192798279373</v>
      </c>
      <c r="AD366" s="354">
        <f t="shared" si="435"/>
        <v>14.354368259162552</v>
      </c>
      <c r="AE366" s="354">
        <f t="shared" si="436"/>
        <v>2.2877174056721921</v>
      </c>
      <c r="AF366" s="374">
        <f t="shared" si="437"/>
        <v>18.597238530446322</v>
      </c>
      <c r="AG366" s="354">
        <f t="shared" si="438"/>
        <v>1.1951831906975998</v>
      </c>
      <c r="AH366" s="354">
        <f t="shared" si="439"/>
        <v>6.0134470994619802</v>
      </c>
      <c r="AI366" s="354">
        <f t="shared" si="440"/>
        <v>0</v>
      </c>
      <c r="AJ366" s="354">
        <f t="shared" si="441"/>
        <v>11.388608240286743</v>
      </c>
      <c r="AK366" s="374">
        <f t="shared" si="442"/>
        <v>12.283346626974975</v>
      </c>
      <c r="AL366" s="354">
        <f t="shared" si="443"/>
        <v>3.519260345528779</v>
      </c>
      <c r="AM366" s="354">
        <f t="shared" si="444"/>
        <v>8.3003949567171933</v>
      </c>
      <c r="AN366" s="354">
        <f t="shared" si="445"/>
        <v>0.46369132472900276</v>
      </c>
      <c r="AO366" s="374">
        <f t="shared" si="446"/>
        <v>7.1224393481185766</v>
      </c>
      <c r="AP366" s="354">
        <f t="shared" si="447"/>
        <v>1.6332502589716902</v>
      </c>
      <c r="AQ366" s="354">
        <f t="shared" si="448"/>
        <v>5.4891890891468869</v>
      </c>
      <c r="AR366" s="374">
        <f t="shared" si="449"/>
        <v>12.993403144197286</v>
      </c>
      <c r="AS366" s="354">
        <f t="shared" si="450"/>
        <v>5.6304826841251794</v>
      </c>
      <c r="AT366" s="354">
        <f t="shared" si="451"/>
        <v>7.3629204600721074</v>
      </c>
      <c r="AU366" s="355" t="s">
        <v>396</v>
      </c>
      <c r="AV366" s="354" t="s">
        <v>346</v>
      </c>
      <c r="AW366" s="353">
        <v>0</v>
      </c>
      <c r="AX366" s="353">
        <v>0</v>
      </c>
      <c r="AY366" s="353">
        <v>0</v>
      </c>
      <c r="AZ366" s="353">
        <v>0</v>
      </c>
      <c r="BA366" s="353">
        <v>0</v>
      </c>
      <c r="BB366" s="353">
        <v>0</v>
      </c>
    </row>
    <row r="367" spans="1:54" x14ac:dyDescent="0.25">
      <c r="A367" s="348" t="s">
        <v>871</v>
      </c>
      <c r="B367" s="349">
        <v>17</v>
      </c>
      <c r="C367" s="607">
        <v>45108</v>
      </c>
      <c r="D367" s="351">
        <v>45134</v>
      </c>
      <c r="E367" s="352"/>
      <c r="F367" s="352">
        <v>6</v>
      </c>
      <c r="G367" s="429" t="s">
        <v>309</v>
      </c>
      <c r="H367" s="353" t="s">
        <v>893</v>
      </c>
      <c r="I367" s="350" t="s">
        <v>393</v>
      </c>
      <c r="J367" s="560">
        <f t="shared" si="455"/>
        <v>321654.33333333331</v>
      </c>
      <c r="K367" s="350" t="s">
        <v>394</v>
      </c>
      <c r="L367" s="354">
        <v>2803.6597999999999</v>
      </c>
      <c r="M367" s="560">
        <f t="shared" si="389"/>
        <v>114.72659176884918</v>
      </c>
      <c r="N367" s="354" t="s">
        <v>395</v>
      </c>
      <c r="O367" s="354">
        <v>0</v>
      </c>
      <c r="P367" s="374">
        <f t="shared" si="421"/>
        <v>7.2287085647040197</v>
      </c>
      <c r="Q367" s="354">
        <f t="shared" si="422"/>
        <v>0.68177749318017156</v>
      </c>
      <c r="R367" s="354">
        <f t="shared" si="423"/>
        <v>1.1492785600758653</v>
      </c>
      <c r="S367" s="354">
        <f t="shared" si="424"/>
        <v>1.0237619523282726</v>
      </c>
      <c r="T367" s="354">
        <f t="shared" si="425"/>
        <v>4.3687833890147472</v>
      </c>
      <c r="U367" s="374">
        <f t="shared" si="426"/>
        <v>29.011943988074524</v>
      </c>
      <c r="V367" s="354">
        <f t="shared" si="427"/>
        <v>0.76796693425008422</v>
      </c>
      <c r="W367" s="354">
        <f t="shared" si="428"/>
        <v>26.196942706816532</v>
      </c>
      <c r="X367" s="354">
        <f t="shared" si="429"/>
        <v>2.0470343470079073</v>
      </c>
      <c r="Y367" s="374">
        <f t="shared" si="430"/>
        <v>4.2531066216707858</v>
      </c>
      <c r="Z367" s="354">
        <f t="shared" si="431"/>
        <v>2.1940076945552907</v>
      </c>
      <c r="AA367" s="354">
        <f t="shared" si="432"/>
        <v>2.0590989271154951</v>
      </c>
      <c r="AB367" s="374">
        <f t="shared" si="433"/>
        <v>23.236404944662681</v>
      </c>
      <c r="AC367" s="354">
        <f t="shared" si="434"/>
        <v>6.5943192798279373</v>
      </c>
      <c r="AD367" s="354">
        <f t="shared" si="435"/>
        <v>14.354368259162552</v>
      </c>
      <c r="AE367" s="354">
        <f t="shared" si="436"/>
        <v>2.2877174056721921</v>
      </c>
      <c r="AF367" s="374">
        <f t="shared" si="437"/>
        <v>18.597238530446322</v>
      </c>
      <c r="AG367" s="354">
        <f t="shared" si="438"/>
        <v>1.1951831906975998</v>
      </c>
      <c r="AH367" s="354">
        <f t="shared" si="439"/>
        <v>6.0134470994619802</v>
      </c>
      <c r="AI367" s="354">
        <f t="shared" si="440"/>
        <v>0</v>
      </c>
      <c r="AJ367" s="354">
        <f t="shared" si="441"/>
        <v>11.388608240286743</v>
      </c>
      <c r="AK367" s="374">
        <f t="shared" si="442"/>
        <v>12.283346626974975</v>
      </c>
      <c r="AL367" s="354">
        <f t="shared" si="443"/>
        <v>3.519260345528779</v>
      </c>
      <c r="AM367" s="354">
        <f t="shared" si="444"/>
        <v>8.3003949567171933</v>
      </c>
      <c r="AN367" s="354">
        <f t="shared" si="445"/>
        <v>0.46369132472900276</v>
      </c>
      <c r="AO367" s="374">
        <f t="shared" si="446"/>
        <v>7.1224393481185766</v>
      </c>
      <c r="AP367" s="354">
        <f t="shared" si="447"/>
        <v>1.6332502589716902</v>
      </c>
      <c r="AQ367" s="354">
        <f t="shared" si="448"/>
        <v>5.4891890891468869</v>
      </c>
      <c r="AR367" s="374">
        <f t="shared" si="449"/>
        <v>12.993403144197286</v>
      </c>
      <c r="AS367" s="354">
        <f t="shared" si="450"/>
        <v>5.6304826841251794</v>
      </c>
      <c r="AT367" s="354">
        <f t="shared" si="451"/>
        <v>7.3629204600721074</v>
      </c>
      <c r="AU367" s="355" t="s">
        <v>396</v>
      </c>
      <c r="AV367" s="354" t="s">
        <v>346</v>
      </c>
      <c r="AW367" s="353">
        <v>0</v>
      </c>
      <c r="AX367" s="353">
        <v>0</v>
      </c>
      <c r="AY367" s="353">
        <v>0</v>
      </c>
      <c r="AZ367" s="353">
        <v>0</v>
      </c>
      <c r="BA367" s="353">
        <v>0</v>
      </c>
      <c r="BB367" s="353">
        <v>0</v>
      </c>
    </row>
    <row r="368" spans="1:54" x14ac:dyDescent="0.25">
      <c r="A368" s="348" t="s">
        <v>871</v>
      </c>
      <c r="B368" s="349">
        <v>17</v>
      </c>
      <c r="C368" s="607">
        <v>45108</v>
      </c>
      <c r="D368" s="351">
        <v>45134</v>
      </c>
      <c r="E368" s="352"/>
      <c r="F368" s="352">
        <v>6</v>
      </c>
      <c r="G368" s="429" t="s">
        <v>309</v>
      </c>
      <c r="H368" s="353" t="s">
        <v>894</v>
      </c>
      <c r="I368" s="350" t="s">
        <v>393</v>
      </c>
      <c r="J368" s="560">
        <f t="shared" si="455"/>
        <v>321654.33333333331</v>
      </c>
      <c r="K368" s="350" t="s">
        <v>394</v>
      </c>
      <c r="L368" s="354">
        <v>2803.6597999999999</v>
      </c>
      <c r="M368" s="560">
        <f t="shared" si="389"/>
        <v>114.72659176884918</v>
      </c>
      <c r="N368" s="354" t="s">
        <v>395</v>
      </c>
      <c r="O368" s="354">
        <v>0</v>
      </c>
      <c r="P368" s="374">
        <f t="shared" si="421"/>
        <v>7.2287085647040197</v>
      </c>
      <c r="Q368" s="354">
        <f t="shared" si="422"/>
        <v>0.68177749318017156</v>
      </c>
      <c r="R368" s="354">
        <f t="shared" si="423"/>
        <v>1.1492785600758653</v>
      </c>
      <c r="S368" s="354">
        <f t="shared" si="424"/>
        <v>1.0237619523282726</v>
      </c>
      <c r="T368" s="354">
        <f t="shared" si="425"/>
        <v>4.3687833890147472</v>
      </c>
      <c r="U368" s="374">
        <f t="shared" si="426"/>
        <v>29.011943988074524</v>
      </c>
      <c r="V368" s="354">
        <f t="shared" si="427"/>
        <v>0.76796693425008422</v>
      </c>
      <c r="W368" s="354">
        <f t="shared" si="428"/>
        <v>26.196942706816532</v>
      </c>
      <c r="X368" s="354">
        <f t="shared" si="429"/>
        <v>2.0470343470079073</v>
      </c>
      <c r="Y368" s="374">
        <f t="shared" si="430"/>
        <v>4.2531066216707858</v>
      </c>
      <c r="Z368" s="354">
        <f t="shared" si="431"/>
        <v>2.1940076945552907</v>
      </c>
      <c r="AA368" s="354">
        <f t="shared" si="432"/>
        <v>2.0590989271154951</v>
      </c>
      <c r="AB368" s="374">
        <f t="shared" si="433"/>
        <v>23.236404944662681</v>
      </c>
      <c r="AC368" s="354">
        <f t="shared" si="434"/>
        <v>6.5943192798279373</v>
      </c>
      <c r="AD368" s="354">
        <f t="shared" si="435"/>
        <v>14.354368259162552</v>
      </c>
      <c r="AE368" s="354">
        <f t="shared" si="436"/>
        <v>2.2877174056721921</v>
      </c>
      <c r="AF368" s="374">
        <f t="shared" si="437"/>
        <v>18.597238530446322</v>
      </c>
      <c r="AG368" s="354">
        <f t="shared" si="438"/>
        <v>1.1951831906975998</v>
      </c>
      <c r="AH368" s="354">
        <f t="shared" si="439"/>
        <v>6.0134470994619802</v>
      </c>
      <c r="AI368" s="354">
        <f t="shared" si="440"/>
        <v>0</v>
      </c>
      <c r="AJ368" s="354">
        <f t="shared" si="441"/>
        <v>11.388608240286743</v>
      </c>
      <c r="AK368" s="374">
        <f t="shared" si="442"/>
        <v>12.283346626974975</v>
      </c>
      <c r="AL368" s="354">
        <f t="shared" si="443"/>
        <v>3.519260345528779</v>
      </c>
      <c r="AM368" s="354">
        <f t="shared" si="444"/>
        <v>8.3003949567171933</v>
      </c>
      <c r="AN368" s="354">
        <f t="shared" si="445"/>
        <v>0.46369132472900276</v>
      </c>
      <c r="AO368" s="374">
        <f t="shared" si="446"/>
        <v>7.1224393481185766</v>
      </c>
      <c r="AP368" s="354">
        <f t="shared" si="447"/>
        <v>1.6332502589716902</v>
      </c>
      <c r="AQ368" s="354">
        <f t="shared" si="448"/>
        <v>5.4891890891468869</v>
      </c>
      <c r="AR368" s="374">
        <f t="shared" si="449"/>
        <v>12.993403144197286</v>
      </c>
      <c r="AS368" s="354">
        <f t="shared" si="450"/>
        <v>5.6304826841251794</v>
      </c>
      <c r="AT368" s="354">
        <f t="shared" si="451"/>
        <v>7.3629204600721074</v>
      </c>
      <c r="AU368" s="355" t="s">
        <v>396</v>
      </c>
      <c r="AV368" s="354" t="s">
        <v>346</v>
      </c>
      <c r="AW368" s="353">
        <v>0</v>
      </c>
      <c r="AX368" s="353">
        <v>0</v>
      </c>
      <c r="AY368" s="353">
        <v>0</v>
      </c>
      <c r="AZ368" s="353">
        <v>0</v>
      </c>
      <c r="BA368" s="353">
        <v>0</v>
      </c>
      <c r="BB368" s="353">
        <v>0</v>
      </c>
    </row>
    <row r="369" spans="1:54" x14ac:dyDescent="0.25">
      <c r="A369" s="348" t="s">
        <v>871</v>
      </c>
      <c r="B369" s="349">
        <v>17</v>
      </c>
      <c r="C369" s="607">
        <v>45108</v>
      </c>
      <c r="D369" s="351">
        <v>45134</v>
      </c>
      <c r="E369" s="352"/>
      <c r="F369" s="352">
        <v>6</v>
      </c>
      <c r="G369" s="429" t="s">
        <v>309</v>
      </c>
      <c r="H369" s="353" t="s">
        <v>895</v>
      </c>
      <c r="I369" s="350" t="s">
        <v>393</v>
      </c>
      <c r="J369" s="560">
        <f t="shared" si="455"/>
        <v>321654.33333333331</v>
      </c>
      <c r="K369" s="350" t="s">
        <v>394</v>
      </c>
      <c r="L369" s="354">
        <v>2803.6597999999999</v>
      </c>
      <c r="M369" s="560">
        <f t="shared" si="389"/>
        <v>114.72659176884918</v>
      </c>
      <c r="N369" s="354" t="s">
        <v>395</v>
      </c>
      <c r="O369" s="354">
        <v>0</v>
      </c>
      <c r="P369" s="374">
        <f t="shared" si="421"/>
        <v>7.2287085647040197</v>
      </c>
      <c r="Q369" s="354">
        <f t="shared" si="422"/>
        <v>0.68177749318017156</v>
      </c>
      <c r="R369" s="354">
        <f t="shared" si="423"/>
        <v>1.1492785600758653</v>
      </c>
      <c r="S369" s="354">
        <f t="shared" si="424"/>
        <v>1.0237619523282726</v>
      </c>
      <c r="T369" s="354">
        <f t="shared" si="425"/>
        <v>4.3687833890147472</v>
      </c>
      <c r="U369" s="374">
        <f t="shared" si="426"/>
        <v>29.011943988074524</v>
      </c>
      <c r="V369" s="354">
        <f t="shared" si="427"/>
        <v>0.76796693425008422</v>
      </c>
      <c r="W369" s="354">
        <f t="shared" si="428"/>
        <v>26.196942706816532</v>
      </c>
      <c r="X369" s="354">
        <f t="shared" si="429"/>
        <v>2.0470343470079073</v>
      </c>
      <c r="Y369" s="374">
        <f t="shared" si="430"/>
        <v>4.2531066216707858</v>
      </c>
      <c r="Z369" s="354">
        <f t="shared" si="431"/>
        <v>2.1940076945552907</v>
      </c>
      <c r="AA369" s="354">
        <f t="shared" si="432"/>
        <v>2.0590989271154951</v>
      </c>
      <c r="AB369" s="374">
        <f t="shared" si="433"/>
        <v>23.236404944662681</v>
      </c>
      <c r="AC369" s="354">
        <f t="shared" si="434"/>
        <v>6.5943192798279373</v>
      </c>
      <c r="AD369" s="354">
        <f t="shared" si="435"/>
        <v>14.354368259162552</v>
      </c>
      <c r="AE369" s="354">
        <f t="shared" si="436"/>
        <v>2.2877174056721921</v>
      </c>
      <c r="AF369" s="374">
        <f t="shared" si="437"/>
        <v>18.597238530446322</v>
      </c>
      <c r="AG369" s="354">
        <f t="shared" si="438"/>
        <v>1.1951831906975998</v>
      </c>
      <c r="AH369" s="354">
        <f t="shared" si="439"/>
        <v>6.0134470994619802</v>
      </c>
      <c r="AI369" s="354">
        <f t="shared" si="440"/>
        <v>0</v>
      </c>
      <c r="AJ369" s="354">
        <f t="shared" si="441"/>
        <v>11.388608240286743</v>
      </c>
      <c r="AK369" s="374">
        <f t="shared" si="442"/>
        <v>12.283346626974975</v>
      </c>
      <c r="AL369" s="354">
        <f t="shared" si="443"/>
        <v>3.519260345528779</v>
      </c>
      <c r="AM369" s="354">
        <f t="shared" si="444"/>
        <v>8.3003949567171933</v>
      </c>
      <c r="AN369" s="354">
        <f t="shared" si="445"/>
        <v>0.46369132472900276</v>
      </c>
      <c r="AO369" s="374">
        <f t="shared" si="446"/>
        <v>7.1224393481185766</v>
      </c>
      <c r="AP369" s="354">
        <f t="shared" si="447"/>
        <v>1.6332502589716902</v>
      </c>
      <c r="AQ369" s="354">
        <f t="shared" si="448"/>
        <v>5.4891890891468869</v>
      </c>
      <c r="AR369" s="374">
        <f t="shared" si="449"/>
        <v>12.993403144197286</v>
      </c>
      <c r="AS369" s="354">
        <f t="shared" si="450"/>
        <v>5.6304826841251794</v>
      </c>
      <c r="AT369" s="354">
        <f t="shared" si="451"/>
        <v>7.3629204600721074</v>
      </c>
      <c r="AU369" s="355" t="s">
        <v>396</v>
      </c>
      <c r="AV369" s="354" t="s">
        <v>346</v>
      </c>
      <c r="AW369" s="353">
        <v>0</v>
      </c>
      <c r="AX369" s="353">
        <v>0</v>
      </c>
      <c r="AY369" s="353">
        <v>0</v>
      </c>
      <c r="AZ369" s="353">
        <v>0</v>
      </c>
      <c r="BA369" s="353">
        <v>0</v>
      </c>
      <c r="BB369" s="353">
        <v>0</v>
      </c>
    </row>
    <row r="370" spans="1:54" x14ac:dyDescent="0.25">
      <c r="A370" s="348" t="s">
        <v>871</v>
      </c>
      <c r="B370" s="349">
        <v>17</v>
      </c>
      <c r="C370" s="607">
        <v>45108</v>
      </c>
      <c r="D370" s="351">
        <v>45134</v>
      </c>
      <c r="E370" s="352"/>
      <c r="F370" s="352">
        <v>6</v>
      </c>
      <c r="G370" s="429" t="s">
        <v>310</v>
      </c>
      <c r="H370" s="353" t="s">
        <v>896</v>
      </c>
      <c r="I370" s="350" t="s">
        <v>393</v>
      </c>
      <c r="J370" s="560">
        <f>811860/6</f>
        <v>135310</v>
      </c>
      <c r="K370" s="350" t="s">
        <v>394</v>
      </c>
      <c r="L370" s="354">
        <v>2803.6597999999999</v>
      </c>
      <c r="M370" s="560">
        <f t="shared" si="389"/>
        <v>48.261918225599267</v>
      </c>
      <c r="N370" s="354" t="s">
        <v>395</v>
      </c>
      <c r="O370" s="354">
        <v>0</v>
      </c>
      <c r="P370" s="374">
        <f t="shared" si="421"/>
        <v>3.0408934515316162</v>
      </c>
      <c r="Q370" s="354">
        <f t="shared" si="422"/>
        <v>0.28680264197345084</v>
      </c>
      <c r="R370" s="354">
        <f t="shared" si="423"/>
        <v>0.48346583847421715</v>
      </c>
      <c r="S370" s="354">
        <f t="shared" si="424"/>
        <v>0.43066489524325358</v>
      </c>
      <c r="T370" s="354">
        <f t="shared" si="425"/>
        <v>1.8378116478069693</v>
      </c>
      <c r="U370" s="374">
        <f t="shared" si="426"/>
        <v>12.204424856786314</v>
      </c>
      <c r="V370" s="354">
        <f t="shared" si="427"/>
        <v>0.32305986615045001</v>
      </c>
      <c r="W370" s="354">
        <f t="shared" si="428"/>
        <v>11.020241141865581</v>
      </c>
      <c r="X370" s="354">
        <f t="shared" si="429"/>
        <v>0.86112384877028425</v>
      </c>
      <c r="Y370" s="374">
        <f t="shared" si="430"/>
        <v>1.7891500201922999</v>
      </c>
      <c r="Z370" s="354">
        <f t="shared" si="431"/>
        <v>0.92295097682587746</v>
      </c>
      <c r="AA370" s="354">
        <f t="shared" si="432"/>
        <v>0.86619904336642228</v>
      </c>
      <c r="AB370" s="374">
        <f t="shared" si="433"/>
        <v>9.7748347441165322</v>
      </c>
      <c r="AC370" s="354">
        <f t="shared" si="434"/>
        <v>2.774025558762931</v>
      </c>
      <c r="AD370" s="354">
        <f t="shared" si="435"/>
        <v>6.0384374400281189</v>
      </c>
      <c r="AE370" s="354">
        <f t="shared" si="436"/>
        <v>0.96237174532548175</v>
      </c>
      <c r="AF370" s="374">
        <f t="shared" si="437"/>
        <v>7.8232813451542444</v>
      </c>
      <c r="AG370" s="354">
        <f t="shared" si="438"/>
        <v>0.50277649257005363</v>
      </c>
      <c r="AH370" s="354">
        <f t="shared" si="439"/>
        <v>2.5296706517085128</v>
      </c>
      <c r="AI370" s="354">
        <f t="shared" si="440"/>
        <v>0</v>
      </c>
      <c r="AJ370" s="354">
        <f t="shared" si="441"/>
        <v>4.790834200875679</v>
      </c>
      <c r="AK370" s="374">
        <f t="shared" si="442"/>
        <v>5.1672228844918937</v>
      </c>
      <c r="AL370" s="354">
        <f t="shared" si="443"/>
        <v>1.4804436564515915</v>
      </c>
      <c r="AM370" s="354">
        <f t="shared" si="444"/>
        <v>3.4917186718871194</v>
      </c>
      <c r="AN370" s="354">
        <f t="shared" si="445"/>
        <v>0.19506055615318316</v>
      </c>
      <c r="AO370" s="374">
        <f t="shared" si="446"/>
        <v>2.9961892886895911</v>
      </c>
      <c r="AP370" s="354">
        <f t="shared" si="447"/>
        <v>0.68705771892225731</v>
      </c>
      <c r="AQ370" s="354">
        <f t="shared" si="448"/>
        <v>2.309131569767334</v>
      </c>
      <c r="AR370" s="374">
        <f t="shared" si="449"/>
        <v>5.4659216346367723</v>
      </c>
      <c r="AS370" s="354">
        <f t="shared" si="450"/>
        <v>2.3685694021086134</v>
      </c>
      <c r="AT370" s="354">
        <f t="shared" si="451"/>
        <v>3.0973522325281593</v>
      </c>
      <c r="AU370" s="355" t="s">
        <v>396</v>
      </c>
      <c r="AV370" s="354" t="s">
        <v>346</v>
      </c>
      <c r="AW370" s="353">
        <v>0</v>
      </c>
      <c r="AX370" s="353">
        <v>0</v>
      </c>
      <c r="AY370" s="353">
        <v>0</v>
      </c>
      <c r="AZ370" s="353">
        <v>0</v>
      </c>
      <c r="BA370" s="353">
        <v>0</v>
      </c>
      <c r="BB370" s="353">
        <v>0</v>
      </c>
    </row>
    <row r="371" spans="1:54" x14ac:dyDescent="0.25">
      <c r="A371" s="348" t="s">
        <v>871</v>
      </c>
      <c r="B371" s="349">
        <v>17</v>
      </c>
      <c r="C371" s="607">
        <v>45108</v>
      </c>
      <c r="D371" s="351">
        <v>45134</v>
      </c>
      <c r="E371" s="352"/>
      <c r="F371" s="352">
        <v>6</v>
      </c>
      <c r="G371" s="429" t="s">
        <v>310</v>
      </c>
      <c r="H371" s="353" t="s">
        <v>897</v>
      </c>
      <c r="I371" s="350" t="s">
        <v>393</v>
      </c>
      <c r="J371" s="560">
        <f t="shared" ref="J371:J375" si="456">811860/6</f>
        <v>135310</v>
      </c>
      <c r="K371" s="350" t="s">
        <v>394</v>
      </c>
      <c r="L371" s="354">
        <v>2803.6597999999999</v>
      </c>
      <c r="M371" s="560">
        <f t="shared" si="389"/>
        <v>48.261918225599267</v>
      </c>
      <c r="N371" s="354" t="s">
        <v>395</v>
      </c>
      <c r="O371" s="354">
        <v>0</v>
      </c>
      <c r="P371" s="374">
        <f t="shared" si="421"/>
        <v>3.0408934515316162</v>
      </c>
      <c r="Q371" s="354">
        <f t="shared" si="422"/>
        <v>0.28680264197345084</v>
      </c>
      <c r="R371" s="354">
        <f t="shared" si="423"/>
        <v>0.48346583847421715</v>
      </c>
      <c r="S371" s="354">
        <f t="shared" si="424"/>
        <v>0.43066489524325358</v>
      </c>
      <c r="T371" s="354">
        <f t="shared" si="425"/>
        <v>1.8378116478069693</v>
      </c>
      <c r="U371" s="374">
        <f t="shared" si="426"/>
        <v>12.204424856786314</v>
      </c>
      <c r="V371" s="354">
        <f t="shared" si="427"/>
        <v>0.32305986615045001</v>
      </c>
      <c r="W371" s="354">
        <f t="shared" si="428"/>
        <v>11.020241141865581</v>
      </c>
      <c r="X371" s="354">
        <f t="shared" si="429"/>
        <v>0.86112384877028425</v>
      </c>
      <c r="Y371" s="374">
        <f t="shared" si="430"/>
        <v>1.7891500201922999</v>
      </c>
      <c r="Z371" s="354">
        <f t="shared" si="431"/>
        <v>0.92295097682587746</v>
      </c>
      <c r="AA371" s="354">
        <f t="shared" si="432"/>
        <v>0.86619904336642228</v>
      </c>
      <c r="AB371" s="374">
        <f t="shared" si="433"/>
        <v>9.7748347441165322</v>
      </c>
      <c r="AC371" s="354">
        <f t="shared" si="434"/>
        <v>2.774025558762931</v>
      </c>
      <c r="AD371" s="354">
        <f t="shared" si="435"/>
        <v>6.0384374400281189</v>
      </c>
      <c r="AE371" s="354">
        <f t="shared" si="436"/>
        <v>0.96237174532548175</v>
      </c>
      <c r="AF371" s="374">
        <f t="shared" si="437"/>
        <v>7.8232813451542444</v>
      </c>
      <c r="AG371" s="354">
        <f t="shared" si="438"/>
        <v>0.50277649257005363</v>
      </c>
      <c r="AH371" s="354">
        <f t="shared" si="439"/>
        <v>2.5296706517085128</v>
      </c>
      <c r="AI371" s="354">
        <f t="shared" si="440"/>
        <v>0</v>
      </c>
      <c r="AJ371" s="354">
        <f t="shared" si="441"/>
        <v>4.790834200875679</v>
      </c>
      <c r="AK371" s="374">
        <f t="shared" si="442"/>
        <v>5.1672228844918937</v>
      </c>
      <c r="AL371" s="354">
        <f t="shared" si="443"/>
        <v>1.4804436564515915</v>
      </c>
      <c r="AM371" s="354">
        <f t="shared" si="444"/>
        <v>3.4917186718871194</v>
      </c>
      <c r="AN371" s="354">
        <f t="shared" si="445"/>
        <v>0.19506055615318316</v>
      </c>
      <c r="AO371" s="374">
        <f t="shared" si="446"/>
        <v>2.9961892886895911</v>
      </c>
      <c r="AP371" s="354">
        <f t="shared" si="447"/>
        <v>0.68705771892225731</v>
      </c>
      <c r="AQ371" s="354">
        <f t="shared" si="448"/>
        <v>2.309131569767334</v>
      </c>
      <c r="AR371" s="374">
        <f t="shared" si="449"/>
        <v>5.4659216346367723</v>
      </c>
      <c r="AS371" s="354">
        <f t="shared" si="450"/>
        <v>2.3685694021086134</v>
      </c>
      <c r="AT371" s="354">
        <f t="shared" si="451"/>
        <v>3.0973522325281593</v>
      </c>
      <c r="AU371" s="355" t="s">
        <v>396</v>
      </c>
      <c r="AV371" s="354" t="s">
        <v>346</v>
      </c>
      <c r="AW371" s="353">
        <v>0</v>
      </c>
      <c r="AX371" s="353">
        <v>0</v>
      </c>
      <c r="AY371" s="353">
        <v>0</v>
      </c>
      <c r="AZ371" s="353">
        <v>0</v>
      </c>
      <c r="BA371" s="353">
        <v>0</v>
      </c>
      <c r="BB371" s="353">
        <v>0</v>
      </c>
    </row>
    <row r="372" spans="1:54" x14ac:dyDescent="0.25">
      <c r="A372" s="348" t="s">
        <v>871</v>
      </c>
      <c r="B372" s="349">
        <v>17</v>
      </c>
      <c r="C372" s="607">
        <v>45108</v>
      </c>
      <c r="D372" s="351">
        <v>45134</v>
      </c>
      <c r="E372" s="352"/>
      <c r="F372" s="352">
        <v>6</v>
      </c>
      <c r="G372" s="429" t="s">
        <v>310</v>
      </c>
      <c r="H372" s="353" t="s">
        <v>898</v>
      </c>
      <c r="I372" s="350" t="s">
        <v>393</v>
      </c>
      <c r="J372" s="560">
        <f t="shared" si="456"/>
        <v>135310</v>
      </c>
      <c r="K372" s="350" t="s">
        <v>394</v>
      </c>
      <c r="L372" s="354">
        <v>2803.6597999999999</v>
      </c>
      <c r="M372" s="560">
        <f t="shared" si="389"/>
        <v>48.261918225599267</v>
      </c>
      <c r="N372" s="354" t="s">
        <v>395</v>
      </c>
      <c r="O372" s="354">
        <v>0</v>
      </c>
      <c r="P372" s="374">
        <f t="shared" si="421"/>
        <v>3.0408934515316162</v>
      </c>
      <c r="Q372" s="354">
        <f t="shared" si="422"/>
        <v>0.28680264197345084</v>
      </c>
      <c r="R372" s="354">
        <f t="shared" si="423"/>
        <v>0.48346583847421715</v>
      </c>
      <c r="S372" s="354">
        <f t="shared" si="424"/>
        <v>0.43066489524325358</v>
      </c>
      <c r="T372" s="354">
        <f t="shared" si="425"/>
        <v>1.8378116478069693</v>
      </c>
      <c r="U372" s="374">
        <f t="shared" si="426"/>
        <v>12.204424856786314</v>
      </c>
      <c r="V372" s="354">
        <f t="shared" si="427"/>
        <v>0.32305986615045001</v>
      </c>
      <c r="W372" s="354">
        <f t="shared" si="428"/>
        <v>11.020241141865581</v>
      </c>
      <c r="X372" s="354">
        <f t="shared" si="429"/>
        <v>0.86112384877028425</v>
      </c>
      <c r="Y372" s="374">
        <f t="shared" si="430"/>
        <v>1.7891500201922999</v>
      </c>
      <c r="Z372" s="354">
        <f t="shared" si="431"/>
        <v>0.92295097682587746</v>
      </c>
      <c r="AA372" s="354">
        <f t="shared" si="432"/>
        <v>0.86619904336642228</v>
      </c>
      <c r="AB372" s="374">
        <f t="shared" si="433"/>
        <v>9.7748347441165322</v>
      </c>
      <c r="AC372" s="354">
        <f t="shared" si="434"/>
        <v>2.774025558762931</v>
      </c>
      <c r="AD372" s="354">
        <f t="shared" si="435"/>
        <v>6.0384374400281189</v>
      </c>
      <c r="AE372" s="354">
        <f t="shared" si="436"/>
        <v>0.96237174532548175</v>
      </c>
      <c r="AF372" s="374">
        <f t="shared" si="437"/>
        <v>7.8232813451542444</v>
      </c>
      <c r="AG372" s="354">
        <f t="shared" si="438"/>
        <v>0.50277649257005363</v>
      </c>
      <c r="AH372" s="354">
        <f t="shared" si="439"/>
        <v>2.5296706517085128</v>
      </c>
      <c r="AI372" s="354">
        <f t="shared" si="440"/>
        <v>0</v>
      </c>
      <c r="AJ372" s="354">
        <f t="shared" si="441"/>
        <v>4.790834200875679</v>
      </c>
      <c r="AK372" s="374">
        <f t="shared" si="442"/>
        <v>5.1672228844918937</v>
      </c>
      <c r="AL372" s="354">
        <f t="shared" si="443"/>
        <v>1.4804436564515915</v>
      </c>
      <c r="AM372" s="354">
        <f t="shared" si="444"/>
        <v>3.4917186718871194</v>
      </c>
      <c r="AN372" s="354">
        <f t="shared" si="445"/>
        <v>0.19506055615318316</v>
      </c>
      <c r="AO372" s="374">
        <f t="shared" si="446"/>
        <v>2.9961892886895911</v>
      </c>
      <c r="AP372" s="354">
        <f t="shared" si="447"/>
        <v>0.68705771892225731</v>
      </c>
      <c r="AQ372" s="354">
        <f t="shared" si="448"/>
        <v>2.309131569767334</v>
      </c>
      <c r="AR372" s="374">
        <f t="shared" si="449"/>
        <v>5.4659216346367723</v>
      </c>
      <c r="AS372" s="354">
        <f t="shared" si="450"/>
        <v>2.3685694021086134</v>
      </c>
      <c r="AT372" s="354">
        <f t="shared" si="451"/>
        <v>3.0973522325281593</v>
      </c>
      <c r="AU372" s="355" t="s">
        <v>396</v>
      </c>
      <c r="AV372" s="354" t="s">
        <v>346</v>
      </c>
      <c r="AW372" s="353">
        <v>0</v>
      </c>
      <c r="AX372" s="353">
        <v>0</v>
      </c>
      <c r="AY372" s="353">
        <v>0</v>
      </c>
      <c r="AZ372" s="353">
        <v>0</v>
      </c>
      <c r="BA372" s="353">
        <v>0</v>
      </c>
      <c r="BB372" s="353">
        <v>0</v>
      </c>
    </row>
    <row r="373" spans="1:54" x14ac:dyDescent="0.25">
      <c r="A373" s="348" t="s">
        <v>871</v>
      </c>
      <c r="B373" s="349">
        <v>17</v>
      </c>
      <c r="C373" s="607">
        <v>45108</v>
      </c>
      <c r="D373" s="351">
        <v>45134</v>
      </c>
      <c r="E373" s="352"/>
      <c r="F373" s="352">
        <v>6</v>
      </c>
      <c r="G373" s="429" t="s">
        <v>310</v>
      </c>
      <c r="H373" s="353" t="s">
        <v>899</v>
      </c>
      <c r="I373" s="350" t="s">
        <v>393</v>
      </c>
      <c r="J373" s="560">
        <f t="shared" si="456"/>
        <v>135310</v>
      </c>
      <c r="K373" s="350" t="s">
        <v>394</v>
      </c>
      <c r="L373" s="354">
        <v>2803.6597999999999</v>
      </c>
      <c r="M373" s="560">
        <f t="shared" si="389"/>
        <v>48.261918225599267</v>
      </c>
      <c r="N373" s="354" t="s">
        <v>395</v>
      </c>
      <c r="O373" s="354">
        <v>0</v>
      </c>
      <c r="P373" s="374">
        <f t="shared" si="421"/>
        <v>3.0408934515316162</v>
      </c>
      <c r="Q373" s="354">
        <f t="shared" si="422"/>
        <v>0.28680264197345084</v>
      </c>
      <c r="R373" s="354">
        <f t="shared" si="423"/>
        <v>0.48346583847421715</v>
      </c>
      <c r="S373" s="354">
        <f t="shared" si="424"/>
        <v>0.43066489524325358</v>
      </c>
      <c r="T373" s="354">
        <f t="shared" si="425"/>
        <v>1.8378116478069693</v>
      </c>
      <c r="U373" s="374">
        <f t="shared" si="426"/>
        <v>12.204424856786314</v>
      </c>
      <c r="V373" s="354">
        <f t="shared" si="427"/>
        <v>0.32305986615045001</v>
      </c>
      <c r="W373" s="354">
        <f t="shared" si="428"/>
        <v>11.020241141865581</v>
      </c>
      <c r="X373" s="354">
        <f t="shared" si="429"/>
        <v>0.86112384877028425</v>
      </c>
      <c r="Y373" s="374">
        <f t="shared" si="430"/>
        <v>1.7891500201922999</v>
      </c>
      <c r="Z373" s="354">
        <f t="shared" si="431"/>
        <v>0.92295097682587746</v>
      </c>
      <c r="AA373" s="354">
        <f t="shared" si="432"/>
        <v>0.86619904336642228</v>
      </c>
      <c r="AB373" s="374">
        <f t="shared" si="433"/>
        <v>9.7748347441165322</v>
      </c>
      <c r="AC373" s="354">
        <f t="shared" si="434"/>
        <v>2.774025558762931</v>
      </c>
      <c r="AD373" s="354">
        <f t="shared" si="435"/>
        <v>6.0384374400281189</v>
      </c>
      <c r="AE373" s="354">
        <f t="shared" si="436"/>
        <v>0.96237174532548175</v>
      </c>
      <c r="AF373" s="374">
        <f t="shared" si="437"/>
        <v>7.8232813451542444</v>
      </c>
      <c r="AG373" s="354">
        <f t="shared" si="438"/>
        <v>0.50277649257005363</v>
      </c>
      <c r="AH373" s="354">
        <f t="shared" si="439"/>
        <v>2.5296706517085128</v>
      </c>
      <c r="AI373" s="354">
        <f t="shared" si="440"/>
        <v>0</v>
      </c>
      <c r="AJ373" s="354">
        <f t="shared" si="441"/>
        <v>4.790834200875679</v>
      </c>
      <c r="AK373" s="374">
        <f t="shared" si="442"/>
        <v>5.1672228844918937</v>
      </c>
      <c r="AL373" s="354">
        <f t="shared" si="443"/>
        <v>1.4804436564515915</v>
      </c>
      <c r="AM373" s="354">
        <f t="shared" si="444"/>
        <v>3.4917186718871194</v>
      </c>
      <c r="AN373" s="354">
        <f t="shared" si="445"/>
        <v>0.19506055615318316</v>
      </c>
      <c r="AO373" s="374">
        <f t="shared" si="446"/>
        <v>2.9961892886895911</v>
      </c>
      <c r="AP373" s="354">
        <f t="shared" si="447"/>
        <v>0.68705771892225731</v>
      </c>
      <c r="AQ373" s="354">
        <f t="shared" si="448"/>
        <v>2.309131569767334</v>
      </c>
      <c r="AR373" s="374">
        <f t="shared" si="449"/>
        <v>5.4659216346367723</v>
      </c>
      <c r="AS373" s="354">
        <f t="shared" si="450"/>
        <v>2.3685694021086134</v>
      </c>
      <c r="AT373" s="354">
        <f t="shared" si="451"/>
        <v>3.0973522325281593</v>
      </c>
      <c r="AU373" s="355" t="s">
        <v>396</v>
      </c>
      <c r="AV373" s="354" t="s">
        <v>346</v>
      </c>
      <c r="AW373" s="353">
        <v>0</v>
      </c>
      <c r="AX373" s="353">
        <v>0</v>
      </c>
      <c r="AY373" s="353">
        <v>0</v>
      </c>
      <c r="AZ373" s="353">
        <v>0</v>
      </c>
      <c r="BA373" s="353">
        <v>0</v>
      </c>
      <c r="BB373" s="353">
        <v>0</v>
      </c>
    </row>
    <row r="374" spans="1:54" x14ac:dyDescent="0.25">
      <c r="A374" s="348" t="s">
        <v>871</v>
      </c>
      <c r="B374" s="349">
        <v>17</v>
      </c>
      <c r="C374" s="607">
        <v>45108</v>
      </c>
      <c r="D374" s="351">
        <v>45134</v>
      </c>
      <c r="E374" s="352"/>
      <c r="F374" s="352">
        <v>6</v>
      </c>
      <c r="G374" s="429" t="s">
        <v>310</v>
      </c>
      <c r="H374" s="353" t="s">
        <v>900</v>
      </c>
      <c r="I374" s="350" t="s">
        <v>393</v>
      </c>
      <c r="J374" s="560">
        <f t="shared" si="456"/>
        <v>135310</v>
      </c>
      <c r="K374" s="350" t="s">
        <v>394</v>
      </c>
      <c r="L374" s="354">
        <v>2803.6597999999999</v>
      </c>
      <c r="M374" s="560">
        <f t="shared" si="389"/>
        <v>48.261918225599267</v>
      </c>
      <c r="N374" s="354" t="s">
        <v>395</v>
      </c>
      <c r="O374" s="354">
        <v>0</v>
      </c>
      <c r="P374" s="374">
        <f t="shared" si="421"/>
        <v>3.0408934515316162</v>
      </c>
      <c r="Q374" s="354">
        <f t="shared" si="422"/>
        <v>0.28680264197345084</v>
      </c>
      <c r="R374" s="354">
        <f t="shared" si="423"/>
        <v>0.48346583847421715</v>
      </c>
      <c r="S374" s="354">
        <f t="shared" si="424"/>
        <v>0.43066489524325358</v>
      </c>
      <c r="T374" s="354">
        <f t="shared" si="425"/>
        <v>1.8378116478069693</v>
      </c>
      <c r="U374" s="374">
        <f t="shared" si="426"/>
        <v>12.204424856786314</v>
      </c>
      <c r="V374" s="354">
        <f t="shared" si="427"/>
        <v>0.32305986615045001</v>
      </c>
      <c r="W374" s="354">
        <f t="shared" si="428"/>
        <v>11.020241141865581</v>
      </c>
      <c r="X374" s="354">
        <f t="shared" si="429"/>
        <v>0.86112384877028425</v>
      </c>
      <c r="Y374" s="374">
        <f t="shared" si="430"/>
        <v>1.7891500201922999</v>
      </c>
      <c r="Z374" s="354">
        <f t="shared" si="431"/>
        <v>0.92295097682587746</v>
      </c>
      <c r="AA374" s="354">
        <f t="shared" si="432"/>
        <v>0.86619904336642228</v>
      </c>
      <c r="AB374" s="374">
        <f t="shared" si="433"/>
        <v>9.7748347441165322</v>
      </c>
      <c r="AC374" s="354">
        <f t="shared" si="434"/>
        <v>2.774025558762931</v>
      </c>
      <c r="AD374" s="354">
        <f t="shared" si="435"/>
        <v>6.0384374400281189</v>
      </c>
      <c r="AE374" s="354">
        <f t="shared" si="436"/>
        <v>0.96237174532548175</v>
      </c>
      <c r="AF374" s="374">
        <f t="shared" si="437"/>
        <v>7.8232813451542444</v>
      </c>
      <c r="AG374" s="354">
        <f t="shared" si="438"/>
        <v>0.50277649257005363</v>
      </c>
      <c r="AH374" s="354">
        <f t="shared" si="439"/>
        <v>2.5296706517085128</v>
      </c>
      <c r="AI374" s="354">
        <f t="shared" si="440"/>
        <v>0</v>
      </c>
      <c r="AJ374" s="354">
        <f t="shared" si="441"/>
        <v>4.790834200875679</v>
      </c>
      <c r="AK374" s="374">
        <f t="shared" si="442"/>
        <v>5.1672228844918937</v>
      </c>
      <c r="AL374" s="354">
        <f t="shared" si="443"/>
        <v>1.4804436564515915</v>
      </c>
      <c r="AM374" s="354">
        <f t="shared" si="444"/>
        <v>3.4917186718871194</v>
      </c>
      <c r="AN374" s="354">
        <f t="shared" si="445"/>
        <v>0.19506055615318316</v>
      </c>
      <c r="AO374" s="374">
        <f t="shared" si="446"/>
        <v>2.9961892886895911</v>
      </c>
      <c r="AP374" s="354">
        <f t="shared" si="447"/>
        <v>0.68705771892225731</v>
      </c>
      <c r="AQ374" s="354">
        <f t="shared" si="448"/>
        <v>2.309131569767334</v>
      </c>
      <c r="AR374" s="374">
        <f t="shared" si="449"/>
        <v>5.4659216346367723</v>
      </c>
      <c r="AS374" s="354">
        <f t="shared" si="450"/>
        <v>2.3685694021086134</v>
      </c>
      <c r="AT374" s="354">
        <f t="shared" si="451"/>
        <v>3.0973522325281593</v>
      </c>
      <c r="AU374" s="355" t="s">
        <v>396</v>
      </c>
      <c r="AV374" s="354" t="s">
        <v>346</v>
      </c>
      <c r="AW374" s="353">
        <v>0</v>
      </c>
      <c r="AX374" s="353">
        <v>0</v>
      </c>
      <c r="AY374" s="353">
        <v>0</v>
      </c>
      <c r="AZ374" s="353">
        <v>0</v>
      </c>
      <c r="BA374" s="353">
        <v>0</v>
      </c>
      <c r="BB374" s="353">
        <v>0</v>
      </c>
    </row>
    <row r="375" spans="1:54" x14ac:dyDescent="0.25">
      <c r="A375" s="348" t="s">
        <v>871</v>
      </c>
      <c r="B375" s="349">
        <v>17</v>
      </c>
      <c r="C375" s="607">
        <v>45108</v>
      </c>
      <c r="D375" s="351">
        <v>45134</v>
      </c>
      <c r="E375" s="352"/>
      <c r="F375" s="352">
        <v>6</v>
      </c>
      <c r="G375" s="429" t="s">
        <v>310</v>
      </c>
      <c r="H375" s="353" t="s">
        <v>896</v>
      </c>
      <c r="I375" s="350" t="s">
        <v>393</v>
      </c>
      <c r="J375" s="560">
        <f t="shared" si="456"/>
        <v>135310</v>
      </c>
      <c r="K375" s="350" t="s">
        <v>394</v>
      </c>
      <c r="L375" s="354">
        <v>2803.6597999999999</v>
      </c>
      <c r="M375" s="560">
        <f t="shared" si="389"/>
        <v>48.261918225599267</v>
      </c>
      <c r="N375" s="354" t="s">
        <v>395</v>
      </c>
      <c r="O375" s="354">
        <v>0</v>
      </c>
      <c r="P375" s="374">
        <f t="shared" si="421"/>
        <v>3.0408934515316162</v>
      </c>
      <c r="Q375" s="354">
        <f t="shared" si="422"/>
        <v>0.28680264197345084</v>
      </c>
      <c r="R375" s="354">
        <f t="shared" si="423"/>
        <v>0.48346583847421715</v>
      </c>
      <c r="S375" s="354">
        <f t="shared" si="424"/>
        <v>0.43066489524325358</v>
      </c>
      <c r="T375" s="354">
        <f t="shared" si="425"/>
        <v>1.8378116478069693</v>
      </c>
      <c r="U375" s="374">
        <f t="shared" si="426"/>
        <v>12.204424856786314</v>
      </c>
      <c r="V375" s="354">
        <f t="shared" si="427"/>
        <v>0.32305986615045001</v>
      </c>
      <c r="W375" s="354">
        <f t="shared" si="428"/>
        <v>11.020241141865581</v>
      </c>
      <c r="X375" s="354">
        <f t="shared" si="429"/>
        <v>0.86112384877028425</v>
      </c>
      <c r="Y375" s="374">
        <f t="shared" si="430"/>
        <v>1.7891500201922999</v>
      </c>
      <c r="Z375" s="354">
        <f t="shared" si="431"/>
        <v>0.92295097682587746</v>
      </c>
      <c r="AA375" s="354">
        <f t="shared" si="432"/>
        <v>0.86619904336642228</v>
      </c>
      <c r="AB375" s="374">
        <f t="shared" si="433"/>
        <v>9.7748347441165322</v>
      </c>
      <c r="AC375" s="354">
        <f t="shared" si="434"/>
        <v>2.774025558762931</v>
      </c>
      <c r="AD375" s="354">
        <f t="shared" si="435"/>
        <v>6.0384374400281189</v>
      </c>
      <c r="AE375" s="354">
        <f t="shared" si="436"/>
        <v>0.96237174532548175</v>
      </c>
      <c r="AF375" s="374">
        <f t="shared" si="437"/>
        <v>7.8232813451542444</v>
      </c>
      <c r="AG375" s="354">
        <f t="shared" si="438"/>
        <v>0.50277649257005363</v>
      </c>
      <c r="AH375" s="354">
        <f t="shared" si="439"/>
        <v>2.5296706517085128</v>
      </c>
      <c r="AI375" s="354">
        <f t="shared" si="440"/>
        <v>0</v>
      </c>
      <c r="AJ375" s="354">
        <f t="shared" si="441"/>
        <v>4.790834200875679</v>
      </c>
      <c r="AK375" s="374">
        <f t="shared" si="442"/>
        <v>5.1672228844918937</v>
      </c>
      <c r="AL375" s="354">
        <f t="shared" si="443"/>
        <v>1.4804436564515915</v>
      </c>
      <c r="AM375" s="354">
        <f t="shared" si="444"/>
        <v>3.4917186718871194</v>
      </c>
      <c r="AN375" s="354">
        <f t="shared" si="445"/>
        <v>0.19506055615318316</v>
      </c>
      <c r="AO375" s="374">
        <f t="shared" si="446"/>
        <v>2.9961892886895911</v>
      </c>
      <c r="AP375" s="354">
        <f t="shared" si="447"/>
        <v>0.68705771892225731</v>
      </c>
      <c r="AQ375" s="354">
        <f t="shared" si="448"/>
        <v>2.309131569767334</v>
      </c>
      <c r="AR375" s="374">
        <f t="shared" si="449"/>
        <v>5.4659216346367723</v>
      </c>
      <c r="AS375" s="354">
        <f t="shared" si="450"/>
        <v>2.3685694021086134</v>
      </c>
      <c r="AT375" s="354">
        <f t="shared" si="451"/>
        <v>3.0973522325281593</v>
      </c>
      <c r="AU375" s="355" t="s">
        <v>396</v>
      </c>
      <c r="AV375" s="354" t="s">
        <v>346</v>
      </c>
      <c r="AW375" s="353">
        <v>0</v>
      </c>
      <c r="AX375" s="353">
        <v>0</v>
      </c>
      <c r="AY375" s="353">
        <v>0</v>
      </c>
      <c r="AZ375" s="353">
        <v>0</v>
      </c>
      <c r="BA375" s="353">
        <v>0</v>
      </c>
      <c r="BB375" s="353">
        <v>0</v>
      </c>
    </row>
    <row r="376" spans="1:54" x14ac:dyDescent="0.25">
      <c r="A376" s="348" t="s">
        <v>871</v>
      </c>
      <c r="B376" s="349">
        <v>17</v>
      </c>
      <c r="C376" s="607">
        <v>45108</v>
      </c>
      <c r="D376" s="351">
        <v>45134</v>
      </c>
      <c r="E376" s="352"/>
      <c r="F376" s="352">
        <v>6</v>
      </c>
      <c r="G376" s="429" t="s">
        <v>311</v>
      </c>
      <c r="H376" s="353" t="s">
        <v>901</v>
      </c>
      <c r="I376" s="350" t="s">
        <v>393</v>
      </c>
      <c r="J376" s="560">
        <f>275016/6</f>
        <v>45836</v>
      </c>
      <c r="K376" s="350" t="s">
        <v>394</v>
      </c>
      <c r="L376" s="354">
        <v>2803.6597999999999</v>
      </c>
      <c r="M376" s="560">
        <f t="shared" si="389"/>
        <v>16.348631171299743</v>
      </c>
      <c r="N376" s="354" t="s">
        <v>395</v>
      </c>
      <c r="O376" s="354">
        <v>0</v>
      </c>
      <c r="P376" s="374">
        <f t="shared" si="421"/>
        <v>1.0300967574045021</v>
      </c>
      <c r="Q376" s="354">
        <f t="shared" si="422"/>
        <v>9.7153838574348506E-2</v>
      </c>
      <c r="R376" s="354">
        <f t="shared" si="423"/>
        <v>0.16377311486441667</v>
      </c>
      <c r="S376" s="354">
        <f t="shared" si="424"/>
        <v>0.14588689777821134</v>
      </c>
      <c r="T376" s="354">
        <f t="shared" si="425"/>
        <v>0.62255513035902932</v>
      </c>
      <c r="U376" s="374">
        <f t="shared" si="426"/>
        <v>4.1342252437784168</v>
      </c>
      <c r="V376" s="354">
        <f t="shared" si="427"/>
        <v>0.10943590292566721</v>
      </c>
      <c r="W376" s="354">
        <f t="shared" si="428"/>
        <v>3.7330853076531727</v>
      </c>
      <c r="X376" s="354">
        <f t="shared" si="429"/>
        <v>0.29170403319957694</v>
      </c>
      <c r="Y376" s="374">
        <f t="shared" si="430"/>
        <v>0.60607109840761408</v>
      </c>
      <c r="Z376" s="354">
        <f t="shared" si="431"/>
        <v>0.31264785288442037</v>
      </c>
      <c r="AA376" s="354">
        <f t="shared" si="432"/>
        <v>0.29342324552319365</v>
      </c>
      <c r="AB376" s="374">
        <f t="shared" si="433"/>
        <v>3.3112063064912087</v>
      </c>
      <c r="AC376" s="354">
        <f t="shared" si="434"/>
        <v>0.93969577645006086</v>
      </c>
      <c r="AD376" s="354">
        <f t="shared" si="435"/>
        <v>2.0455089683033694</v>
      </c>
      <c r="AE376" s="354">
        <f t="shared" si="436"/>
        <v>0.32600156173777839</v>
      </c>
      <c r="AF376" s="374">
        <f t="shared" si="437"/>
        <v>2.6501213785861353</v>
      </c>
      <c r="AG376" s="354">
        <f t="shared" si="438"/>
        <v>0.17031456147691212</v>
      </c>
      <c r="AH376" s="354">
        <f t="shared" si="439"/>
        <v>0.85692102573136797</v>
      </c>
      <c r="AI376" s="354">
        <f t="shared" si="440"/>
        <v>0</v>
      </c>
      <c r="AJ376" s="354">
        <f t="shared" si="441"/>
        <v>1.6228857913778554</v>
      </c>
      <c r="AK376" s="374">
        <f t="shared" si="442"/>
        <v>1.7503867277626965</v>
      </c>
      <c r="AL376" s="354">
        <f t="shared" si="443"/>
        <v>0.50149741657760072</v>
      </c>
      <c r="AM376" s="354">
        <f t="shared" si="444"/>
        <v>1.1828129262036657</v>
      </c>
      <c r="AN376" s="354">
        <f t="shared" si="445"/>
        <v>6.6076384981430078E-2</v>
      </c>
      <c r="AO376" s="374">
        <f t="shared" si="446"/>
        <v>1.0149533089673795</v>
      </c>
      <c r="AP376" s="354">
        <f t="shared" si="447"/>
        <v>0.23273946940004872</v>
      </c>
      <c r="AQ376" s="354">
        <f t="shared" si="448"/>
        <v>0.78221383956733082</v>
      </c>
      <c r="AR376" s="374">
        <f t="shared" si="449"/>
        <v>1.8515703499017895</v>
      </c>
      <c r="AS376" s="354">
        <f t="shared" si="450"/>
        <v>0.80234828996415941</v>
      </c>
      <c r="AT376" s="354">
        <f t="shared" si="451"/>
        <v>1.0492220599376301</v>
      </c>
      <c r="AU376" s="355" t="s">
        <v>396</v>
      </c>
      <c r="AV376" s="354" t="s">
        <v>346</v>
      </c>
      <c r="AW376" s="353">
        <v>0</v>
      </c>
      <c r="AX376" s="353">
        <v>0</v>
      </c>
      <c r="AY376" s="353">
        <v>0</v>
      </c>
      <c r="AZ376" s="353">
        <v>0</v>
      </c>
      <c r="BA376" s="353">
        <v>0</v>
      </c>
      <c r="BB376" s="353">
        <v>0</v>
      </c>
    </row>
    <row r="377" spans="1:54" x14ac:dyDescent="0.25">
      <c r="A377" s="348" t="s">
        <v>871</v>
      </c>
      <c r="B377" s="349">
        <v>17</v>
      </c>
      <c r="C377" s="607">
        <v>45108</v>
      </c>
      <c r="D377" s="351">
        <v>45134</v>
      </c>
      <c r="E377" s="352"/>
      <c r="F377" s="352">
        <v>6</v>
      </c>
      <c r="G377" s="429" t="s">
        <v>311</v>
      </c>
      <c r="H377" s="353" t="s">
        <v>902</v>
      </c>
      <c r="I377" s="350" t="s">
        <v>393</v>
      </c>
      <c r="J377" s="560">
        <f t="shared" ref="J377:J381" si="457">275016/6</f>
        <v>45836</v>
      </c>
      <c r="K377" s="350" t="s">
        <v>394</v>
      </c>
      <c r="L377" s="354">
        <v>2803.6597999999999</v>
      </c>
      <c r="M377" s="560">
        <f t="shared" si="389"/>
        <v>16.348631171299743</v>
      </c>
      <c r="N377" s="354" t="s">
        <v>395</v>
      </c>
      <c r="O377" s="354">
        <v>0</v>
      </c>
      <c r="P377" s="374">
        <f t="shared" si="421"/>
        <v>1.0300967574045021</v>
      </c>
      <c r="Q377" s="354">
        <f t="shared" si="422"/>
        <v>9.7153838574348506E-2</v>
      </c>
      <c r="R377" s="354">
        <f t="shared" si="423"/>
        <v>0.16377311486441667</v>
      </c>
      <c r="S377" s="354">
        <f t="shared" si="424"/>
        <v>0.14588689777821134</v>
      </c>
      <c r="T377" s="354">
        <f t="shared" si="425"/>
        <v>0.62255513035902932</v>
      </c>
      <c r="U377" s="374">
        <f t="shared" si="426"/>
        <v>4.1342252437784168</v>
      </c>
      <c r="V377" s="354">
        <f t="shared" si="427"/>
        <v>0.10943590292566721</v>
      </c>
      <c r="W377" s="354">
        <f t="shared" si="428"/>
        <v>3.7330853076531727</v>
      </c>
      <c r="X377" s="354">
        <f t="shared" si="429"/>
        <v>0.29170403319957694</v>
      </c>
      <c r="Y377" s="374">
        <f t="shared" si="430"/>
        <v>0.60607109840761408</v>
      </c>
      <c r="Z377" s="354">
        <f t="shared" si="431"/>
        <v>0.31264785288442037</v>
      </c>
      <c r="AA377" s="354">
        <f t="shared" si="432"/>
        <v>0.29342324552319365</v>
      </c>
      <c r="AB377" s="374">
        <f t="shared" si="433"/>
        <v>3.3112063064912087</v>
      </c>
      <c r="AC377" s="354">
        <f t="shared" si="434"/>
        <v>0.93969577645006086</v>
      </c>
      <c r="AD377" s="354">
        <f t="shared" si="435"/>
        <v>2.0455089683033694</v>
      </c>
      <c r="AE377" s="354">
        <f t="shared" si="436"/>
        <v>0.32600156173777839</v>
      </c>
      <c r="AF377" s="374">
        <f t="shared" si="437"/>
        <v>2.6501213785861353</v>
      </c>
      <c r="AG377" s="354">
        <f t="shared" si="438"/>
        <v>0.17031456147691212</v>
      </c>
      <c r="AH377" s="354">
        <f t="shared" si="439"/>
        <v>0.85692102573136797</v>
      </c>
      <c r="AI377" s="354">
        <f t="shared" si="440"/>
        <v>0</v>
      </c>
      <c r="AJ377" s="354">
        <f t="shared" si="441"/>
        <v>1.6228857913778554</v>
      </c>
      <c r="AK377" s="374">
        <f t="shared" si="442"/>
        <v>1.7503867277626965</v>
      </c>
      <c r="AL377" s="354">
        <f t="shared" si="443"/>
        <v>0.50149741657760072</v>
      </c>
      <c r="AM377" s="354">
        <f t="shared" si="444"/>
        <v>1.1828129262036657</v>
      </c>
      <c r="AN377" s="354">
        <f t="shared" si="445"/>
        <v>6.6076384981430078E-2</v>
      </c>
      <c r="AO377" s="374">
        <f t="shared" si="446"/>
        <v>1.0149533089673795</v>
      </c>
      <c r="AP377" s="354">
        <f t="shared" si="447"/>
        <v>0.23273946940004872</v>
      </c>
      <c r="AQ377" s="354">
        <f t="shared" si="448"/>
        <v>0.78221383956733082</v>
      </c>
      <c r="AR377" s="374">
        <f t="shared" si="449"/>
        <v>1.8515703499017895</v>
      </c>
      <c r="AS377" s="354">
        <f t="shared" si="450"/>
        <v>0.80234828996415941</v>
      </c>
      <c r="AT377" s="354">
        <f t="shared" si="451"/>
        <v>1.0492220599376301</v>
      </c>
      <c r="AU377" s="355" t="s">
        <v>396</v>
      </c>
      <c r="AV377" s="354" t="s">
        <v>346</v>
      </c>
      <c r="AW377" s="353">
        <v>0</v>
      </c>
      <c r="AX377" s="353">
        <v>0</v>
      </c>
      <c r="AY377" s="353">
        <v>0</v>
      </c>
      <c r="AZ377" s="353">
        <v>0</v>
      </c>
      <c r="BA377" s="353">
        <v>0</v>
      </c>
      <c r="BB377" s="353">
        <v>0</v>
      </c>
    </row>
    <row r="378" spans="1:54" x14ac:dyDescent="0.25">
      <c r="A378" s="348" t="s">
        <v>871</v>
      </c>
      <c r="B378" s="349">
        <v>17</v>
      </c>
      <c r="C378" s="607">
        <v>45108</v>
      </c>
      <c r="D378" s="351">
        <v>45134</v>
      </c>
      <c r="E378" s="352"/>
      <c r="F378" s="352">
        <v>6</v>
      </c>
      <c r="G378" s="429" t="s">
        <v>311</v>
      </c>
      <c r="H378" s="353" t="s">
        <v>903</v>
      </c>
      <c r="I378" s="350" t="s">
        <v>393</v>
      </c>
      <c r="J378" s="560">
        <f t="shared" si="457"/>
        <v>45836</v>
      </c>
      <c r="K378" s="350" t="s">
        <v>394</v>
      </c>
      <c r="L378" s="354">
        <v>2803.6597999999999</v>
      </c>
      <c r="M378" s="560">
        <f t="shared" si="389"/>
        <v>16.348631171299743</v>
      </c>
      <c r="N378" s="354" t="s">
        <v>395</v>
      </c>
      <c r="O378" s="354">
        <v>0</v>
      </c>
      <c r="P378" s="374">
        <f t="shared" si="421"/>
        <v>1.0300967574045021</v>
      </c>
      <c r="Q378" s="354">
        <f t="shared" si="422"/>
        <v>9.7153838574348506E-2</v>
      </c>
      <c r="R378" s="354">
        <f t="shared" si="423"/>
        <v>0.16377311486441667</v>
      </c>
      <c r="S378" s="354">
        <f t="shared" si="424"/>
        <v>0.14588689777821134</v>
      </c>
      <c r="T378" s="354">
        <f t="shared" si="425"/>
        <v>0.62255513035902932</v>
      </c>
      <c r="U378" s="374">
        <f t="shared" si="426"/>
        <v>4.1342252437784168</v>
      </c>
      <c r="V378" s="354">
        <f t="shared" si="427"/>
        <v>0.10943590292566721</v>
      </c>
      <c r="W378" s="354">
        <f t="shared" si="428"/>
        <v>3.7330853076531727</v>
      </c>
      <c r="X378" s="354">
        <f t="shared" si="429"/>
        <v>0.29170403319957694</v>
      </c>
      <c r="Y378" s="374">
        <f t="shared" si="430"/>
        <v>0.60607109840761408</v>
      </c>
      <c r="Z378" s="354">
        <f t="shared" si="431"/>
        <v>0.31264785288442037</v>
      </c>
      <c r="AA378" s="354">
        <f t="shared" si="432"/>
        <v>0.29342324552319365</v>
      </c>
      <c r="AB378" s="374">
        <f t="shared" si="433"/>
        <v>3.3112063064912087</v>
      </c>
      <c r="AC378" s="354">
        <f t="shared" si="434"/>
        <v>0.93969577645006086</v>
      </c>
      <c r="AD378" s="354">
        <f t="shared" si="435"/>
        <v>2.0455089683033694</v>
      </c>
      <c r="AE378" s="354">
        <f t="shared" si="436"/>
        <v>0.32600156173777839</v>
      </c>
      <c r="AF378" s="374">
        <f t="shared" si="437"/>
        <v>2.6501213785861353</v>
      </c>
      <c r="AG378" s="354">
        <f t="shared" si="438"/>
        <v>0.17031456147691212</v>
      </c>
      <c r="AH378" s="354">
        <f t="shared" si="439"/>
        <v>0.85692102573136797</v>
      </c>
      <c r="AI378" s="354">
        <f t="shared" si="440"/>
        <v>0</v>
      </c>
      <c r="AJ378" s="354">
        <f t="shared" si="441"/>
        <v>1.6228857913778554</v>
      </c>
      <c r="AK378" s="374">
        <f t="shared" si="442"/>
        <v>1.7503867277626965</v>
      </c>
      <c r="AL378" s="354">
        <f t="shared" si="443"/>
        <v>0.50149741657760072</v>
      </c>
      <c r="AM378" s="354">
        <f t="shared" si="444"/>
        <v>1.1828129262036657</v>
      </c>
      <c r="AN378" s="354">
        <f t="shared" si="445"/>
        <v>6.6076384981430078E-2</v>
      </c>
      <c r="AO378" s="374">
        <f t="shared" si="446"/>
        <v>1.0149533089673795</v>
      </c>
      <c r="AP378" s="354">
        <f t="shared" si="447"/>
        <v>0.23273946940004872</v>
      </c>
      <c r="AQ378" s="354">
        <f t="shared" si="448"/>
        <v>0.78221383956733082</v>
      </c>
      <c r="AR378" s="374">
        <f t="shared" si="449"/>
        <v>1.8515703499017895</v>
      </c>
      <c r="AS378" s="354">
        <f t="shared" si="450"/>
        <v>0.80234828996415941</v>
      </c>
      <c r="AT378" s="354">
        <f t="shared" si="451"/>
        <v>1.0492220599376301</v>
      </c>
      <c r="AU378" s="355" t="s">
        <v>396</v>
      </c>
      <c r="AV378" s="354" t="s">
        <v>346</v>
      </c>
      <c r="AW378" s="353">
        <v>0</v>
      </c>
      <c r="AX378" s="353">
        <v>0</v>
      </c>
      <c r="AY378" s="353">
        <v>0</v>
      </c>
      <c r="AZ378" s="353">
        <v>0</v>
      </c>
      <c r="BA378" s="353">
        <v>0</v>
      </c>
      <c r="BB378" s="353">
        <v>0</v>
      </c>
    </row>
    <row r="379" spans="1:54" x14ac:dyDescent="0.25">
      <c r="A379" s="348" t="s">
        <v>871</v>
      </c>
      <c r="B379" s="349">
        <v>17</v>
      </c>
      <c r="C379" s="607">
        <v>45108</v>
      </c>
      <c r="D379" s="351">
        <v>45134</v>
      </c>
      <c r="E379" s="352"/>
      <c r="F379" s="352">
        <v>6</v>
      </c>
      <c r="G379" s="429" t="s">
        <v>311</v>
      </c>
      <c r="H379" s="353" t="s">
        <v>904</v>
      </c>
      <c r="I379" s="350" t="s">
        <v>393</v>
      </c>
      <c r="J379" s="560">
        <f t="shared" si="457"/>
        <v>45836</v>
      </c>
      <c r="K379" s="350" t="s">
        <v>394</v>
      </c>
      <c r="L379" s="354">
        <v>2803.6597999999999</v>
      </c>
      <c r="M379" s="560">
        <f t="shared" si="389"/>
        <v>16.348631171299743</v>
      </c>
      <c r="N379" s="354" t="s">
        <v>395</v>
      </c>
      <c r="O379" s="354">
        <v>0</v>
      </c>
      <c r="P379" s="374">
        <f t="shared" si="421"/>
        <v>1.0300967574045021</v>
      </c>
      <c r="Q379" s="354">
        <f t="shared" si="422"/>
        <v>9.7153838574348506E-2</v>
      </c>
      <c r="R379" s="354">
        <f t="shared" si="423"/>
        <v>0.16377311486441667</v>
      </c>
      <c r="S379" s="354">
        <f t="shared" si="424"/>
        <v>0.14588689777821134</v>
      </c>
      <c r="T379" s="354">
        <f t="shared" si="425"/>
        <v>0.62255513035902932</v>
      </c>
      <c r="U379" s="374">
        <f t="shared" si="426"/>
        <v>4.1342252437784168</v>
      </c>
      <c r="V379" s="354">
        <f t="shared" si="427"/>
        <v>0.10943590292566721</v>
      </c>
      <c r="W379" s="354">
        <f t="shared" si="428"/>
        <v>3.7330853076531727</v>
      </c>
      <c r="X379" s="354">
        <f t="shared" si="429"/>
        <v>0.29170403319957694</v>
      </c>
      <c r="Y379" s="374">
        <f t="shared" si="430"/>
        <v>0.60607109840761408</v>
      </c>
      <c r="Z379" s="354">
        <f t="shared" si="431"/>
        <v>0.31264785288442037</v>
      </c>
      <c r="AA379" s="354">
        <f t="shared" si="432"/>
        <v>0.29342324552319365</v>
      </c>
      <c r="AB379" s="374">
        <f t="shared" si="433"/>
        <v>3.3112063064912087</v>
      </c>
      <c r="AC379" s="354">
        <f t="shared" si="434"/>
        <v>0.93969577645006086</v>
      </c>
      <c r="AD379" s="354">
        <f t="shared" si="435"/>
        <v>2.0455089683033694</v>
      </c>
      <c r="AE379" s="354">
        <f t="shared" si="436"/>
        <v>0.32600156173777839</v>
      </c>
      <c r="AF379" s="374">
        <f t="shared" si="437"/>
        <v>2.6501213785861353</v>
      </c>
      <c r="AG379" s="354">
        <f t="shared" si="438"/>
        <v>0.17031456147691212</v>
      </c>
      <c r="AH379" s="354">
        <f t="shared" si="439"/>
        <v>0.85692102573136797</v>
      </c>
      <c r="AI379" s="354">
        <f t="shared" si="440"/>
        <v>0</v>
      </c>
      <c r="AJ379" s="354">
        <f t="shared" si="441"/>
        <v>1.6228857913778554</v>
      </c>
      <c r="AK379" s="374">
        <f t="shared" si="442"/>
        <v>1.7503867277626965</v>
      </c>
      <c r="AL379" s="354">
        <f t="shared" si="443"/>
        <v>0.50149741657760072</v>
      </c>
      <c r="AM379" s="354">
        <f t="shared" si="444"/>
        <v>1.1828129262036657</v>
      </c>
      <c r="AN379" s="354">
        <f t="shared" si="445"/>
        <v>6.6076384981430078E-2</v>
      </c>
      <c r="AO379" s="374">
        <f t="shared" si="446"/>
        <v>1.0149533089673795</v>
      </c>
      <c r="AP379" s="354">
        <f t="shared" si="447"/>
        <v>0.23273946940004872</v>
      </c>
      <c r="AQ379" s="354">
        <f t="shared" si="448"/>
        <v>0.78221383956733082</v>
      </c>
      <c r="AR379" s="374">
        <f t="shared" si="449"/>
        <v>1.8515703499017895</v>
      </c>
      <c r="AS379" s="354">
        <f t="shared" si="450"/>
        <v>0.80234828996415941</v>
      </c>
      <c r="AT379" s="354">
        <f t="shared" si="451"/>
        <v>1.0492220599376301</v>
      </c>
      <c r="AU379" s="355" t="s">
        <v>396</v>
      </c>
      <c r="AV379" s="354" t="s">
        <v>346</v>
      </c>
      <c r="AW379" s="353">
        <v>0</v>
      </c>
      <c r="AX379" s="353">
        <v>0</v>
      </c>
      <c r="AY379" s="353">
        <v>0</v>
      </c>
      <c r="AZ379" s="353">
        <v>0</v>
      </c>
      <c r="BA379" s="353">
        <v>0</v>
      </c>
      <c r="BB379" s="353">
        <v>0</v>
      </c>
    </row>
    <row r="380" spans="1:54" x14ac:dyDescent="0.25">
      <c r="A380" s="348" t="s">
        <v>871</v>
      </c>
      <c r="B380" s="349">
        <v>17</v>
      </c>
      <c r="C380" s="607">
        <v>45108</v>
      </c>
      <c r="D380" s="351">
        <v>45134</v>
      </c>
      <c r="E380" s="352"/>
      <c r="F380" s="352">
        <v>6</v>
      </c>
      <c r="G380" s="429" t="s">
        <v>310</v>
      </c>
      <c r="H380" s="353" t="s">
        <v>905</v>
      </c>
      <c r="I380" s="350" t="s">
        <v>393</v>
      </c>
      <c r="J380" s="560">
        <f t="shared" si="457"/>
        <v>45836</v>
      </c>
      <c r="K380" s="350" t="s">
        <v>394</v>
      </c>
      <c r="L380" s="354">
        <v>2803.6597999999999</v>
      </c>
      <c r="M380" s="560">
        <f t="shared" si="389"/>
        <v>16.348631171299743</v>
      </c>
      <c r="N380" s="354" t="s">
        <v>395</v>
      </c>
      <c r="O380" s="354">
        <v>0</v>
      </c>
      <c r="P380" s="374">
        <f t="shared" si="421"/>
        <v>1.0300967574045021</v>
      </c>
      <c r="Q380" s="354">
        <f t="shared" si="422"/>
        <v>9.7153838574348506E-2</v>
      </c>
      <c r="R380" s="354">
        <f t="shared" si="423"/>
        <v>0.16377311486441667</v>
      </c>
      <c r="S380" s="354">
        <f t="shared" si="424"/>
        <v>0.14588689777821134</v>
      </c>
      <c r="T380" s="354">
        <f t="shared" si="425"/>
        <v>0.62255513035902932</v>
      </c>
      <c r="U380" s="374">
        <f t="shared" si="426"/>
        <v>4.1342252437784168</v>
      </c>
      <c r="V380" s="354">
        <f t="shared" si="427"/>
        <v>0.10943590292566721</v>
      </c>
      <c r="W380" s="354">
        <f t="shared" si="428"/>
        <v>3.7330853076531727</v>
      </c>
      <c r="X380" s="354">
        <f t="shared" si="429"/>
        <v>0.29170403319957694</v>
      </c>
      <c r="Y380" s="374">
        <f t="shared" si="430"/>
        <v>0.60607109840761408</v>
      </c>
      <c r="Z380" s="354">
        <f t="shared" si="431"/>
        <v>0.31264785288442037</v>
      </c>
      <c r="AA380" s="354">
        <f t="shared" si="432"/>
        <v>0.29342324552319365</v>
      </c>
      <c r="AB380" s="374">
        <f t="shared" si="433"/>
        <v>3.3112063064912087</v>
      </c>
      <c r="AC380" s="354">
        <f t="shared" si="434"/>
        <v>0.93969577645006086</v>
      </c>
      <c r="AD380" s="354">
        <f t="shared" si="435"/>
        <v>2.0455089683033694</v>
      </c>
      <c r="AE380" s="354">
        <f t="shared" si="436"/>
        <v>0.32600156173777839</v>
      </c>
      <c r="AF380" s="374">
        <f t="shared" si="437"/>
        <v>2.6501213785861353</v>
      </c>
      <c r="AG380" s="354">
        <f t="shared" si="438"/>
        <v>0.17031456147691212</v>
      </c>
      <c r="AH380" s="354">
        <f t="shared" si="439"/>
        <v>0.85692102573136797</v>
      </c>
      <c r="AI380" s="354">
        <f t="shared" si="440"/>
        <v>0</v>
      </c>
      <c r="AJ380" s="354">
        <f t="shared" si="441"/>
        <v>1.6228857913778554</v>
      </c>
      <c r="AK380" s="374">
        <f t="shared" si="442"/>
        <v>1.7503867277626965</v>
      </c>
      <c r="AL380" s="354">
        <f t="shared" si="443"/>
        <v>0.50149741657760072</v>
      </c>
      <c r="AM380" s="354">
        <f t="shared" si="444"/>
        <v>1.1828129262036657</v>
      </c>
      <c r="AN380" s="354">
        <f t="shared" si="445"/>
        <v>6.6076384981430078E-2</v>
      </c>
      <c r="AO380" s="374">
        <f t="shared" si="446"/>
        <v>1.0149533089673795</v>
      </c>
      <c r="AP380" s="354">
        <f t="shared" si="447"/>
        <v>0.23273946940004872</v>
      </c>
      <c r="AQ380" s="354">
        <f t="shared" si="448"/>
        <v>0.78221383956733082</v>
      </c>
      <c r="AR380" s="374">
        <f t="shared" si="449"/>
        <v>1.8515703499017895</v>
      </c>
      <c r="AS380" s="354">
        <f t="shared" si="450"/>
        <v>0.80234828996415941</v>
      </c>
      <c r="AT380" s="354">
        <f t="shared" si="451"/>
        <v>1.0492220599376301</v>
      </c>
      <c r="AU380" s="355" t="s">
        <v>396</v>
      </c>
      <c r="AV380" s="354" t="s">
        <v>346</v>
      </c>
      <c r="AW380" s="353">
        <v>0</v>
      </c>
      <c r="AX380" s="353">
        <v>0</v>
      </c>
      <c r="AY380" s="353">
        <v>0</v>
      </c>
      <c r="AZ380" s="353">
        <v>0</v>
      </c>
      <c r="BA380" s="353">
        <v>0</v>
      </c>
      <c r="BB380" s="353">
        <v>0</v>
      </c>
    </row>
    <row r="381" spans="1:54" x14ac:dyDescent="0.25">
      <c r="A381" s="348" t="s">
        <v>871</v>
      </c>
      <c r="B381" s="349">
        <v>17</v>
      </c>
      <c r="C381" s="607">
        <v>45108</v>
      </c>
      <c r="D381" s="351">
        <v>45134</v>
      </c>
      <c r="E381" s="352"/>
      <c r="F381" s="352">
        <v>6</v>
      </c>
      <c r="G381" s="429" t="s">
        <v>310</v>
      </c>
      <c r="H381" s="353" t="s">
        <v>906</v>
      </c>
      <c r="I381" s="350" t="s">
        <v>393</v>
      </c>
      <c r="J381" s="560">
        <f t="shared" si="457"/>
        <v>45836</v>
      </c>
      <c r="K381" s="350" t="s">
        <v>394</v>
      </c>
      <c r="L381" s="354">
        <v>2803.6597999999999</v>
      </c>
      <c r="M381" s="560">
        <f t="shared" si="389"/>
        <v>16.348631171299743</v>
      </c>
      <c r="N381" s="354" t="s">
        <v>395</v>
      </c>
      <c r="O381" s="354">
        <v>0</v>
      </c>
      <c r="P381" s="374">
        <f t="shared" si="421"/>
        <v>1.0300967574045021</v>
      </c>
      <c r="Q381" s="354">
        <f t="shared" si="422"/>
        <v>9.7153838574348506E-2</v>
      </c>
      <c r="R381" s="354">
        <f t="shared" si="423"/>
        <v>0.16377311486441667</v>
      </c>
      <c r="S381" s="354">
        <f t="shared" si="424"/>
        <v>0.14588689777821134</v>
      </c>
      <c r="T381" s="354">
        <f t="shared" si="425"/>
        <v>0.62255513035902932</v>
      </c>
      <c r="U381" s="374">
        <f t="shared" si="426"/>
        <v>4.1342252437784168</v>
      </c>
      <c r="V381" s="354">
        <f t="shared" si="427"/>
        <v>0.10943590292566721</v>
      </c>
      <c r="W381" s="354">
        <f t="shared" si="428"/>
        <v>3.7330853076531727</v>
      </c>
      <c r="X381" s="354">
        <f t="shared" si="429"/>
        <v>0.29170403319957694</v>
      </c>
      <c r="Y381" s="374">
        <f t="shared" si="430"/>
        <v>0.60607109840761408</v>
      </c>
      <c r="Z381" s="354">
        <f t="shared" si="431"/>
        <v>0.31264785288442037</v>
      </c>
      <c r="AA381" s="354">
        <f t="shared" si="432"/>
        <v>0.29342324552319365</v>
      </c>
      <c r="AB381" s="374">
        <f t="shared" si="433"/>
        <v>3.3112063064912087</v>
      </c>
      <c r="AC381" s="354">
        <f t="shared" si="434"/>
        <v>0.93969577645006086</v>
      </c>
      <c r="AD381" s="354">
        <f t="shared" si="435"/>
        <v>2.0455089683033694</v>
      </c>
      <c r="AE381" s="354">
        <f t="shared" si="436"/>
        <v>0.32600156173777839</v>
      </c>
      <c r="AF381" s="374">
        <f t="shared" si="437"/>
        <v>2.6501213785861353</v>
      </c>
      <c r="AG381" s="354">
        <f t="shared" si="438"/>
        <v>0.17031456147691212</v>
      </c>
      <c r="AH381" s="354">
        <f t="shared" si="439"/>
        <v>0.85692102573136797</v>
      </c>
      <c r="AI381" s="354">
        <f t="shared" si="440"/>
        <v>0</v>
      </c>
      <c r="AJ381" s="354">
        <f t="shared" si="441"/>
        <v>1.6228857913778554</v>
      </c>
      <c r="AK381" s="374">
        <f t="shared" si="442"/>
        <v>1.7503867277626965</v>
      </c>
      <c r="AL381" s="354">
        <f t="shared" si="443"/>
        <v>0.50149741657760072</v>
      </c>
      <c r="AM381" s="354">
        <f t="shared" si="444"/>
        <v>1.1828129262036657</v>
      </c>
      <c r="AN381" s="354">
        <f t="shared" si="445"/>
        <v>6.6076384981430078E-2</v>
      </c>
      <c r="AO381" s="374">
        <f t="shared" si="446"/>
        <v>1.0149533089673795</v>
      </c>
      <c r="AP381" s="354">
        <f t="shared" si="447"/>
        <v>0.23273946940004872</v>
      </c>
      <c r="AQ381" s="354">
        <f t="shared" si="448"/>
        <v>0.78221383956733082</v>
      </c>
      <c r="AR381" s="374">
        <f t="shared" si="449"/>
        <v>1.8515703499017895</v>
      </c>
      <c r="AS381" s="354">
        <f t="shared" si="450"/>
        <v>0.80234828996415941</v>
      </c>
      <c r="AT381" s="354">
        <f t="shared" si="451"/>
        <v>1.0492220599376301</v>
      </c>
      <c r="AU381" s="355" t="s">
        <v>396</v>
      </c>
      <c r="AV381" s="354" t="s">
        <v>346</v>
      </c>
      <c r="AW381" s="353">
        <v>0</v>
      </c>
      <c r="AX381" s="353">
        <v>0</v>
      </c>
      <c r="AY381" s="353">
        <v>0</v>
      </c>
      <c r="AZ381" s="353">
        <v>0</v>
      </c>
      <c r="BA381" s="353">
        <v>0</v>
      </c>
      <c r="BB381" s="353">
        <v>0</v>
      </c>
    </row>
    <row r="382" spans="1:54" x14ac:dyDescent="0.25">
      <c r="A382" s="348" t="s">
        <v>907</v>
      </c>
      <c r="B382" s="349">
        <v>18</v>
      </c>
      <c r="C382" s="607">
        <v>45108</v>
      </c>
      <c r="D382" s="351">
        <v>45138</v>
      </c>
      <c r="E382" s="352"/>
      <c r="F382" s="352">
        <v>6</v>
      </c>
      <c r="G382" s="429" t="s">
        <v>306</v>
      </c>
      <c r="H382" s="353" t="s">
        <v>908</v>
      </c>
      <c r="I382" s="350" t="s">
        <v>393</v>
      </c>
      <c r="J382" s="560">
        <v>1028.5999999999999</v>
      </c>
      <c r="K382" s="350" t="s">
        <v>394</v>
      </c>
      <c r="L382" s="354">
        <v>2803.6597999999999</v>
      </c>
      <c r="M382" s="560">
        <f t="shared" si="389"/>
        <v>0.36687760761844213</v>
      </c>
      <c r="N382" s="354" t="s">
        <v>395</v>
      </c>
      <c r="O382" s="354">
        <v>0</v>
      </c>
      <c r="P382" s="374">
        <f t="shared" si="421"/>
        <v>2.3116273773153648E-2</v>
      </c>
      <c r="Q382" s="354">
        <f t="shared" si="422"/>
        <v>2.1802172606155607E-3</v>
      </c>
      <c r="R382" s="354">
        <f t="shared" si="423"/>
        <v>3.6752121901897847E-3</v>
      </c>
      <c r="S382" s="354">
        <f t="shared" si="424"/>
        <v>3.2738298074585074E-3</v>
      </c>
      <c r="T382" s="354">
        <f t="shared" si="425"/>
        <v>1.3970682587645026E-2</v>
      </c>
      <c r="U382" s="374">
        <f t="shared" si="426"/>
        <v>9.2775636742963588E-2</v>
      </c>
      <c r="V382" s="354">
        <f t="shared" si="427"/>
        <v>2.4558375458011449E-3</v>
      </c>
      <c r="W382" s="354">
        <f t="shared" si="428"/>
        <v>8.3773705110656543E-2</v>
      </c>
      <c r="X382" s="354">
        <f t="shared" si="429"/>
        <v>6.546094086505908E-3</v>
      </c>
      <c r="Y382" s="374">
        <f t="shared" si="430"/>
        <v>1.3600766467887071E-2</v>
      </c>
      <c r="Z382" s="354">
        <f t="shared" si="431"/>
        <v>7.0160917505217467E-3</v>
      </c>
      <c r="AA382" s="354">
        <f t="shared" si="432"/>
        <v>6.5846747173653238E-3</v>
      </c>
      <c r="AB382" s="374">
        <f t="shared" si="433"/>
        <v>7.4306370688036846E-2</v>
      </c>
      <c r="AC382" s="354">
        <f t="shared" si="434"/>
        <v>2.1087596554161193E-2</v>
      </c>
      <c r="AD382" s="354">
        <f t="shared" si="435"/>
        <v>4.590301345660279E-2</v>
      </c>
      <c r="AE382" s="354">
        <f t="shared" si="436"/>
        <v>7.3157606772728595E-3</v>
      </c>
      <c r="AF382" s="374">
        <f t="shared" si="437"/>
        <v>5.947104568491357E-2</v>
      </c>
      <c r="AG382" s="354">
        <f t="shared" si="438"/>
        <v>3.8220079835751767E-3</v>
      </c>
      <c r="AH382" s="354">
        <f t="shared" si="439"/>
        <v>1.9230058623511757E-2</v>
      </c>
      <c r="AI382" s="354">
        <f t="shared" si="440"/>
        <v>0</v>
      </c>
      <c r="AJ382" s="354">
        <f t="shared" si="441"/>
        <v>3.6418979077826638E-2</v>
      </c>
      <c r="AK382" s="374">
        <f t="shared" si="442"/>
        <v>3.9280211802441518E-2</v>
      </c>
      <c r="AL382" s="354">
        <f t="shared" si="443"/>
        <v>1.1254041423591064E-2</v>
      </c>
      <c r="AM382" s="354">
        <f t="shared" si="444"/>
        <v>2.6543358405905632E-2</v>
      </c>
      <c r="AN382" s="354">
        <f t="shared" si="445"/>
        <v>1.4828119729448244E-3</v>
      </c>
      <c r="AO382" s="374">
        <f t="shared" si="446"/>
        <v>2.2776441522031728E-2</v>
      </c>
      <c r="AP382" s="354">
        <f t="shared" si="447"/>
        <v>5.2228776120274469E-3</v>
      </c>
      <c r="AQ382" s="354">
        <f t="shared" si="448"/>
        <v>1.7553563910004281E-2</v>
      </c>
      <c r="AR382" s="374">
        <f t="shared" si="449"/>
        <v>4.1550860937014149E-2</v>
      </c>
      <c r="AS382" s="354">
        <f t="shared" si="450"/>
        <v>1.8005398618054246E-2</v>
      </c>
      <c r="AT382" s="354">
        <f t="shared" si="451"/>
        <v>2.3545462318959907E-2</v>
      </c>
      <c r="AU382" s="355" t="s">
        <v>396</v>
      </c>
      <c r="AV382" s="354" t="s">
        <v>346</v>
      </c>
      <c r="AW382" s="353">
        <v>0</v>
      </c>
      <c r="AX382" s="353">
        <v>0</v>
      </c>
      <c r="AY382" s="353">
        <v>0</v>
      </c>
      <c r="AZ382" s="353">
        <v>0</v>
      </c>
      <c r="BA382" s="353">
        <v>0</v>
      </c>
      <c r="BB382" s="353">
        <v>0</v>
      </c>
    </row>
    <row r="383" spans="1:54" x14ac:dyDescent="0.25">
      <c r="A383" s="348" t="s">
        <v>907</v>
      </c>
      <c r="B383" s="349">
        <v>18</v>
      </c>
      <c r="C383" s="607">
        <v>45108</v>
      </c>
      <c r="D383" s="351">
        <v>45138</v>
      </c>
      <c r="E383" s="352"/>
      <c r="F383" s="352">
        <v>6</v>
      </c>
      <c r="G383" s="429" t="s">
        <v>306</v>
      </c>
      <c r="H383" s="353" t="s">
        <v>909</v>
      </c>
      <c r="I383" s="350" t="s">
        <v>393</v>
      </c>
      <c r="J383" s="560">
        <v>1028.5999999999999</v>
      </c>
      <c r="K383" s="350" t="s">
        <v>394</v>
      </c>
      <c r="L383" s="354">
        <v>2803.6597999999999</v>
      </c>
      <c r="M383" s="560">
        <f t="shared" si="389"/>
        <v>0.36687760761844213</v>
      </c>
      <c r="N383" s="354" t="s">
        <v>395</v>
      </c>
      <c r="O383" s="354">
        <v>0</v>
      </c>
      <c r="P383" s="374">
        <f t="shared" si="421"/>
        <v>2.3116273773153648E-2</v>
      </c>
      <c r="Q383" s="354">
        <f t="shared" si="422"/>
        <v>2.1802172606155607E-3</v>
      </c>
      <c r="R383" s="354">
        <f t="shared" si="423"/>
        <v>3.6752121901897847E-3</v>
      </c>
      <c r="S383" s="354">
        <f t="shared" si="424"/>
        <v>3.2738298074585074E-3</v>
      </c>
      <c r="T383" s="354">
        <f t="shared" si="425"/>
        <v>1.3970682587645026E-2</v>
      </c>
      <c r="U383" s="374">
        <f t="shared" si="426"/>
        <v>9.2775636742963588E-2</v>
      </c>
      <c r="V383" s="354">
        <f t="shared" si="427"/>
        <v>2.4558375458011449E-3</v>
      </c>
      <c r="W383" s="354">
        <f t="shared" si="428"/>
        <v>8.3773705110656543E-2</v>
      </c>
      <c r="X383" s="354">
        <f t="shared" si="429"/>
        <v>6.546094086505908E-3</v>
      </c>
      <c r="Y383" s="374">
        <f t="shared" si="430"/>
        <v>1.3600766467887071E-2</v>
      </c>
      <c r="Z383" s="354">
        <f t="shared" si="431"/>
        <v>7.0160917505217467E-3</v>
      </c>
      <c r="AA383" s="354">
        <f t="shared" si="432"/>
        <v>6.5846747173653238E-3</v>
      </c>
      <c r="AB383" s="374">
        <f t="shared" si="433"/>
        <v>7.4306370688036846E-2</v>
      </c>
      <c r="AC383" s="354">
        <f t="shared" si="434"/>
        <v>2.1087596554161193E-2</v>
      </c>
      <c r="AD383" s="354">
        <f t="shared" si="435"/>
        <v>4.590301345660279E-2</v>
      </c>
      <c r="AE383" s="354">
        <f t="shared" si="436"/>
        <v>7.3157606772728595E-3</v>
      </c>
      <c r="AF383" s="374">
        <f t="shared" si="437"/>
        <v>5.947104568491357E-2</v>
      </c>
      <c r="AG383" s="354">
        <f t="shared" si="438"/>
        <v>3.8220079835751767E-3</v>
      </c>
      <c r="AH383" s="354">
        <f t="shared" si="439"/>
        <v>1.9230058623511757E-2</v>
      </c>
      <c r="AI383" s="354">
        <f t="shared" si="440"/>
        <v>0</v>
      </c>
      <c r="AJ383" s="354">
        <f t="shared" si="441"/>
        <v>3.6418979077826638E-2</v>
      </c>
      <c r="AK383" s="374">
        <f t="shared" si="442"/>
        <v>3.9280211802441518E-2</v>
      </c>
      <c r="AL383" s="354">
        <f t="shared" si="443"/>
        <v>1.1254041423591064E-2</v>
      </c>
      <c r="AM383" s="354">
        <f t="shared" si="444"/>
        <v>2.6543358405905632E-2</v>
      </c>
      <c r="AN383" s="354">
        <f t="shared" si="445"/>
        <v>1.4828119729448244E-3</v>
      </c>
      <c r="AO383" s="374">
        <f t="shared" si="446"/>
        <v>2.2776441522031728E-2</v>
      </c>
      <c r="AP383" s="354">
        <f t="shared" si="447"/>
        <v>5.2228776120274469E-3</v>
      </c>
      <c r="AQ383" s="354">
        <f t="shared" si="448"/>
        <v>1.7553563910004281E-2</v>
      </c>
      <c r="AR383" s="374">
        <f t="shared" si="449"/>
        <v>4.1550860937014149E-2</v>
      </c>
      <c r="AS383" s="354">
        <f t="shared" si="450"/>
        <v>1.8005398618054246E-2</v>
      </c>
      <c r="AT383" s="354">
        <f t="shared" si="451"/>
        <v>2.3545462318959907E-2</v>
      </c>
      <c r="AU383" s="355" t="s">
        <v>396</v>
      </c>
      <c r="AV383" s="354" t="s">
        <v>346</v>
      </c>
      <c r="AW383" s="353">
        <v>0</v>
      </c>
      <c r="AX383" s="353">
        <v>0</v>
      </c>
      <c r="AY383" s="353">
        <v>0</v>
      </c>
      <c r="AZ383" s="353">
        <v>0</v>
      </c>
      <c r="BA383" s="353">
        <v>0</v>
      </c>
      <c r="BB383" s="353">
        <v>0</v>
      </c>
    </row>
    <row r="384" spans="1:54" x14ac:dyDescent="0.25">
      <c r="A384" s="348" t="s">
        <v>907</v>
      </c>
      <c r="B384" s="349">
        <v>18</v>
      </c>
      <c r="C384" s="607">
        <v>45108</v>
      </c>
      <c r="D384" s="351">
        <v>45138</v>
      </c>
      <c r="E384" s="352"/>
      <c r="F384" s="352">
        <v>6</v>
      </c>
      <c r="G384" s="429" t="s">
        <v>306</v>
      </c>
      <c r="H384" s="353" t="s">
        <v>910</v>
      </c>
      <c r="I384" s="350" t="s">
        <v>393</v>
      </c>
      <c r="J384" s="560">
        <v>1028.5999999999999</v>
      </c>
      <c r="K384" s="350" t="s">
        <v>394</v>
      </c>
      <c r="L384" s="354">
        <v>2803.6597999999999</v>
      </c>
      <c r="M384" s="560">
        <f t="shared" si="389"/>
        <v>0.36687760761844213</v>
      </c>
      <c r="N384" s="354" t="s">
        <v>395</v>
      </c>
      <c r="O384" s="354">
        <v>0</v>
      </c>
      <c r="P384" s="374">
        <f t="shared" si="421"/>
        <v>2.3116273773153648E-2</v>
      </c>
      <c r="Q384" s="354">
        <f t="shared" si="422"/>
        <v>2.1802172606155607E-3</v>
      </c>
      <c r="R384" s="354">
        <f t="shared" si="423"/>
        <v>3.6752121901897847E-3</v>
      </c>
      <c r="S384" s="354">
        <f t="shared" si="424"/>
        <v>3.2738298074585074E-3</v>
      </c>
      <c r="T384" s="354">
        <f t="shared" si="425"/>
        <v>1.3970682587645026E-2</v>
      </c>
      <c r="U384" s="374">
        <f t="shared" si="426"/>
        <v>9.2775636742963588E-2</v>
      </c>
      <c r="V384" s="354">
        <f t="shared" si="427"/>
        <v>2.4558375458011449E-3</v>
      </c>
      <c r="W384" s="354">
        <f t="shared" si="428"/>
        <v>8.3773705110656543E-2</v>
      </c>
      <c r="X384" s="354">
        <f t="shared" si="429"/>
        <v>6.546094086505908E-3</v>
      </c>
      <c r="Y384" s="374">
        <f t="shared" si="430"/>
        <v>1.3600766467887071E-2</v>
      </c>
      <c r="Z384" s="354">
        <f t="shared" si="431"/>
        <v>7.0160917505217467E-3</v>
      </c>
      <c r="AA384" s="354">
        <f t="shared" si="432"/>
        <v>6.5846747173653238E-3</v>
      </c>
      <c r="AB384" s="374">
        <f t="shared" si="433"/>
        <v>7.4306370688036846E-2</v>
      </c>
      <c r="AC384" s="354">
        <f t="shared" si="434"/>
        <v>2.1087596554161193E-2</v>
      </c>
      <c r="AD384" s="354">
        <f t="shared" si="435"/>
        <v>4.590301345660279E-2</v>
      </c>
      <c r="AE384" s="354">
        <f t="shared" si="436"/>
        <v>7.3157606772728595E-3</v>
      </c>
      <c r="AF384" s="374">
        <f t="shared" si="437"/>
        <v>5.947104568491357E-2</v>
      </c>
      <c r="AG384" s="354">
        <f t="shared" si="438"/>
        <v>3.8220079835751767E-3</v>
      </c>
      <c r="AH384" s="354">
        <f t="shared" si="439"/>
        <v>1.9230058623511757E-2</v>
      </c>
      <c r="AI384" s="354">
        <f t="shared" si="440"/>
        <v>0</v>
      </c>
      <c r="AJ384" s="354">
        <f t="shared" si="441"/>
        <v>3.6418979077826638E-2</v>
      </c>
      <c r="AK384" s="374">
        <f t="shared" si="442"/>
        <v>3.9280211802441518E-2</v>
      </c>
      <c r="AL384" s="354">
        <f t="shared" si="443"/>
        <v>1.1254041423591064E-2</v>
      </c>
      <c r="AM384" s="354">
        <f t="shared" si="444"/>
        <v>2.6543358405905632E-2</v>
      </c>
      <c r="AN384" s="354">
        <f t="shared" si="445"/>
        <v>1.4828119729448244E-3</v>
      </c>
      <c r="AO384" s="374">
        <f t="shared" si="446"/>
        <v>2.2776441522031728E-2</v>
      </c>
      <c r="AP384" s="354">
        <f t="shared" si="447"/>
        <v>5.2228776120274469E-3</v>
      </c>
      <c r="AQ384" s="354">
        <f t="shared" si="448"/>
        <v>1.7553563910004281E-2</v>
      </c>
      <c r="AR384" s="374">
        <f t="shared" si="449"/>
        <v>4.1550860937014149E-2</v>
      </c>
      <c r="AS384" s="354">
        <f t="shared" si="450"/>
        <v>1.8005398618054246E-2</v>
      </c>
      <c r="AT384" s="354">
        <f t="shared" si="451"/>
        <v>2.3545462318959907E-2</v>
      </c>
      <c r="AU384" s="355" t="s">
        <v>396</v>
      </c>
      <c r="AV384" s="354" t="s">
        <v>346</v>
      </c>
      <c r="AW384" s="353">
        <v>0</v>
      </c>
      <c r="AX384" s="353">
        <v>0</v>
      </c>
      <c r="AY384" s="353">
        <v>0</v>
      </c>
      <c r="AZ384" s="353">
        <v>0</v>
      </c>
      <c r="BA384" s="353">
        <v>0</v>
      </c>
      <c r="BB384" s="353">
        <v>0</v>
      </c>
    </row>
    <row r="385" spans="1:54" x14ac:dyDescent="0.25">
      <c r="A385" s="348" t="s">
        <v>907</v>
      </c>
      <c r="B385" s="349">
        <v>18</v>
      </c>
      <c r="C385" s="607">
        <v>45108</v>
      </c>
      <c r="D385" s="351">
        <v>45138</v>
      </c>
      <c r="E385" s="352"/>
      <c r="F385" s="352">
        <v>6</v>
      </c>
      <c r="G385" s="429" t="s">
        <v>306</v>
      </c>
      <c r="H385" s="353" t="s">
        <v>911</v>
      </c>
      <c r="I385" s="350" t="s">
        <v>393</v>
      </c>
      <c r="J385" s="560">
        <v>1028.5999999999999</v>
      </c>
      <c r="K385" s="350" t="s">
        <v>394</v>
      </c>
      <c r="L385" s="354">
        <v>2803.6597999999999</v>
      </c>
      <c r="M385" s="560">
        <f t="shared" si="389"/>
        <v>0.36687760761844213</v>
      </c>
      <c r="N385" s="354" t="s">
        <v>395</v>
      </c>
      <c r="O385" s="354">
        <v>0</v>
      </c>
      <c r="P385" s="374">
        <f t="shared" si="421"/>
        <v>2.3116273773153648E-2</v>
      </c>
      <c r="Q385" s="354">
        <f t="shared" si="422"/>
        <v>2.1802172606155607E-3</v>
      </c>
      <c r="R385" s="354">
        <f t="shared" si="423"/>
        <v>3.6752121901897847E-3</v>
      </c>
      <c r="S385" s="354">
        <f t="shared" si="424"/>
        <v>3.2738298074585074E-3</v>
      </c>
      <c r="T385" s="354">
        <f t="shared" si="425"/>
        <v>1.3970682587645026E-2</v>
      </c>
      <c r="U385" s="374">
        <f t="shared" si="426"/>
        <v>9.2775636742963588E-2</v>
      </c>
      <c r="V385" s="354">
        <f t="shared" si="427"/>
        <v>2.4558375458011449E-3</v>
      </c>
      <c r="W385" s="354">
        <f t="shared" si="428"/>
        <v>8.3773705110656543E-2</v>
      </c>
      <c r="X385" s="354">
        <f t="shared" si="429"/>
        <v>6.546094086505908E-3</v>
      </c>
      <c r="Y385" s="374">
        <f t="shared" si="430"/>
        <v>1.3600766467887071E-2</v>
      </c>
      <c r="Z385" s="354">
        <f t="shared" si="431"/>
        <v>7.0160917505217467E-3</v>
      </c>
      <c r="AA385" s="354">
        <f t="shared" si="432"/>
        <v>6.5846747173653238E-3</v>
      </c>
      <c r="AB385" s="374">
        <f t="shared" si="433"/>
        <v>7.4306370688036846E-2</v>
      </c>
      <c r="AC385" s="354">
        <f t="shared" si="434"/>
        <v>2.1087596554161193E-2</v>
      </c>
      <c r="AD385" s="354">
        <f t="shared" si="435"/>
        <v>4.590301345660279E-2</v>
      </c>
      <c r="AE385" s="354">
        <f t="shared" si="436"/>
        <v>7.3157606772728595E-3</v>
      </c>
      <c r="AF385" s="374">
        <f t="shared" si="437"/>
        <v>5.947104568491357E-2</v>
      </c>
      <c r="AG385" s="354">
        <f t="shared" si="438"/>
        <v>3.8220079835751767E-3</v>
      </c>
      <c r="AH385" s="354">
        <f t="shared" si="439"/>
        <v>1.9230058623511757E-2</v>
      </c>
      <c r="AI385" s="354">
        <f t="shared" si="440"/>
        <v>0</v>
      </c>
      <c r="AJ385" s="354">
        <f t="shared" si="441"/>
        <v>3.6418979077826638E-2</v>
      </c>
      <c r="AK385" s="374">
        <f t="shared" si="442"/>
        <v>3.9280211802441518E-2</v>
      </c>
      <c r="AL385" s="354">
        <f t="shared" si="443"/>
        <v>1.1254041423591064E-2</v>
      </c>
      <c r="AM385" s="354">
        <f t="shared" si="444"/>
        <v>2.6543358405905632E-2</v>
      </c>
      <c r="AN385" s="354">
        <f t="shared" si="445"/>
        <v>1.4828119729448244E-3</v>
      </c>
      <c r="AO385" s="374">
        <f t="shared" si="446"/>
        <v>2.2776441522031728E-2</v>
      </c>
      <c r="AP385" s="354">
        <f t="shared" si="447"/>
        <v>5.2228776120274469E-3</v>
      </c>
      <c r="AQ385" s="354">
        <f t="shared" si="448"/>
        <v>1.7553563910004281E-2</v>
      </c>
      <c r="AR385" s="374">
        <f t="shared" si="449"/>
        <v>4.1550860937014149E-2</v>
      </c>
      <c r="AS385" s="354">
        <f t="shared" si="450"/>
        <v>1.8005398618054246E-2</v>
      </c>
      <c r="AT385" s="354">
        <f t="shared" si="451"/>
        <v>2.3545462318959907E-2</v>
      </c>
      <c r="AU385" s="355" t="s">
        <v>396</v>
      </c>
      <c r="AV385" s="354" t="s">
        <v>346</v>
      </c>
      <c r="AW385" s="353">
        <v>0</v>
      </c>
      <c r="AX385" s="353">
        <v>0</v>
      </c>
      <c r="AY385" s="353">
        <v>0</v>
      </c>
      <c r="AZ385" s="353">
        <v>0</v>
      </c>
      <c r="BA385" s="353">
        <v>0</v>
      </c>
      <c r="BB385" s="353">
        <v>0</v>
      </c>
    </row>
    <row r="386" spans="1:54" x14ac:dyDescent="0.25">
      <c r="A386" s="348" t="s">
        <v>907</v>
      </c>
      <c r="B386" s="349">
        <v>18</v>
      </c>
      <c r="C386" s="607">
        <v>45108</v>
      </c>
      <c r="D386" s="351">
        <v>45138</v>
      </c>
      <c r="E386" s="352"/>
      <c r="F386" s="352">
        <v>6</v>
      </c>
      <c r="G386" s="429" t="s">
        <v>306</v>
      </c>
      <c r="H386" s="353" t="s">
        <v>912</v>
      </c>
      <c r="I386" s="350" t="s">
        <v>393</v>
      </c>
      <c r="J386" s="560">
        <v>1028.5999999999999</v>
      </c>
      <c r="K386" s="350" t="s">
        <v>394</v>
      </c>
      <c r="L386" s="354">
        <v>2803.6597999999999</v>
      </c>
      <c r="M386" s="560">
        <f t="shared" si="389"/>
        <v>0.36687760761844213</v>
      </c>
      <c r="N386" s="354" t="s">
        <v>395</v>
      </c>
      <c r="O386" s="354">
        <v>0</v>
      </c>
      <c r="P386" s="374">
        <f t="shared" si="421"/>
        <v>2.3116273773153648E-2</v>
      </c>
      <c r="Q386" s="354">
        <f t="shared" si="422"/>
        <v>2.1802172606155607E-3</v>
      </c>
      <c r="R386" s="354">
        <f t="shared" si="423"/>
        <v>3.6752121901897847E-3</v>
      </c>
      <c r="S386" s="354">
        <f t="shared" si="424"/>
        <v>3.2738298074585074E-3</v>
      </c>
      <c r="T386" s="354">
        <f t="shared" si="425"/>
        <v>1.3970682587645026E-2</v>
      </c>
      <c r="U386" s="374">
        <f t="shared" si="426"/>
        <v>9.2775636742963588E-2</v>
      </c>
      <c r="V386" s="354">
        <f t="shared" si="427"/>
        <v>2.4558375458011449E-3</v>
      </c>
      <c r="W386" s="354">
        <f t="shared" si="428"/>
        <v>8.3773705110656543E-2</v>
      </c>
      <c r="X386" s="354">
        <f t="shared" si="429"/>
        <v>6.546094086505908E-3</v>
      </c>
      <c r="Y386" s="374">
        <f t="shared" si="430"/>
        <v>1.3600766467887071E-2</v>
      </c>
      <c r="Z386" s="354">
        <f t="shared" si="431"/>
        <v>7.0160917505217467E-3</v>
      </c>
      <c r="AA386" s="354">
        <f t="shared" si="432"/>
        <v>6.5846747173653238E-3</v>
      </c>
      <c r="AB386" s="374">
        <f t="shared" si="433"/>
        <v>7.4306370688036846E-2</v>
      </c>
      <c r="AC386" s="354">
        <f t="shared" si="434"/>
        <v>2.1087596554161193E-2</v>
      </c>
      <c r="AD386" s="354">
        <f t="shared" si="435"/>
        <v>4.590301345660279E-2</v>
      </c>
      <c r="AE386" s="354">
        <f t="shared" si="436"/>
        <v>7.3157606772728595E-3</v>
      </c>
      <c r="AF386" s="374">
        <f t="shared" si="437"/>
        <v>5.947104568491357E-2</v>
      </c>
      <c r="AG386" s="354">
        <f t="shared" si="438"/>
        <v>3.8220079835751767E-3</v>
      </c>
      <c r="AH386" s="354">
        <f t="shared" si="439"/>
        <v>1.9230058623511757E-2</v>
      </c>
      <c r="AI386" s="354">
        <f t="shared" si="440"/>
        <v>0</v>
      </c>
      <c r="AJ386" s="354">
        <f t="shared" si="441"/>
        <v>3.6418979077826638E-2</v>
      </c>
      <c r="AK386" s="374">
        <f t="shared" si="442"/>
        <v>3.9280211802441518E-2</v>
      </c>
      <c r="AL386" s="354">
        <f t="shared" si="443"/>
        <v>1.1254041423591064E-2</v>
      </c>
      <c r="AM386" s="354">
        <f t="shared" si="444"/>
        <v>2.6543358405905632E-2</v>
      </c>
      <c r="AN386" s="354">
        <f t="shared" si="445"/>
        <v>1.4828119729448244E-3</v>
      </c>
      <c r="AO386" s="374">
        <f t="shared" si="446"/>
        <v>2.2776441522031728E-2</v>
      </c>
      <c r="AP386" s="354">
        <f t="shared" si="447"/>
        <v>5.2228776120274469E-3</v>
      </c>
      <c r="AQ386" s="354">
        <f t="shared" si="448"/>
        <v>1.7553563910004281E-2</v>
      </c>
      <c r="AR386" s="374">
        <f t="shared" si="449"/>
        <v>4.1550860937014149E-2</v>
      </c>
      <c r="AS386" s="354">
        <f t="shared" si="450"/>
        <v>1.8005398618054246E-2</v>
      </c>
      <c r="AT386" s="354">
        <f t="shared" si="451"/>
        <v>2.3545462318959907E-2</v>
      </c>
      <c r="AU386" s="355" t="s">
        <v>396</v>
      </c>
      <c r="AV386" s="354" t="s">
        <v>346</v>
      </c>
      <c r="AW386" s="353">
        <v>0</v>
      </c>
      <c r="AX386" s="353">
        <v>0</v>
      </c>
      <c r="AY386" s="353">
        <v>0</v>
      </c>
      <c r="AZ386" s="353">
        <v>0</v>
      </c>
      <c r="BA386" s="353">
        <v>0</v>
      </c>
      <c r="BB386" s="353">
        <v>0</v>
      </c>
    </row>
    <row r="387" spans="1:54" x14ac:dyDescent="0.25">
      <c r="A387" s="348" t="s">
        <v>907</v>
      </c>
      <c r="B387" s="349">
        <v>18</v>
      </c>
      <c r="C387" s="607">
        <v>45108</v>
      </c>
      <c r="D387" s="351">
        <v>45138</v>
      </c>
      <c r="E387" s="352"/>
      <c r="F387" s="352">
        <v>6</v>
      </c>
      <c r="G387" s="429" t="s">
        <v>308</v>
      </c>
      <c r="H387" s="353" t="s">
        <v>913</v>
      </c>
      <c r="I387" s="350" t="s">
        <v>393</v>
      </c>
      <c r="J387" s="560">
        <v>685.8</v>
      </c>
      <c r="K387" s="350" t="s">
        <v>394</v>
      </c>
      <c r="L387" s="354">
        <v>2803.6597999999999</v>
      </c>
      <c r="M387" s="560">
        <f t="shared" si="389"/>
        <v>0.24460885018931325</v>
      </c>
      <c r="N387" s="354" t="s">
        <v>395</v>
      </c>
      <c r="O387" s="354">
        <v>0</v>
      </c>
      <c r="P387" s="374">
        <f t="shared" si="421"/>
        <v>1.5412347417488597E-2</v>
      </c>
      <c r="Q387" s="354">
        <f t="shared" si="422"/>
        <v>1.4536194801965307E-3</v>
      </c>
      <c r="R387" s="354">
        <f t="shared" si="423"/>
        <v>2.4503796617073247E-3</v>
      </c>
      <c r="S387" s="354">
        <f t="shared" si="424"/>
        <v>2.1827653917509664E-3</v>
      </c>
      <c r="T387" s="354">
        <f t="shared" si="425"/>
        <v>9.3146938738158259E-3</v>
      </c>
      <c r="U387" s="374">
        <f t="shared" si="426"/>
        <v>6.1856437563994192E-2</v>
      </c>
      <c r="V387" s="354">
        <f t="shared" si="427"/>
        <v>1.6373842007684474E-3</v>
      </c>
      <c r="W387" s="354">
        <f t="shared" si="428"/>
        <v>5.5854566366797836E-2</v>
      </c>
      <c r="X387" s="354">
        <f t="shared" si="429"/>
        <v>4.3644869964279132E-3</v>
      </c>
      <c r="Y387" s="374">
        <f t="shared" si="430"/>
        <v>9.0680591519317066E-3</v>
      </c>
      <c r="Z387" s="354">
        <f t="shared" si="431"/>
        <v>4.6778492344038631E-3</v>
      </c>
      <c r="AA387" s="354">
        <f t="shared" si="432"/>
        <v>4.3902099175278427E-3</v>
      </c>
      <c r="AB387" s="374">
        <f t="shared" si="433"/>
        <v>4.9542396478568604E-2</v>
      </c>
      <c r="AC387" s="354">
        <f t="shared" si="434"/>
        <v>1.4059764453474378E-2</v>
      </c>
      <c r="AD387" s="354">
        <f t="shared" si="435"/>
        <v>3.0604984083743139E-2</v>
      </c>
      <c r="AE387" s="354">
        <f t="shared" si="436"/>
        <v>4.8776479413510853E-3</v>
      </c>
      <c r="AF387" s="374">
        <f t="shared" si="437"/>
        <v>3.9651218287685912E-2</v>
      </c>
      <c r="AG387" s="354">
        <f t="shared" si="438"/>
        <v>2.5482530382421316E-3</v>
      </c>
      <c r="AH387" s="354">
        <f t="shared" si="439"/>
        <v>1.2821285440408677E-2</v>
      </c>
      <c r="AI387" s="354">
        <f t="shared" si="440"/>
        <v>0</v>
      </c>
      <c r="AJ387" s="354">
        <f t="shared" si="441"/>
        <v>2.4281679809035107E-2</v>
      </c>
      <c r="AK387" s="374">
        <f t="shared" si="442"/>
        <v>2.6189353737229627E-2</v>
      </c>
      <c r="AL387" s="354">
        <f t="shared" si="443"/>
        <v>7.5034236907434888E-3</v>
      </c>
      <c r="AM387" s="354">
        <f t="shared" si="444"/>
        <v>1.7697292625675754E-2</v>
      </c>
      <c r="AN387" s="354">
        <f t="shared" si="445"/>
        <v>9.8863742081038361E-4</v>
      </c>
      <c r="AO387" s="374">
        <f t="shared" si="446"/>
        <v>1.5185770557854715E-2</v>
      </c>
      <c r="AP387" s="354">
        <f t="shared" si="447"/>
        <v>3.4822569184604544E-3</v>
      </c>
      <c r="AQ387" s="354">
        <f t="shared" si="448"/>
        <v>1.1703513639394262E-2</v>
      </c>
      <c r="AR387" s="374">
        <f t="shared" si="449"/>
        <v>2.770326699455989E-2</v>
      </c>
      <c r="AS387" s="354">
        <f t="shared" si="450"/>
        <v>1.2004766062863699E-2</v>
      </c>
      <c r="AT387" s="354">
        <f t="shared" si="451"/>
        <v>1.5698500931696193E-2</v>
      </c>
      <c r="AU387" s="355" t="s">
        <v>396</v>
      </c>
      <c r="AV387" s="354" t="s">
        <v>346</v>
      </c>
      <c r="AW387" s="353">
        <v>0</v>
      </c>
      <c r="AX387" s="353">
        <v>0</v>
      </c>
      <c r="AY387" s="353">
        <v>0</v>
      </c>
      <c r="AZ387" s="353">
        <v>0</v>
      </c>
      <c r="BA387" s="353">
        <v>0</v>
      </c>
      <c r="BB387" s="353">
        <v>0</v>
      </c>
    </row>
    <row r="388" spans="1:54" x14ac:dyDescent="0.25">
      <c r="A388" s="348" t="s">
        <v>907</v>
      </c>
      <c r="B388" s="349">
        <v>18</v>
      </c>
      <c r="C388" s="607">
        <v>45108</v>
      </c>
      <c r="D388" s="351">
        <v>45138</v>
      </c>
      <c r="E388" s="352"/>
      <c r="F388" s="352">
        <v>6</v>
      </c>
      <c r="G388" s="429" t="s">
        <v>308</v>
      </c>
      <c r="H388" s="353" t="s">
        <v>914</v>
      </c>
      <c r="I388" s="350" t="s">
        <v>393</v>
      </c>
      <c r="J388" s="560">
        <v>685.8</v>
      </c>
      <c r="K388" s="350" t="s">
        <v>394</v>
      </c>
      <c r="L388" s="354">
        <v>2803.6597999999999</v>
      </c>
      <c r="M388" s="560">
        <f t="shared" si="389"/>
        <v>0.24460885018931325</v>
      </c>
      <c r="N388" s="354" t="s">
        <v>395</v>
      </c>
      <c r="O388" s="354">
        <v>0</v>
      </c>
      <c r="P388" s="374">
        <f t="shared" si="421"/>
        <v>1.5412347417488597E-2</v>
      </c>
      <c r="Q388" s="354">
        <f t="shared" si="422"/>
        <v>1.4536194801965307E-3</v>
      </c>
      <c r="R388" s="354">
        <f t="shared" si="423"/>
        <v>2.4503796617073247E-3</v>
      </c>
      <c r="S388" s="354">
        <f t="shared" si="424"/>
        <v>2.1827653917509664E-3</v>
      </c>
      <c r="T388" s="354">
        <f t="shared" si="425"/>
        <v>9.3146938738158259E-3</v>
      </c>
      <c r="U388" s="374">
        <f t="shared" si="426"/>
        <v>6.1856437563994192E-2</v>
      </c>
      <c r="V388" s="354">
        <f t="shared" si="427"/>
        <v>1.6373842007684474E-3</v>
      </c>
      <c r="W388" s="354">
        <f t="shared" si="428"/>
        <v>5.5854566366797836E-2</v>
      </c>
      <c r="X388" s="354">
        <f t="shared" si="429"/>
        <v>4.3644869964279132E-3</v>
      </c>
      <c r="Y388" s="374">
        <f t="shared" si="430"/>
        <v>9.0680591519317066E-3</v>
      </c>
      <c r="Z388" s="354">
        <f t="shared" si="431"/>
        <v>4.6778492344038631E-3</v>
      </c>
      <c r="AA388" s="354">
        <f t="shared" si="432"/>
        <v>4.3902099175278427E-3</v>
      </c>
      <c r="AB388" s="374">
        <f t="shared" si="433"/>
        <v>4.9542396478568604E-2</v>
      </c>
      <c r="AC388" s="354">
        <f t="shared" si="434"/>
        <v>1.4059764453474378E-2</v>
      </c>
      <c r="AD388" s="354">
        <f t="shared" si="435"/>
        <v>3.0604984083743139E-2</v>
      </c>
      <c r="AE388" s="354">
        <f t="shared" si="436"/>
        <v>4.8776479413510853E-3</v>
      </c>
      <c r="AF388" s="374">
        <f t="shared" si="437"/>
        <v>3.9651218287685912E-2</v>
      </c>
      <c r="AG388" s="354">
        <f t="shared" si="438"/>
        <v>2.5482530382421316E-3</v>
      </c>
      <c r="AH388" s="354">
        <f t="shared" si="439"/>
        <v>1.2821285440408677E-2</v>
      </c>
      <c r="AI388" s="354">
        <f t="shared" si="440"/>
        <v>0</v>
      </c>
      <c r="AJ388" s="354">
        <f t="shared" si="441"/>
        <v>2.4281679809035107E-2</v>
      </c>
      <c r="AK388" s="374">
        <f t="shared" si="442"/>
        <v>2.6189353737229627E-2</v>
      </c>
      <c r="AL388" s="354">
        <f t="shared" si="443"/>
        <v>7.5034236907434888E-3</v>
      </c>
      <c r="AM388" s="354">
        <f t="shared" si="444"/>
        <v>1.7697292625675754E-2</v>
      </c>
      <c r="AN388" s="354">
        <f t="shared" si="445"/>
        <v>9.8863742081038361E-4</v>
      </c>
      <c r="AO388" s="374">
        <f t="shared" si="446"/>
        <v>1.5185770557854715E-2</v>
      </c>
      <c r="AP388" s="354">
        <f t="shared" si="447"/>
        <v>3.4822569184604544E-3</v>
      </c>
      <c r="AQ388" s="354">
        <f t="shared" si="448"/>
        <v>1.1703513639394262E-2</v>
      </c>
      <c r="AR388" s="374">
        <f t="shared" si="449"/>
        <v>2.770326699455989E-2</v>
      </c>
      <c r="AS388" s="354">
        <f t="shared" si="450"/>
        <v>1.2004766062863699E-2</v>
      </c>
      <c r="AT388" s="354">
        <f t="shared" si="451"/>
        <v>1.5698500931696193E-2</v>
      </c>
      <c r="AU388" s="355" t="s">
        <v>396</v>
      </c>
      <c r="AV388" s="354" t="s">
        <v>346</v>
      </c>
      <c r="AW388" s="353">
        <v>0</v>
      </c>
      <c r="AX388" s="353">
        <v>0</v>
      </c>
      <c r="AY388" s="353">
        <v>0</v>
      </c>
      <c r="AZ388" s="353">
        <v>0</v>
      </c>
      <c r="BA388" s="353">
        <v>0</v>
      </c>
      <c r="BB388" s="353">
        <v>0</v>
      </c>
    </row>
    <row r="389" spans="1:54" x14ac:dyDescent="0.25">
      <c r="A389" s="348" t="s">
        <v>907</v>
      </c>
      <c r="B389" s="349">
        <v>18</v>
      </c>
      <c r="C389" s="607">
        <v>45108</v>
      </c>
      <c r="D389" s="351">
        <v>45138</v>
      </c>
      <c r="E389" s="352"/>
      <c r="F389" s="352">
        <v>6</v>
      </c>
      <c r="G389" s="429" t="s">
        <v>308</v>
      </c>
      <c r="H389" s="353" t="s">
        <v>915</v>
      </c>
      <c r="I389" s="350" t="s">
        <v>393</v>
      </c>
      <c r="J389" s="560">
        <v>685.8</v>
      </c>
      <c r="K389" s="350" t="s">
        <v>394</v>
      </c>
      <c r="L389" s="354">
        <v>2803.6597999999999</v>
      </c>
      <c r="M389" s="560">
        <f t="shared" si="389"/>
        <v>0.24460885018931325</v>
      </c>
      <c r="N389" s="354" t="s">
        <v>395</v>
      </c>
      <c r="O389" s="354">
        <v>0</v>
      </c>
      <c r="P389" s="374">
        <f t="shared" si="421"/>
        <v>1.5412347417488597E-2</v>
      </c>
      <c r="Q389" s="354">
        <f t="shared" si="422"/>
        <v>1.4536194801965307E-3</v>
      </c>
      <c r="R389" s="354">
        <f t="shared" si="423"/>
        <v>2.4503796617073247E-3</v>
      </c>
      <c r="S389" s="354">
        <f t="shared" si="424"/>
        <v>2.1827653917509664E-3</v>
      </c>
      <c r="T389" s="354">
        <f t="shared" si="425"/>
        <v>9.3146938738158259E-3</v>
      </c>
      <c r="U389" s="374">
        <f t="shared" si="426"/>
        <v>6.1856437563994192E-2</v>
      </c>
      <c r="V389" s="354">
        <f t="shared" si="427"/>
        <v>1.6373842007684474E-3</v>
      </c>
      <c r="W389" s="354">
        <f t="shared" si="428"/>
        <v>5.5854566366797836E-2</v>
      </c>
      <c r="X389" s="354">
        <f t="shared" si="429"/>
        <v>4.3644869964279132E-3</v>
      </c>
      <c r="Y389" s="374">
        <f t="shared" si="430"/>
        <v>9.0680591519317066E-3</v>
      </c>
      <c r="Z389" s="354">
        <f t="shared" si="431"/>
        <v>4.6778492344038631E-3</v>
      </c>
      <c r="AA389" s="354">
        <f t="shared" si="432"/>
        <v>4.3902099175278427E-3</v>
      </c>
      <c r="AB389" s="374">
        <f t="shared" si="433"/>
        <v>4.9542396478568604E-2</v>
      </c>
      <c r="AC389" s="354">
        <f t="shared" si="434"/>
        <v>1.4059764453474378E-2</v>
      </c>
      <c r="AD389" s="354">
        <f t="shared" si="435"/>
        <v>3.0604984083743139E-2</v>
      </c>
      <c r="AE389" s="354">
        <f t="shared" si="436"/>
        <v>4.8776479413510853E-3</v>
      </c>
      <c r="AF389" s="374">
        <f t="shared" si="437"/>
        <v>3.9651218287685912E-2</v>
      </c>
      <c r="AG389" s="354">
        <f t="shared" si="438"/>
        <v>2.5482530382421316E-3</v>
      </c>
      <c r="AH389" s="354">
        <f t="shared" si="439"/>
        <v>1.2821285440408677E-2</v>
      </c>
      <c r="AI389" s="354">
        <f t="shared" si="440"/>
        <v>0</v>
      </c>
      <c r="AJ389" s="354">
        <f t="shared" si="441"/>
        <v>2.4281679809035107E-2</v>
      </c>
      <c r="AK389" s="374">
        <f t="shared" si="442"/>
        <v>2.6189353737229627E-2</v>
      </c>
      <c r="AL389" s="354">
        <f t="shared" si="443"/>
        <v>7.5034236907434888E-3</v>
      </c>
      <c r="AM389" s="354">
        <f t="shared" si="444"/>
        <v>1.7697292625675754E-2</v>
      </c>
      <c r="AN389" s="354">
        <f t="shared" si="445"/>
        <v>9.8863742081038361E-4</v>
      </c>
      <c r="AO389" s="374">
        <f t="shared" si="446"/>
        <v>1.5185770557854715E-2</v>
      </c>
      <c r="AP389" s="354">
        <f t="shared" si="447"/>
        <v>3.4822569184604544E-3</v>
      </c>
      <c r="AQ389" s="354">
        <f t="shared" si="448"/>
        <v>1.1703513639394262E-2</v>
      </c>
      <c r="AR389" s="374">
        <f t="shared" si="449"/>
        <v>2.770326699455989E-2</v>
      </c>
      <c r="AS389" s="354">
        <f t="shared" si="450"/>
        <v>1.2004766062863699E-2</v>
      </c>
      <c r="AT389" s="354">
        <f t="shared" si="451"/>
        <v>1.5698500931696193E-2</v>
      </c>
      <c r="AU389" s="355" t="s">
        <v>396</v>
      </c>
      <c r="AV389" s="354" t="s">
        <v>346</v>
      </c>
      <c r="AW389" s="353">
        <v>0</v>
      </c>
      <c r="AX389" s="353">
        <v>0</v>
      </c>
      <c r="AY389" s="353">
        <v>0</v>
      </c>
      <c r="AZ389" s="353">
        <v>0</v>
      </c>
      <c r="BA389" s="353">
        <v>0</v>
      </c>
      <c r="BB389" s="353">
        <v>0</v>
      </c>
    </row>
    <row r="390" spans="1:54" x14ac:dyDescent="0.25">
      <c r="A390" s="348" t="s">
        <v>907</v>
      </c>
      <c r="B390" s="349">
        <v>18</v>
      </c>
      <c r="C390" s="607">
        <v>45108</v>
      </c>
      <c r="D390" s="351">
        <v>45138</v>
      </c>
      <c r="E390" s="352"/>
      <c r="F390" s="352">
        <v>6</v>
      </c>
      <c r="G390" s="429" t="s">
        <v>308</v>
      </c>
      <c r="H390" s="353" t="s">
        <v>916</v>
      </c>
      <c r="I390" s="350" t="s">
        <v>393</v>
      </c>
      <c r="J390" s="560">
        <v>685.8</v>
      </c>
      <c r="K390" s="350" t="s">
        <v>394</v>
      </c>
      <c r="L390" s="354">
        <v>2803.6597999999999</v>
      </c>
      <c r="M390" s="560">
        <f t="shared" si="389"/>
        <v>0.24460885018931325</v>
      </c>
      <c r="N390" s="354" t="s">
        <v>395</v>
      </c>
      <c r="O390" s="354">
        <v>0</v>
      </c>
      <c r="P390" s="374">
        <f t="shared" si="421"/>
        <v>1.5412347417488597E-2</v>
      </c>
      <c r="Q390" s="354">
        <f t="shared" si="422"/>
        <v>1.4536194801965307E-3</v>
      </c>
      <c r="R390" s="354">
        <f t="shared" si="423"/>
        <v>2.4503796617073247E-3</v>
      </c>
      <c r="S390" s="354">
        <f t="shared" si="424"/>
        <v>2.1827653917509664E-3</v>
      </c>
      <c r="T390" s="354">
        <f t="shared" si="425"/>
        <v>9.3146938738158259E-3</v>
      </c>
      <c r="U390" s="374">
        <f t="shared" si="426"/>
        <v>6.1856437563994192E-2</v>
      </c>
      <c r="V390" s="354">
        <f t="shared" si="427"/>
        <v>1.6373842007684474E-3</v>
      </c>
      <c r="W390" s="354">
        <f t="shared" si="428"/>
        <v>5.5854566366797836E-2</v>
      </c>
      <c r="X390" s="354">
        <f t="shared" si="429"/>
        <v>4.3644869964279132E-3</v>
      </c>
      <c r="Y390" s="374">
        <f t="shared" si="430"/>
        <v>9.0680591519317066E-3</v>
      </c>
      <c r="Z390" s="354">
        <f t="shared" si="431"/>
        <v>4.6778492344038631E-3</v>
      </c>
      <c r="AA390" s="354">
        <f t="shared" si="432"/>
        <v>4.3902099175278427E-3</v>
      </c>
      <c r="AB390" s="374">
        <f t="shared" si="433"/>
        <v>4.9542396478568604E-2</v>
      </c>
      <c r="AC390" s="354">
        <f t="shared" si="434"/>
        <v>1.4059764453474378E-2</v>
      </c>
      <c r="AD390" s="354">
        <f t="shared" si="435"/>
        <v>3.0604984083743139E-2</v>
      </c>
      <c r="AE390" s="354">
        <f t="shared" si="436"/>
        <v>4.8776479413510853E-3</v>
      </c>
      <c r="AF390" s="374">
        <f t="shared" si="437"/>
        <v>3.9651218287685912E-2</v>
      </c>
      <c r="AG390" s="354">
        <f t="shared" si="438"/>
        <v>2.5482530382421316E-3</v>
      </c>
      <c r="AH390" s="354">
        <f t="shared" si="439"/>
        <v>1.2821285440408677E-2</v>
      </c>
      <c r="AI390" s="354">
        <f t="shared" si="440"/>
        <v>0</v>
      </c>
      <c r="AJ390" s="354">
        <f t="shared" si="441"/>
        <v>2.4281679809035107E-2</v>
      </c>
      <c r="AK390" s="374">
        <f t="shared" si="442"/>
        <v>2.6189353737229627E-2</v>
      </c>
      <c r="AL390" s="354">
        <f t="shared" si="443"/>
        <v>7.5034236907434888E-3</v>
      </c>
      <c r="AM390" s="354">
        <f t="shared" si="444"/>
        <v>1.7697292625675754E-2</v>
      </c>
      <c r="AN390" s="354">
        <f t="shared" si="445"/>
        <v>9.8863742081038361E-4</v>
      </c>
      <c r="AO390" s="374">
        <f t="shared" si="446"/>
        <v>1.5185770557854715E-2</v>
      </c>
      <c r="AP390" s="354">
        <f t="shared" si="447"/>
        <v>3.4822569184604544E-3</v>
      </c>
      <c r="AQ390" s="354">
        <f t="shared" si="448"/>
        <v>1.1703513639394262E-2</v>
      </c>
      <c r="AR390" s="374">
        <f t="shared" si="449"/>
        <v>2.770326699455989E-2</v>
      </c>
      <c r="AS390" s="354">
        <f t="shared" si="450"/>
        <v>1.2004766062863699E-2</v>
      </c>
      <c r="AT390" s="354">
        <f t="shared" si="451"/>
        <v>1.5698500931696193E-2</v>
      </c>
      <c r="AU390" s="355" t="s">
        <v>396</v>
      </c>
      <c r="AV390" s="354" t="s">
        <v>346</v>
      </c>
      <c r="AW390" s="353">
        <v>0</v>
      </c>
      <c r="AX390" s="353">
        <v>0</v>
      </c>
      <c r="AY390" s="353">
        <v>0</v>
      </c>
      <c r="AZ390" s="353">
        <v>0</v>
      </c>
      <c r="BA390" s="353">
        <v>0</v>
      </c>
      <c r="BB390" s="353">
        <v>0</v>
      </c>
    </row>
    <row r="391" spans="1:54" x14ac:dyDescent="0.25">
      <c r="A391" s="348" t="s">
        <v>907</v>
      </c>
      <c r="B391" s="349">
        <v>18</v>
      </c>
      <c r="C391" s="607">
        <v>45108</v>
      </c>
      <c r="D391" s="351">
        <v>45138</v>
      </c>
      <c r="E391" s="352"/>
      <c r="F391" s="352">
        <v>6</v>
      </c>
      <c r="G391" s="429" t="s">
        <v>308</v>
      </c>
      <c r="H391" s="353" t="s">
        <v>917</v>
      </c>
      <c r="I391" s="350" t="s">
        <v>393</v>
      </c>
      <c r="J391" s="560">
        <v>685.8</v>
      </c>
      <c r="K391" s="350" t="s">
        <v>394</v>
      </c>
      <c r="L391" s="354">
        <v>2803.6597999999999</v>
      </c>
      <c r="M391" s="560">
        <f t="shared" si="389"/>
        <v>0.24460885018931325</v>
      </c>
      <c r="N391" s="354" t="s">
        <v>395</v>
      </c>
      <c r="O391" s="354">
        <v>0</v>
      </c>
      <c r="P391" s="374">
        <f t="shared" si="421"/>
        <v>1.5412347417488597E-2</v>
      </c>
      <c r="Q391" s="354">
        <f t="shared" si="422"/>
        <v>1.4536194801965307E-3</v>
      </c>
      <c r="R391" s="354">
        <f t="shared" si="423"/>
        <v>2.4503796617073247E-3</v>
      </c>
      <c r="S391" s="354">
        <f t="shared" si="424"/>
        <v>2.1827653917509664E-3</v>
      </c>
      <c r="T391" s="354">
        <f t="shared" si="425"/>
        <v>9.3146938738158259E-3</v>
      </c>
      <c r="U391" s="374">
        <f t="shared" si="426"/>
        <v>6.1856437563994192E-2</v>
      </c>
      <c r="V391" s="354">
        <f t="shared" si="427"/>
        <v>1.6373842007684474E-3</v>
      </c>
      <c r="W391" s="354">
        <f t="shared" si="428"/>
        <v>5.5854566366797836E-2</v>
      </c>
      <c r="X391" s="354">
        <f t="shared" si="429"/>
        <v>4.3644869964279132E-3</v>
      </c>
      <c r="Y391" s="374">
        <f t="shared" si="430"/>
        <v>9.0680591519317066E-3</v>
      </c>
      <c r="Z391" s="354">
        <f t="shared" si="431"/>
        <v>4.6778492344038631E-3</v>
      </c>
      <c r="AA391" s="354">
        <f t="shared" si="432"/>
        <v>4.3902099175278427E-3</v>
      </c>
      <c r="AB391" s="374">
        <f t="shared" si="433"/>
        <v>4.9542396478568604E-2</v>
      </c>
      <c r="AC391" s="354">
        <f t="shared" si="434"/>
        <v>1.4059764453474378E-2</v>
      </c>
      <c r="AD391" s="354">
        <f t="shared" si="435"/>
        <v>3.0604984083743139E-2</v>
      </c>
      <c r="AE391" s="354">
        <f t="shared" si="436"/>
        <v>4.8776479413510853E-3</v>
      </c>
      <c r="AF391" s="374">
        <f t="shared" si="437"/>
        <v>3.9651218287685912E-2</v>
      </c>
      <c r="AG391" s="354">
        <f t="shared" si="438"/>
        <v>2.5482530382421316E-3</v>
      </c>
      <c r="AH391" s="354">
        <f t="shared" si="439"/>
        <v>1.2821285440408677E-2</v>
      </c>
      <c r="AI391" s="354">
        <f t="shared" si="440"/>
        <v>0</v>
      </c>
      <c r="AJ391" s="354">
        <f t="shared" si="441"/>
        <v>2.4281679809035107E-2</v>
      </c>
      <c r="AK391" s="374">
        <f t="shared" si="442"/>
        <v>2.6189353737229627E-2</v>
      </c>
      <c r="AL391" s="354">
        <f t="shared" si="443"/>
        <v>7.5034236907434888E-3</v>
      </c>
      <c r="AM391" s="354">
        <f t="shared" si="444"/>
        <v>1.7697292625675754E-2</v>
      </c>
      <c r="AN391" s="354">
        <f t="shared" si="445"/>
        <v>9.8863742081038361E-4</v>
      </c>
      <c r="AO391" s="374">
        <f t="shared" si="446"/>
        <v>1.5185770557854715E-2</v>
      </c>
      <c r="AP391" s="354">
        <f t="shared" si="447"/>
        <v>3.4822569184604544E-3</v>
      </c>
      <c r="AQ391" s="354">
        <f t="shared" si="448"/>
        <v>1.1703513639394262E-2</v>
      </c>
      <c r="AR391" s="374">
        <f t="shared" si="449"/>
        <v>2.770326699455989E-2</v>
      </c>
      <c r="AS391" s="354">
        <f t="shared" si="450"/>
        <v>1.2004766062863699E-2</v>
      </c>
      <c r="AT391" s="354">
        <f t="shared" si="451"/>
        <v>1.5698500931696193E-2</v>
      </c>
      <c r="AU391" s="355" t="s">
        <v>396</v>
      </c>
      <c r="AV391" s="354" t="s">
        <v>346</v>
      </c>
      <c r="AW391" s="353">
        <v>0</v>
      </c>
      <c r="AX391" s="353">
        <v>0</v>
      </c>
      <c r="AY391" s="353">
        <v>0</v>
      </c>
      <c r="AZ391" s="353">
        <v>0</v>
      </c>
      <c r="BA391" s="353">
        <v>0</v>
      </c>
      <c r="BB391" s="353">
        <v>0</v>
      </c>
    </row>
    <row r="392" spans="1:54" x14ac:dyDescent="0.25">
      <c r="A392" s="348" t="s">
        <v>907</v>
      </c>
      <c r="B392" s="349">
        <v>18</v>
      </c>
      <c r="C392" s="607">
        <v>45108</v>
      </c>
      <c r="D392" s="351">
        <v>45138</v>
      </c>
      <c r="E392" s="352"/>
      <c r="F392" s="352">
        <v>6</v>
      </c>
      <c r="G392" s="429" t="s">
        <v>309</v>
      </c>
      <c r="H392" s="353" t="s">
        <v>918</v>
      </c>
      <c r="I392" s="350" t="s">
        <v>393</v>
      </c>
      <c r="J392" s="560">
        <v>99985.8</v>
      </c>
      <c r="K392" s="350" t="s">
        <v>394</v>
      </c>
      <c r="L392" s="354">
        <v>2803.6597999999999</v>
      </c>
      <c r="M392" s="560">
        <f t="shared" si="389"/>
        <v>35.66260071924561</v>
      </c>
      <c r="N392" s="354" t="s">
        <v>395</v>
      </c>
      <c r="O392" s="354">
        <v>0</v>
      </c>
      <c r="P392" s="374">
        <f t="shared" si="421"/>
        <v>2.2470339551115948</v>
      </c>
      <c r="Q392" s="354">
        <f t="shared" si="422"/>
        <v>0.21192958096097159</v>
      </c>
      <c r="R392" s="354">
        <f t="shared" si="423"/>
        <v>0.35725163426587381</v>
      </c>
      <c r="S392" s="354">
        <f t="shared" si="424"/>
        <v>0.318234972158842</v>
      </c>
      <c r="T392" s="354">
        <f t="shared" si="425"/>
        <v>1.3580302110361251</v>
      </c>
      <c r="U392" s="374">
        <f t="shared" si="426"/>
        <v>9.0183222440740902</v>
      </c>
      <c r="V392" s="354">
        <f t="shared" si="427"/>
        <v>0.23872144826654104</v>
      </c>
      <c r="W392" s="354">
        <f t="shared" si="428"/>
        <v>8.1432830298007808</v>
      </c>
      <c r="X392" s="354">
        <f t="shared" si="429"/>
        <v>0.63631776600676893</v>
      </c>
      <c r="Y392" s="374">
        <f t="shared" si="430"/>
        <v>1.3220722495672401</v>
      </c>
      <c r="Z392" s="354">
        <f t="shared" si="431"/>
        <v>0.68200422569445585</v>
      </c>
      <c r="AA392" s="354">
        <f t="shared" si="432"/>
        <v>0.64006802387278416</v>
      </c>
      <c r="AB392" s="374">
        <f t="shared" si="433"/>
        <v>7.2230040038303667</v>
      </c>
      <c r="AC392" s="354">
        <f t="shared" si="434"/>
        <v>2.0498349324762302</v>
      </c>
      <c r="AD392" s="354">
        <f t="shared" si="435"/>
        <v>4.462035312919693</v>
      </c>
      <c r="AE392" s="354">
        <f t="shared" si="436"/>
        <v>0.7111337584344436</v>
      </c>
      <c r="AF392" s="374">
        <f t="shared" si="437"/>
        <v>5.7809256072745789</v>
      </c>
      <c r="AG392" s="354">
        <f t="shared" si="438"/>
        <v>0.37152102454224278</v>
      </c>
      <c r="AH392" s="354">
        <f t="shared" si="439"/>
        <v>1.869271626986897</v>
      </c>
      <c r="AI392" s="354">
        <f t="shared" si="440"/>
        <v>0</v>
      </c>
      <c r="AJ392" s="354">
        <f t="shared" si="441"/>
        <v>3.5401329557454395</v>
      </c>
      <c r="AK392" s="374">
        <f t="shared" si="442"/>
        <v>3.8182611328374079</v>
      </c>
      <c r="AL392" s="354">
        <f t="shared" si="443"/>
        <v>1.0939571601894726</v>
      </c>
      <c r="AM392" s="354">
        <f t="shared" si="444"/>
        <v>2.5801661723713782</v>
      </c>
      <c r="AN392" s="354">
        <f t="shared" si="445"/>
        <v>0.14413780027655712</v>
      </c>
      <c r="AO392" s="374">
        <f t="shared" si="446"/>
        <v>2.2140003176488046</v>
      </c>
      <c r="AP392" s="354">
        <f t="shared" si="447"/>
        <v>0.50769356051006609</v>
      </c>
      <c r="AQ392" s="354">
        <f t="shared" si="448"/>
        <v>1.7063067571387385</v>
      </c>
      <c r="AR392" s="374">
        <f t="shared" si="449"/>
        <v>4.038981208901526</v>
      </c>
      <c r="AS392" s="354">
        <f t="shared" si="450"/>
        <v>1.7502276736778615</v>
      </c>
      <c r="AT392" s="354">
        <f t="shared" si="451"/>
        <v>2.2887535352236648</v>
      </c>
      <c r="AU392" s="355" t="s">
        <v>396</v>
      </c>
      <c r="AV392" s="354" t="s">
        <v>346</v>
      </c>
      <c r="AW392" s="353">
        <v>0</v>
      </c>
      <c r="AX392" s="353">
        <v>0</v>
      </c>
      <c r="AY392" s="353">
        <v>0</v>
      </c>
      <c r="AZ392" s="353">
        <v>0</v>
      </c>
      <c r="BA392" s="353">
        <v>0</v>
      </c>
      <c r="BB392" s="353">
        <v>0</v>
      </c>
    </row>
    <row r="393" spans="1:54" x14ac:dyDescent="0.25">
      <c r="A393" s="348" t="s">
        <v>907</v>
      </c>
      <c r="B393" s="349">
        <v>18</v>
      </c>
      <c r="C393" s="607">
        <v>45108</v>
      </c>
      <c r="D393" s="351">
        <v>45138</v>
      </c>
      <c r="E393" s="352"/>
      <c r="F393" s="352">
        <v>6</v>
      </c>
      <c r="G393" s="429" t="s">
        <v>309</v>
      </c>
      <c r="H393" s="353" t="s">
        <v>919</v>
      </c>
      <c r="I393" s="350" t="s">
        <v>393</v>
      </c>
      <c r="J393" s="560">
        <v>99985.8</v>
      </c>
      <c r="K393" s="350" t="s">
        <v>394</v>
      </c>
      <c r="L393" s="354">
        <v>2803.6597999999999</v>
      </c>
      <c r="M393" s="560">
        <f t="shared" si="389"/>
        <v>35.66260071924561</v>
      </c>
      <c r="N393" s="354" t="s">
        <v>395</v>
      </c>
      <c r="O393" s="354">
        <v>0</v>
      </c>
      <c r="P393" s="374">
        <f t="shared" si="421"/>
        <v>2.2470339551115948</v>
      </c>
      <c r="Q393" s="354">
        <f t="shared" si="422"/>
        <v>0.21192958096097159</v>
      </c>
      <c r="R393" s="354">
        <f t="shared" si="423"/>
        <v>0.35725163426587381</v>
      </c>
      <c r="S393" s="354">
        <f t="shared" si="424"/>
        <v>0.318234972158842</v>
      </c>
      <c r="T393" s="354">
        <f t="shared" si="425"/>
        <v>1.3580302110361251</v>
      </c>
      <c r="U393" s="374">
        <f t="shared" si="426"/>
        <v>9.0183222440740902</v>
      </c>
      <c r="V393" s="354">
        <f t="shared" si="427"/>
        <v>0.23872144826654104</v>
      </c>
      <c r="W393" s="354">
        <f t="shared" si="428"/>
        <v>8.1432830298007808</v>
      </c>
      <c r="X393" s="354">
        <f t="shared" si="429"/>
        <v>0.63631776600676893</v>
      </c>
      <c r="Y393" s="374">
        <f t="shared" si="430"/>
        <v>1.3220722495672401</v>
      </c>
      <c r="Z393" s="354">
        <f t="shared" si="431"/>
        <v>0.68200422569445585</v>
      </c>
      <c r="AA393" s="354">
        <f t="shared" si="432"/>
        <v>0.64006802387278416</v>
      </c>
      <c r="AB393" s="374">
        <f t="shared" si="433"/>
        <v>7.2230040038303667</v>
      </c>
      <c r="AC393" s="354">
        <f t="shared" si="434"/>
        <v>2.0498349324762302</v>
      </c>
      <c r="AD393" s="354">
        <f t="shared" si="435"/>
        <v>4.462035312919693</v>
      </c>
      <c r="AE393" s="354">
        <f t="shared" si="436"/>
        <v>0.7111337584344436</v>
      </c>
      <c r="AF393" s="374">
        <f t="shared" si="437"/>
        <v>5.7809256072745789</v>
      </c>
      <c r="AG393" s="354">
        <f t="shared" si="438"/>
        <v>0.37152102454224278</v>
      </c>
      <c r="AH393" s="354">
        <f t="shared" si="439"/>
        <v>1.869271626986897</v>
      </c>
      <c r="AI393" s="354">
        <f t="shared" si="440"/>
        <v>0</v>
      </c>
      <c r="AJ393" s="354">
        <f t="shared" si="441"/>
        <v>3.5401329557454395</v>
      </c>
      <c r="AK393" s="374">
        <f t="shared" si="442"/>
        <v>3.8182611328374079</v>
      </c>
      <c r="AL393" s="354">
        <f t="shared" si="443"/>
        <v>1.0939571601894726</v>
      </c>
      <c r="AM393" s="354">
        <f t="shared" si="444"/>
        <v>2.5801661723713782</v>
      </c>
      <c r="AN393" s="354">
        <f t="shared" si="445"/>
        <v>0.14413780027655712</v>
      </c>
      <c r="AO393" s="374">
        <f t="shared" si="446"/>
        <v>2.2140003176488046</v>
      </c>
      <c r="AP393" s="354">
        <f t="shared" si="447"/>
        <v>0.50769356051006609</v>
      </c>
      <c r="AQ393" s="354">
        <f t="shared" si="448"/>
        <v>1.7063067571387385</v>
      </c>
      <c r="AR393" s="374">
        <f t="shared" si="449"/>
        <v>4.038981208901526</v>
      </c>
      <c r="AS393" s="354">
        <f t="shared" si="450"/>
        <v>1.7502276736778615</v>
      </c>
      <c r="AT393" s="354">
        <f t="shared" si="451"/>
        <v>2.2887535352236648</v>
      </c>
      <c r="AU393" s="355" t="s">
        <v>396</v>
      </c>
      <c r="AV393" s="354" t="s">
        <v>346</v>
      </c>
      <c r="AW393" s="353">
        <v>0</v>
      </c>
      <c r="AX393" s="353">
        <v>0</v>
      </c>
      <c r="AY393" s="353">
        <v>0</v>
      </c>
      <c r="AZ393" s="353">
        <v>0</v>
      </c>
      <c r="BA393" s="353">
        <v>0</v>
      </c>
      <c r="BB393" s="353">
        <v>0</v>
      </c>
    </row>
    <row r="394" spans="1:54" x14ac:dyDescent="0.25">
      <c r="A394" s="348" t="s">
        <v>907</v>
      </c>
      <c r="B394" s="349">
        <v>18</v>
      </c>
      <c r="C394" s="607">
        <v>45108</v>
      </c>
      <c r="D394" s="351">
        <v>45138</v>
      </c>
      <c r="E394" s="352"/>
      <c r="F394" s="352">
        <v>6</v>
      </c>
      <c r="G394" s="429" t="s">
        <v>309</v>
      </c>
      <c r="H394" s="353" t="s">
        <v>920</v>
      </c>
      <c r="I394" s="350" t="s">
        <v>393</v>
      </c>
      <c r="J394" s="560">
        <v>99985.8</v>
      </c>
      <c r="K394" s="350" t="s">
        <v>394</v>
      </c>
      <c r="L394" s="354">
        <v>2803.6597999999999</v>
      </c>
      <c r="M394" s="560">
        <f t="shared" si="389"/>
        <v>35.66260071924561</v>
      </c>
      <c r="N394" s="354" t="s">
        <v>395</v>
      </c>
      <c r="O394" s="354">
        <v>0</v>
      </c>
      <c r="P394" s="374">
        <f t="shared" si="421"/>
        <v>2.2470339551115948</v>
      </c>
      <c r="Q394" s="354">
        <f t="shared" si="422"/>
        <v>0.21192958096097159</v>
      </c>
      <c r="R394" s="354">
        <f t="shared" si="423"/>
        <v>0.35725163426587381</v>
      </c>
      <c r="S394" s="354">
        <f t="shared" si="424"/>
        <v>0.318234972158842</v>
      </c>
      <c r="T394" s="354">
        <f t="shared" si="425"/>
        <v>1.3580302110361251</v>
      </c>
      <c r="U394" s="374">
        <f t="shared" si="426"/>
        <v>9.0183222440740902</v>
      </c>
      <c r="V394" s="354">
        <f t="shared" si="427"/>
        <v>0.23872144826654104</v>
      </c>
      <c r="W394" s="354">
        <f t="shared" si="428"/>
        <v>8.1432830298007808</v>
      </c>
      <c r="X394" s="354">
        <f t="shared" si="429"/>
        <v>0.63631776600676893</v>
      </c>
      <c r="Y394" s="374">
        <f t="shared" si="430"/>
        <v>1.3220722495672401</v>
      </c>
      <c r="Z394" s="354">
        <f t="shared" si="431"/>
        <v>0.68200422569445585</v>
      </c>
      <c r="AA394" s="354">
        <f t="shared" si="432"/>
        <v>0.64006802387278416</v>
      </c>
      <c r="AB394" s="374">
        <f t="shared" si="433"/>
        <v>7.2230040038303667</v>
      </c>
      <c r="AC394" s="354">
        <f t="shared" si="434"/>
        <v>2.0498349324762302</v>
      </c>
      <c r="AD394" s="354">
        <f t="shared" si="435"/>
        <v>4.462035312919693</v>
      </c>
      <c r="AE394" s="354">
        <f t="shared" si="436"/>
        <v>0.7111337584344436</v>
      </c>
      <c r="AF394" s="374">
        <f t="shared" si="437"/>
        <v>5.7809256072745789</v>
      </c>
      <c r="AG394" s="354">
        <f t="shared" si="438"/>
        <v>0.37152102454224278</v>
      </c>
      <c r="AH394" s="354">
        <f t="shared" si="439"/>
        <v>1.869271626986897</v>
      </c>
      <c r="AI394" s="354">
        <f t="shared" si="440"/>
        <v>0</v>
      </c>
      <c r="AJ394" s="354">
        <f t="shared" si="441"/>
        <v>3.5401329557454395</v>
      </c>
      <c r="AK394" s="374">
        <f t="shared" si="442"/>
        <v>3.8182611328374079</v>
      </c>
      <c r="AL394" s="354">
        <f t="shared" si="443"/>
        <v>1.0939571601894726</v>
      </c>
      <c r="AM394" s="354">
        <f t="shared" si="444"/>
        <v>2.5801661723713782</v>
      </c>
      <c r="AN394" s="354">
        <f t="shared" si="445"/>
        <v>0.14413780027655712</v>
      </c>
      <c r="AO394" s="374">
        <f t="shared" si="446"/>
        <v>2.2140003176488046</v>
      </c>
      <c r="AP394" s="354">
        <f t="shared" si="447"/>
        <v>0.50769356051006609</v>
      </c>
      <c r="AQ394" s="354">
        <f t="shared" si="448"/>
        <v>1.7063067571387385</v>
      </c>
      <c r="AR394" s="374">
        <f t="shared" si="449"/>
        <v>4.038981208901526</v>
      </c>
      <c r="AS394" s="354">
        <f t="shared" si="450"/>
        <v>1.7502276736778615</v>
      </c>
      <c r="AT394" s="354">
        <f t="shared" si="451"/>
        <v>2.2887535352236648</v>
      </c>
      <c r="AU394" s="355" t="s">
        <v>396</v>
      </c>
      <c r="AV394" s="354" t="s">
        <v>346</v>
      </c>
      <c r="AW394" s="353">
        <v>0</v>
      </c>
      <c r="AX394" s="353">
        <v>0</v>
      </c>
      <c r="AY394" s="353">
        <v>0</v>
      </c>
      <c r="AZ394" s="353">
        <v>0</v>
      </c>
      <c r="BA394" s="353">
        <v>0</v>
      </c>
      <c r="BB394" s="353">
        <v>0</v>
      </c>
    </row>
    <row r="395" spans="1:54" x14ac:dyDescent="0.25">
      <c r="A395" s="348" t="s">
        <v>907</v>
      </c>
      <c r="B395" s="349">
        <v>18</v>
      </c>
      <c r="C395" s="607">
        <v>45108</v>
      </c>
      <c r="D395" s="351">
        <v>45138</v>
      </c>
      <c r="E395" s="352"/>
      <c r="F395" s="352">
        <v>6</v>
      </c>
      <c r="G395" s="429" t="s">
        <v>309</v>
      </c>
      <c r="H395" s="353" t="s">
        <v>921</v>
      </c>
      <c r="I395" s="350" t="s">
        <v>393</v>
      </c>
      <c r="J395" s="560">
        <v>99985.8</v>
      </c>
      <c r="K395" s="350" t="s">
        <v>394</v>
      </c>
      <c r="L395" s="354">
        <v>2803.6597999999999</v>
      </c>
      <c r="M395" s="560">
        <f t="shared" si="389"/>
        <v>35.66260071924561</v>
      </c>
      <c r="N395" s="354" t="s">
        <v>395</v>
      </c>
      <c r="O395" s="354">
        <v>0</v>
      </c>
      <c r="P395" s="374">
        <f t="shared" si="421"/>
        <v>2.2470339551115948</v>
      </c>
      <c r="Q395" s="354">
        <f t="shared" si="422"/>
        <v>0.21192958096097159</v>
      </c>
      <c r="R395" s="354">
        <f t="shared" si="423"/>
        <v>0.35725163426587381</v>
      </c>
      <c r="S395" s="354">
        <f t="shared" si="424"/>
        <v>0.318234972158842</v>
      </c>
      <c r="T395" s="354">
        <f t="shared" si="425"/>
        <v>1.3580302110361251</v>
      </c>
      <c r="U395" s="374">
        <f t="shared" si="426"/>
        <v>9.0183222440740902</v>
      </c>
      <c r="V395" s="354">
        <f t="shared" si="427"/>
        <v>0.23872144826654104</v>
      </c>
      <c r="W395" s="354">
        <f t="shared" si="428"/>
        <v>8.1432830298007808</v>
      </c>
      <c r="X395" s="354">
        <f t="shared" si="429"/>
        <v>0.63631776600676893</v>
      </c>
      <c r="Y395" s="374">
        <f t="shared" si="430"/>
        <v>1.3220722495672401</v>
      </c>
      <c r="Z395" s="354">
        <f t="shared" si="431"/>
        <v>0.68200422569445585</v>
      </c>
      <c r="AA395" s="354">
        <f t="shared" si="432"/>
        <v>0.64006802387278416</v>
      </c>
      <c r="AB395" s="374">
        <f t="shared" si="433"/>
        <v>7.2230040038303667</v>
      </c>
      <c r="AC395" s="354">
        <f t="shared" si="434"/>
        <v>2.0498349324762302</v>
      </c>
      <c r="AD395" s="354">
        <f t="shared" si="435"/>
        <v>4.462035312919693</v>
      </c>
      <c r="AE395" s="354">
        <f t="shared" si="436"/>
        <v>0.7111337584344436</v>
      </c>
      <c r="AF395" s="374">
        <f t="shared" si="437"/>
        <v>5.7809256072745789</v>
      </c>
      <c r="AG395" s="354">
        <f t="shared" si="438"/>
        <v>0.37152102454224278</v>
      </c>
      <c r="AH395" s="354">
        <f t="shared" si="439"/>
        <v>1.869271626986897</v>
      </c>
      <c r="AI395" s="354">
        <f t="shared" si="440"/>
        <v>0</v>
      </c>
      <c r="AJ395" s="354">
        <f t="shared" si="441"/>
        <v>3.5401329557454395</v>
      </c>
      <c r="AK395" s="374">
        <f t="shared" si="442"/>
        <v>3.8182611328374079</v>
      </c>
      <c r="AL395" s="354">
        <f t="shared" si="443"/>
        <v>1.0939571601894726</v>
      </c>
      <c r="AM395" s="354">
        <f t="shared" si="444"/>
        <v>2.5801661723713782</v>
      </c>
      <c r="AN395" s="354">
        <f t="shared" si="445"/>
        <v>0.14413780027655712</v>
      </c>
      <c r="AO395" s="374">
        <f t="shared" si="446"/>
        <v>2.2140003176488046</v>
      </c>
      <c r="AP395" s="354">
        <f t="shared" si="447"/>
        <v>0.50769356051006609</v>
      </c>
      <c r="AQ395" s="354">
        <f t="shared" si="448"/>
        <v>1.7063067571387385</v>
      </c>
      <c r="AR395" s="374">
        <f t="shared" si="449"/>
        <v>4.038981208901526</v>
      </c>
      <c r="AS395" s="354">
        <f t="shared" si="450"/>
        <v>1.7502276736778615</v>
      </c>
      <c r="AT395" s="354">
        <f t="shared" si="451"/>
        <v>2.2887535352236648</v>
      </c>
      <c r="AU395" s="355" t="s">
        <v>396</v>
      </c>
      <c r="AV395" s="354" t="s">
        <v>346</v>
      </c>
      <c r="AW395" s="353">
        <v>0</v>
      </c>
      <c r="AX395" s="353">
        <v>0</v>
      </c>
      <c r="AY395" s="353">
        <v>0</v>
      </c>
      <c r="AZ395" s="353">
        <v>0</v>
      </c>
      <c r="BA395" s="353">
        <v>0</v>
      </c>
      <c r="BB395" s="353">
        <v>0</v>
      </c>
    </row>
    <row r="396" spans="1:54" x14ac:dyDescent="0.25">
      <c r="A396" s="348" t="s">
        <v>907</v>
      </c>
      <c r="B396" s="349">
        <v>18</v>
      </c>
      <c r="C396" s="607">
        <v>45108</v>
      </c>
      <c r="D396" s="351">
        <v>45138</v>
      </c>
      <c r="E396" s="352"/>
      <c r="F396" s="352">
        <v>6</v>
      </c>
      <c r="G396" s="429" t="s">
        <v>309</v>
      </c>
      <c r="H396" s="353" t="s">
        <v>922</v>
      </c>
      <c r="I396" s="350" t="s">
        <v>393</v>
      </c>
      <c r="J396" s="560">
        <v>99985.8</v>
      </c>
      <c r="K396" s="350" t="s">
        <v>394</v>
      </c>
      <c r="L396" s="354">
        <v>2803.6597999999999</v>
      </c>
      <c r="M396" s="560">
        <f t="shared" ref="M396:M454" si="458">J396/L396</f>
        <v>35.66260071924561</v>
      </c>
      <c r="N396" s="354" t="s">
        <v>395</v>
      </c>
      <c r="O396" s="354">
        <v>0</v>
      </c>
      <c r="P396" s="374">
        <f t="shared" si="421"/>
        <v>2.2470339551115948</v>
      </c>
      <c r="Q396" s="354">
        <f t="shared" si="422"/>
        <v>0.21192958096097159</v>
      </c>
      <c r="R396" s="354">
        <f t="shared" si="423"/>
        <v>0.35725163426587381</v>
      </c>
      <c r="S396" s="354">
        <f t="shared" si="424"/>
        <v>0.318234972158842</v>
      </c>
      <c r="T396" s="354">
        <f t="shared" si="425"/>
        <v>1.3580302110361251</v>
      </c>
      <c r="U396" s="374">
        <f t="shared" si="426"/>
        <v>9.0183222440740902</v>
      </c>
      <c r="V396" s="354">
        <f t="shared" si="427"/>
        <v>0.23872144826654104</v>
      </c>
      <c r="W396" s="354">
        <f t="shared" si="428"/>
        <v>8.1432830298007808</v>
      </c>
      <c r="X396" s="354">
        <f t="shared" si="429"/>
        <v>0.63631776600676893</v>
      </c>
      <c r="Y396" s="374">
        <f t="shared" si="430"/>
        <v>1.3220722495672401</v>
      </c>
      <c r="Z396" s="354">
        <f t="shared" si="431"/>
        <v>0.68200422569445585</v>
      </c>
      <c r="AA396" s="354">
        <f t="shared" si="432"/>
        <v>0.64006802387278416</v>
      </c>
      <c r="AB396" s="374">
        <f t="shared" si="433"/>
        <v>7.2230040038303667</v>
      </c>
      <c r="AC396" s="354">
        <f t="shared" si="434"/>
        <v>2.0498349324762302</v>
      </c>
      <c r="AD396" s="354">
        <f t="shared" si="435"/>
        <v>4.462035312919693</v>
      </c>
      <c r="AE396" s="354">
        <f t="shared" si="436"/>
        <v>0.7111337584344436</v>
      </c>
      <c r="AF396" s="374">
        <f t="shared" si="437"/>
        <v>5.7809256072745789</v>
      </c>
      <c r="AG396" s="354">
        <f t="shared" si="438"/>
        <v>0.37152102454224278</v>
      </c>
      <c r="AH396" s="354">
        <f t="shared" si="439"/>
        <v>1.869271626986897</v>
      </c>
      <c r="AI396" s="354">
        <f t="shared" si="440"/>
        <v>0</v>
      </c>
      <c r="AJ396" s="354">
        <f t="shared" si="441"/>
        <v>3.5401329557454395</v>
      </c>
      <c r="AK396" s="374">
        <f t="shared" si="442"/>
        <v>3.8182611328374079</v>
      </c>
      <c r="AL396" s="354">
        <f t="shared" si="443"/>
        <v>1.0939571601894726</v>
      </c>
      <c r="AM396" s="354">
        <f t="shared" si="444"/>
        <v>2.5801661723713782</v>
      </c>
      <c r="AN396" s="354">
        <f t="shared" si="445"/>
        <v>0.14413780027655712</v>
      </c>
      <c r="AO396" s="374">
        <f t="shared" si="446"/>
        <v>2.2140003176488046</v>
      </c>
      <c r="AP396" s="354">
        <f t="shared" si="447"/>
        <v>0.50769356051006609</v>
      </c>
      <c r="AQ396" s="354">
        <f t="shared" si="448"/>
        <v>1.7063067571387385</v>
      </c>
      <c r="AR396" s="374">
        <f t="shared" si="449"/>
        <v>4.038981208901526</v>
      </c>
      <c r="AS396" s="354">
        <f t="shared" si="450"/>
        <v>1.7502276736778615</v>
      </c>
      <c r="AT396" s="354">
        <f t="shared" si="451"/>
        <v>2.2887535352236648</v>
      </c>
      <c r="AU396" s="355" t="s">
        <v>396</v>
      </c>
      <c r="AV396" s="354" t="s">
        <v>346</v>
      </c>
      <c r="AW396" s="353">
        <v>0</v>
      </c>
      <c r="AX396" s="353">
        <v>0</v>
      </c>
      <c r="AY396" s="353">
        <v>0</v>
      </c>
      <c r="AZ396" s="353">
        <v>0</v>
      </c>
      <c r="BA396" s="353">
        <v>0</v>
      </c>
      <c r="BB396" s="353">
        <v>0</v>
      </c>
    </row>
    <row r="397" spans="1:54" x14ac:dyDescent="0.25">
      <c r="A397" s="348" t="s">
        <v>907</v>
      </c>
      <c r="B397" s="349">
        <v>18</v>
      </c>
      <c r="C397" s="607">
        <v>45108</v>
      </c>
      <c r="D397" s="351">
        <v>45138</v>
      </c>
      <c r="E397" s="352"/>
      <c r="F397" s="352">
        <v>6</v>
      </c>
      <c r="G397" s="429" t="s">
        <v>310</v>
      </c>
      <c r="H397" s="353" t="s">
        <v>923</v>
      </c>
      <c r="I397" s="350" t="s">
        <v>393</v>
      </c>
      <c r="J397" s="560">
        <v>12114</v>
      </c>
      <c r="K397" s="350" t="s">
        <v>394</v>
      </c>
      <c r="L397" s="354">
        <v>2803.6597999999999</v>
      </c>
      <c r="M397" s="560">
        <f t="shared" si="458"/>
        <v>4.3207810020317021</v>
      </c>
      <c r="N397" s="354" t="s">
        <v>395</v>
      </c>
      <c r="O397" s="354">
        <v>0</v>
      </c>
      <c r="P397" s="374">
        <f t="shared" si="421"/>
        <v>0.27224435202020547</v>
      </c>
      <c r="Q397" s="354">
        <f t="shared" si="422"/>
        <v>2.5676795542579144E-2</v>
      </c>
      <c r="R397" s="354">
        <f t="shared" si="423"/>
        <v>4.3283609247481099E-2</v>
      </c>
      <c r="S397" s="354">
        <f t="shared" si="424"/>
        <v>3.8556459544577447E-2</v>
      </c>
      <c r="T397" s="354">
        <f t="shared" si="425"/>
        <v>0.16453514375532946</v>
      </c>
      <c r="U397" s="374">
        <f t="shared" si="426"/>
        <v>1.0926347107760657</v>
      </c>
      <c r="V397" s="354">
        <f t="shared" si="427"/>
        <v>2.8922823283915104E-2</v>
      </c>
      <c r="W397" s="354">
        <f t="shared" si="428"/>
        <v>0.98661740590170477</v>
      </c>
      <c r="X397" s="354">
        <f t="shared" si="429"/>
        <v>7.7094481590445837E-2</v>
      </c>
      <c r="Y397" s="374">
        <f t="shared" si="430"/>
        <v>0.16017857767060473</v>
      </c>
      <c r="Z397" s="354">
        <f t="shared" si="431"/>
        <v>8.2629725321622063E-2</v>
      </c>
      <c r="AA397" s="354">
        <f t="shared" si="432"/>
        <v>7.754885234898265E-2</v>
      </c>
      <c r="AB397" s="374">
        <f t="shared" si="433"/>
        <v>0.87511897191802301</v>
      </c>
      <c r="AC397" s="354">
        <f t="shared" si="434"/>
        <v>0.24835226974247399</v>
      </c>
      <c r="AD397" s="354">
        <f t="shared" si="435"/>
        <v>0.54060772410391433</v>
      </c>
      <c r="AE397" s="354">
        <f t="shared" si="436"/>
        <v>8.6158978071634681E-2</v>
      </c>
      <c r="AF397" s="374">
        <f t="shared" si="437"/>
        <v>0.70040078497670932</v>
      </c>
      <c r="AG397" s="354">
        <f t="shared" si="438"/>
        <v>4.5012448680759973E-2</v>
      </c>
      <c r="AH397" s="354">
        <f t="shared" si="439"/>
        <v>0.22647572444606406</v>
      </c>
      <c r="AI397" s="354">
        <f t="shared" si="440"/>
        <v>0</v>
      </c>
      <c r="AJ397" s="354">
        <f t="shared" si="441"/>
        <v>0.42891261184988533</v>
      </c>
      <c r="AK397" s="374">
        <f t="shared" si="442"/>
        <v>0.46260984422980422</v>
      </c>
      <c r="AL397" s="354">
        <f t="shared" si="443"/>
        <v>0.13254079117769996</v>
      </c>
      <c r="AM397" s="354">
        <f t="shared" si="444"/>
        <v>0.31260572013332766</v>
      </c>
      <c r="AN397" s="354">
        <f t="shared" si="445"/>
        <v>1.7463332918776595E-2</v>
      </c>
      <c r="AO397" s="374">
        <f t="shared" si="446"/>
        <v>0.26824208885659384</v>
      </c>
      <c r="AP397" s="354">
        <f t="shared" si="447"/>
        <v>6.1510732444196491E-2</v>
      </c>
      <c r="AQ397" s="354">
        <f t="shared" si="448"/>
        <v>0.20673135641239737</v>
      </c>
      <c r="AR397" s="374">
        <f t="shared" si="449"/>
        <v>0.48935167158369575</v>
      </c>
      <c r="AS397" s="354">
        <f t="shared" si="450"/>
        <v>0.21205269187158191</v>
      </c>
      <c r="AT397" s="354">
        <f t="shared" si="451"/>
        <v>0.27729897971211387</v>
      </c>
      <c r="AU397" s="355" t="s">
        <v>396</v>
      </c>
      <c r="AV397" s="354" t="s">
        <v>346</v>
      </c>
      <c r="AW397" s="353">
        <v>0</v>
      </c>
      <c r="AX397" s="353">
        <v>0</v>
      </c>
      <c r="AY397" s="353">
        <v>0</v>
      </c>
      <c r="AZ397" s="353">
        <v>0</v>
      </c>
      <c r="BA397" s="353">
        <v>0</v>
      </c>
      <c r="BB397" s="353">
        <v>0</v>
      </c>
    </row>
    <row r="398" spans="1:54" x14ac:dyDescent="0.25">
      <c r="A398" s="348" t="s">
        <v>907</v>
      </c>
      <c r="B398" s="349">
        <v>18</v>
      </c>
      <c r="C398" s="607">
        <v>45108</v>
      </c>
      <c r="D398" s="351">
        <v>45138</v>
      </c>
      <c r="E398" s="352"/>
      <c r="F398" s="352">
        <v>6</v>
      </c>
      <c r="G398" s="429" t="s">
        <v>310</v>
      </c>
      <c r="H398" s="353" t="s">
        <v>924</v>
      </c>
      <c r="I398" s="350" t="s">
        <v>393</v>
      </c>
      <c r="J398" s="560">
        <v>12114</v>
      </c>
      <c r="K398" s="350" t="s">
        <v>394</v>
      </c>
      <c r="L398" s="354">
        <v>2803.6597999999999</v>
      </c>
      <c r="M398" s="560">
        <f t="shared" si="458"/>
        <v>4.3207810020317021</v>
      </c>
      <c r="N398" s="354" t="s">
        <v>395</v>
      </c>
      <c r="O398" s="354">
        <v>0</v>
      </c>
      <c r="P398" s="374">
        <f t="shared" ref="P398:P454" si="459">M398*$P$2</f>
        <v>0.27224435202020547</v>
      </c>
      <c r="Q398" s="354">
        <f t="shared" ref="Q398:Q454" si="460">P398*$Q$2</f>
        <v>2.5676795542579144E-2</v>
      </c>
      <c r="R398" s="354">
        <f t="shared" ref="R398:R454" si="461">P398*$R$2</f>
        <v>4.3283609247481099E-2</v>
      </c>
      <c r="S398" s="354">
        <f t="shared" ref="S398:S454" si="462">P398*$S$2</f>
        <v>3.8556459544577447E-2</v>
      </c>
      <c r="T398" s="354">
        <f t="shared" ref="T398:T454" si="463">P398*$T$2</f>
        <v>0.16453514375532946</v>
      </c>
      <c r="U398" s="374">
        <f t="shared" ref="U398:U454" si="464">M398*$U$2</f>
        <v>1.0926347107760657</v>
      </c>
      <c r="V398" s="354">
        <f t="shared" ref="V398:V454" si="465">U398*$V$2</f>
        <v>2.8922823283915104E-2</v>
      </c>
      <c r="W398" s="354">
        <f t="shared" ref="W398:W454" si="466">U398*$W$2</f>
        <v>0.98661740590170477</v>
      </c>
      <c r="X398" s="354">
        <f t="shared" ref="X398:X454" si="467">U398*$X$2</f>
        <v>7.7094481590445837E-2</v>
      </c>
      <c r="Y398" s="374">
        <f t="shared" ref="Y398:Y454" si="468">M398*$Y$2</f>
        <v>0.16017857767060473</v>
      </c>
      <c r="Z398" s="354">
        <f t="shared" ref="Z398:Z454" si="469">Y398*$Z$2</f>
        <v>8.2629725321622063E-2</v>
      </c>
      <c r="AA398" s="354">
        <f t="shared" ref="AA398:AA454" si="470">Y398*$AA$2</f>
        <v>7.754885234898265E-2</v>
      </c>
      <c r="AB398" s="374">
        <f t="shared" ref="AB398:AB454" si="471">M398*$AB$2</f>
        <v>0.87511897191802301</v>
      </c>
      <c r="AC398" s="354">
        <f t="shared" ref="AC398:AC454" si="472">AB398*$AC$2</f>
        <v>0.24835226974247399</v>
      </c>
      <c r="AD398" s="354">
        <f t="shared" ref="AD398:AD454" si="473">AB398*$AD$2</f>
        <v>0.54060772410391433</v>
      </c>
      <c r="AE398" s="354">
        <f t="shared" ref="AE398:AE454" si="474">AB398*$AE$2</f>
        <v>8.6158978071634681E-2</v>
      </c>
      <c r="AF398" s="374">
        <f t="shared" ref="AF398:AF454" si="475">M398*$AF$2</f>
        <v>0.70040078497670932</v>
      </c>
      <c r="AG398" s="354">
        <f t="shared" ref="AG398:AG454" si="476">AF398*$AG$2</f>
        <v>4.5012448680759973E-2</v>
      </c>
      <c r="AH398" s="354">
        <f t="shared" ref="AH398:AH454" si="477">AF398*$AH$2</f>
        <v>0.22647572444606406</v>
      </c>
      <c r="AI398" s="354">
        <f t="shared" ref="AI398:AI454" si="478">AF398*$AI$2</f>
        <v>0</v>
      </c>
      <c r="AJ398" s="354">
        <f t="shared" ref="AJ398:AJ454" si="479">AF398*$AJ$2</f>
        <v>0.42891261184988533</v>
      </c>
      <c r="AK398" s="374">
        <f t="shared" ref="AK398:AK454" si="480">M398*$AK$2</f>
        <v>0.46260984422980422</v>
      </c>
      <c r="AL398" s="354">
        <f t="shared" ref="AL398:AL454" si="481">AK398*$AL$2</f>
        <v>0.13254079117769996</v>
      </c>
      <c r="AM398" s="354">
        <f t="shared" ref="AM398:AM454" si="482">AK398*$AM$2</f>
        <v>0.31260572013332766</v>
      </c>
      <c r="AN398" s="354">
        <f t="shared" ref="AN398:AN454" si="483">AK398*$AN$2</f>
        <v>1.7463332918776595E-2</v>
      </c>
      <c r="AO398" s="374">
        <f t="shared" ref="AO398:AO454" si="484">M398*$AO$2</f>
        <v>0.26824208885659384</v>
      </c>
      <c r="AP398" s="354">
        <f t="shared" ref="AP398:AP454" si="485">AO398*$AP$2</f>
        <v>6.1510732444196491E-2</v>
      </c>
      <c r="AQ398" s="354">
        <f t="shared" ref="AQ398:AQ454" si="486">AO398*$AQ$2</f>
        <v>0.20673135641239737</v>
      </c>
      <c r="AR398" s="374">
        <f t="shared" ref="AR398:AR454" si="487">M398*$AR$2</f>
        <v>0.48935167158369575</v>
      </c>
      <c r="AS398" s="354">
        <f t="shared" ref="AS398:AS454" si="488">AR398*$AS$2</f>
        <v>0.21205269187158191</v>
      </c>
      <c r="AT398" s="354">
        <f t="shared" ref="AT398:AT454" si="489">AR398*$AT$2</f>
        <v>0.27729897971211387</v>
      </c>
      <c r="AU398" s="355" t="s">
        <v>396</v>
      </c>
      <c r="AV398" s="354" t="s">
        <v>346</v>
      </c>
      <c r="AW398" s="353">
        <v>0</v>
      </c>
      <c r="AX398" s="353">
        <v>0</v>
      </c>
      <c r="AY398" s="353">
        <v>0</v>
      </c>
      <c r="AZ398" s="353">
        <v>0</v>
      </c>
      <c r="BA398" s="353">
        <v>0</v>
      </c>
      <c r="BB398" s="353">
        <v>0</v>
      </c>
    </row>
    <row r="399" spans="1:54" x14ac:dyDescent="0.25">
      <c r="A399" s="348" t="s">
        <v>907</v>
      </c>
      <c r="B399" s="349">
        <v>18</v>
      </c>
      <c r="C399" s="607">
        <v>45108</v>
      </c>
      <c r="D399" s="351">
        <v>45138</v>
      </c>
      <c r="E399" s="352"/>
      <c r="F399" s="352">
        <v>6</v>
      </c>
      <c r="G399" s="429" t="s">
        <v>310</v>
      </c>
      <c r="H399" s="353" t="s">
        <v>925</v>
      </c>
      <c r="I399" s="350" t="s">
        <v>393</v>
      </c>
      <c r="J399" s="560">
        <v>12114</v>
      </c>
      <c r="K399" s="350" t="s">
        <v>394</v>
      </c>
      <c r="L399" s="354">
        <v>2803.6597999999999</v>
      </c>
      <c r="M399" s="560">
        <f t="shared" si="458"/>
        <v>4.3207810020317021</v>
      </c>
      <c r="N399" s="354" t="s">
        <v>395</v>
      </c>
      <c r="O399" s="354">
        <v>0</v>
      </c>
      <c r="P399" s="374">
        <f t="shared" si="459"/>
        <v>0.27224435202020547</v>
      </c>
      <c r="Q399" s="354">
        <f t="shared" si="460"/>
        <v>2.5676795542579144E-2</v>
      </c>
      <c r="R399" s="354">
        <f t="shared" si="461"/>
        <v>4.3283609247481099E-2</v>
      </c>
      <c r="S399" s="354">
        <f t="shared" si="462"/>
        <v>3.8556459544577447E-2</v>
      </c>
      <c r="T399" s="354">
        <f t="shared" si="463"/>
        <v>0.16453514375532946</v>
      </c>
      <c r="U399" s="374">
        <f t="shared" si="464"/>
        <v>1.0926347107760657</v>
      </c>
      <c r="V399" s="354">
        <f t="shared" si="465"/>
        <v>2.8922823283915104E-2</v>
      </c>
      <c r="W399" s="354">
        <f t="shared" si="466"/>
        <v>0.98661740590170477</v>
      </c>
      <c r="X399" s="354">
        <f t="shared" si="467"/>
        <v>7.7094481590445837E-2</v>
      </c>
      <c r="Y399" s="374">
        <f t="shared" si="468"/>
        <v>0.16017857767060473</v>
      </c>
      <c r="Z399" s="354">
        <f t="shared" si="469"/>
        <v>8.2629725321622063E-2</v>
      </c>
      <c r="AA399" s="354">
        <f t="shared" si="470"/>
        <v>7.754885234898265E-2</v>
      </c>
      <c r="AB399" s="374">
        <f t="shared" si="471"/>
        <v>0.87511897191802301</v>
      </c>
      <c r="AC399" s="354">
        <f t="shared" si="472"/>
        <v>0.24835226974247399</v>
      </c>
      <c r="AD399" s="354">
        <f t="shared" si="473"/>
        <v>0.54060772410391433</v>
      </c>
      <c r="AE399" s="354">
        <f t="shared" si="474"/>
        <v>8.6158978071634681E-2</v>
      </c>
      <c r="AF399" s="374">
        <f t="shared" si="475"/>
        <v>0.70040078497670932</v>
      </c>
      <c r="AG399" s="354">
        <f t="shared" si="476"/>
        <v>4.5012448680759973E-2</v>
      </c>
      <c r="AH399" s="354">
        <f t="shared" si="477"/>
        <v>0.22647572444606406</v>
      </c>
      <c r="AI399" s="354">
        <f t="shared" si="478"/>
        <v>0</v>
      </c>
      <c r="AJ399" s="354">
        <f t="shared" si="479"/>
        <v>0.42891261184988533</v>
      </c>
      <c r="AK399" s="374">
        <f t="shared" si="480"/>
        <v>0.46260984422980422</v>
      </c>
      <c r="AL399" s="354">
        <f t="shared" si="481"/>
        <v>0.13254079117769996</v>
      </c>
      <c r="AM399" s="354">
        <f t="shared" si="482"/>
        <v>0.31260572013332766</v>
      </c>
      <c r="AN399" s="354">
        <f t="shared" si="483"/>
        <v>1.7463332918776595E-2</v>
      </c>
      <c r="AO399" s="374">
        <f t="shared" si="484"/>
        <v>0.26824208885659384</v>
      </c>
      <c r="AP399" s="354">
        <f t="shared" si="485"/>
        <v>6.1510732444196491E-2</v>
      </c>
      <c r="AQ399" s="354">
        <f t="shared" si="486"/>
        <v>0.20673135641239737</v>
      </c>
      <c r="AR399" s="374">
        <f t="shared" si="487"/>
        <v>0.48935167158369575</v>
      </c>
      <c r="AS399" s="354">
        <f t="shared" si="488"/>
        <v>0.21205269187158191</v>
      </c>
      <c r="AT399" s="354">
        <f t="shared" si="489"/>
        <v>0.27729897971211387</v>
      </c>
      <c r="AU399" s="355" t="s">
        <v>396</v>
      </c>
      <c r="AV399" s="354" t="s">
        <v>346</v>
      </c>
      <c r="AW399" s="353">
        <v>0</v>
      </c>
      <c r="AX399" s="353">
        <v>0</v>
      </c>
      <c r="AY399" s="353">
        <v>0</v>
      </c>
      <c r="AZ399" s="353">
        <v>0</v>
      </c>
      <c r="BA399" s="353">
        <v>0</v>
      </c>
      <c r="BB399" s="353">
        <v>0</v>
      </c>
    </row>
    <row r="400" spans="1:54" x14ac:dyDescent="0.25">
      <c r="A400" s="348" t="s">
        <v>907</v>
      </c>
      <c r="B400" s="349">
        <v>18</v>
      </c>
      <c r="C400" s="607">
        <v>45108</v>
      </c>
      <c r="D400" s="351">
        <v>45138</v>
      </c>
      <c r="E400" s="352"/>
      <c r="F400" s="352">
        <v>6</v>
      </c>
      <c r="G400" s="429" t="s">
        <v>310</v>
      </c>
      <c r="H400" s="353" t="s">
        <v>926</v>
      </c>
      <c r="I400" s="350" t="s">
        <v>393</v>
      </c>
      <c r="J400" s="560">
        <v>12114</v>
      </c>
      <c r="K400" s="350" t="s">
        <v>394</v>
      </c>
      <c r="L400" s="354">
        <v>2803.6597999999999</v>
      </c>
      <c r="M400" s="560">
        <f t="shared" si="458"/>
        <v>4.3207810020317021</v>
      </c>
      <c r="N400" s="354" t="s">
        <v>395</v>
      </c>
      <c r="O400" s="354">
        <v>0</v>
      </c>
      <c r="P400" s="374">
        <f t="shared" si="459"/>
        <v>0.27224435202020547</v>
      </c>
      <c r="Q400" s="354">
        <f t="shared" si="460"/>
        <v>2.5676795542579144E-2</v>
      </c>
      <c r="R400" s="354">
        <f t="shared" si="461"/>
        <v>4.3283609247481099E-2</v>
      </c>
      <c r="S400" s="354">
        <f t="shared" si="462"/>
        <v>3.8556459544577447E-2</v>
      </c>
      <c r="T400" s="354">
        <f t="shared" si="463"/>
        <v>0.16453514375532946</v>
      </c>
      <c r="U400" s="374">
        <f t="shared" si="464"/>
        <v>1.0926347107760657</v>
      </c>
      <c r="V400" s="354">
        <f t="shared" si="465"/>
        <v>2.8922823283915104E-2</v>
      </c>
      <c r="W400" s="354">
        <f t="shared" si="466"/>
        <v>0.98661740590170477</v>
      </c>
      <c r="X400" s="354">
        <f t="shared" si="467"/>
        <v>7.7094481590445837E-2</v>
      </c>
      <c r="Y400" s="374">
        <f t="shared" si="468"/>
        <v>0.16017857767060473</v>
      </c>
      <c r="Z400" s="354">
        <f t="shared" si="469"/>
        <v>8.2629725321622063E-2</v>
      </c>
      <c r="AA400" s="354">
        <f t="shared" si="470"/>
        <v>7.754885234898265E-2</v>
      </c>
      <c r="AB400" s="374">
        <f t="shared" si="471"/>
        <v>0.87511897191802301</v>
      </c>
      <c r="AC400" s="354">
        <f t="shared" si="472"/>
        <v>0.24835226974247399</v>
      </c>
      <c r="AD400" s="354">
        <f t="shared" si="473"/>
        <v>0.54060772410391433</v>
      </c>
      <c r="AE400" s="354">
        <f t="shared" si="474"/>
        <v>8.6158978071634681E-2</v>
      </c>
      <c r="AF400" s="374">
        <f t="shared" si="475"/>
        <v>0.70040078497670932</v>
      </c>
      <c r="AG400" s="354">
        <f t="shared" si="476"/>
        <v>4.5012448680759973E-2</v>
      </c>
      <c r="AH400" s="354">
        <f t="shared" si="477"/>
        <v>0.22647572444606406</v>
      </c>
      <c r="AI400" s="354">
        <f t="shared" si="478"/>
        <v>0</v>
      </c>
      <c r="AJ400" s="354">
        <f t="shared" si="479"/>
        <v>0.42891261184988533</v>
      </c>
      <c r="AK400" s="374">
        <f t="shared" si="480"/>
        <v>0.46260984422980422</v>
      </c>
      <c r="AL400" s="354">
        <f t="shared" si="481"/>
        <v>0.13254079117769996</v>
      </c>
      <c r="AM400" s="354">
        <f t="shared" si="482"/>
        <v>0.31260572013332766</v>
      </c>
      <c r="AN400" s="354">
        <f t="shared" si="483"/>
        <v>1.7463332918776595E-2</v>
      </c>
      <c r="AO400" s="374">
        <f t="shared" si="484"/>
        <v>0.26824208885659384</v>
      </c>
      <c r="AP400" s="354">
        <f t="shared" si="485"/>
        <v>6.1510732444196491E-2</v>
      </c>
      <c r="AQ400" s="354">
        <f t="shared" si="486"/>
        <v>0.20673135641239737</v>
      </c>
      <c r="AR400" s="374">
        <f t="shared" si="487"/>
        <v>0.48935167158369575</v>
      </c>
      <c r="AS400" s="354">
        <f t="shared" si="488"/>
        <v>0.21205269187158191</v>
      </c>
      <c r="AT400" s="354">
        <f t="shared" si="489"/>
        <v>0.27729897971211387</v>
      </c>
      <c r="AU400" s="355" t="s">
        <v>396</v>
      </c>
      <c r="AV400" s="354" t="s">
        <v>346</v>
      </c>
      <c r="AW400" s="353">
        <v>0</v>
      </c>
      <c r="AX400" s="353">
        <v>0</v>
      </c>
      <c r="AY400" s="353">
        <v>0</v>
      </c>
      <c r="AZ400" s="353">
        <v>0</v>
      </c>
      <c r="BA400" s="353">
        <v>0</v>
      </c>
      <c r="BB400" s="353">
        <v>0</v>
      </c>
    </row>
    <row r="401" spans="1:54" x14ac:dyDescent="0.25">
      <c r="A401" s="348" t="s">
        <v>907</v>
      </c>
      <c r="B401" s="349">
        <v>18</v>
      </c>
      <c r="C401" s="607">
        <v>45108</v>
      </c>
      <c r="D401" s="351">
        <v>45138</v>
      </c>
      <c r="E401" s="352"/>
      <c r="F401" s="352">
        <v>6</v>
      </c>
      <c r="G401" s="429" t="s">
        <v>310</v>
      </c>
      <c r="H401" s="353" t="s">
        <v>927</v>
      </c>
      <c r="I401" s="350" t="s">
        <v>393</v>
      </c>
      <c r="J401" s="560">
        <v>12114</v>
      </c>
      <c r="K401" s="350" t="s">
        <v>394</v>
      </c>
      <c r="L401" s="354">
        <v>2803.6597999999999</v>
      </c>
      <c r="M401" s="560">
        <f t="shared" si="458"/>
        <v>4.3207810020317021</v>
      </c>
      <c r="N401" s="354" t="s">
        <v>395</v>
      </c>
      <c r="O401" s="354">
        <v>0</v>
      </c>
      <c r="P401" s="374">
        <f t="shared" si="459"/>
        <v>0.27224435202020547</v>
      </c>
      <c r="Q401" s="354">
        <f t="shared" si="460"/>
        <v>2.5676795542579144E-2</v>
      </c>
      <c r="R401" s="354">
        <f t="shared" si="461"/>
        <v>4.3283609247481099E-2</v>
      </c>
      <c r="S401" s="354">
        <f t="shared" si="462"/>
        <v>3.8556459544577447E-2</v>
      </c>
      <c r="T401" s="354">
        <f t="shared" si="463"/>
        <v>0.16453514375532946</v>
      </c>
      <c r="U401" s="374">
        <f t="shared" si="464"/>
        <v>1.0926347107760657</v>
      </c>
      <c r="V401" s="354">
        <f t="shared" si="465"/>
        <v>2.8922823283915104E-2</v>
      </c>
      <c r="W401" s="354">
        <f t="shared" si="466"/>
        <v>0.98661740590170477</v>
      </c>
      <c r="X401" s="354">
        <f t="shared" si="467"/>
        <v>7.7094481590445837E-2</v>
      </c>
      <c r="Y401" s="374">
        <f t="shared" si="468"/>
        <v>0.16017857767060473</v>
      </c>
      <c r="Z401" s="354">
        <f t="shared" si="469"/>
        <v>8.2629725321622063E-2</v>
      </c>
      <c r="AA401" s="354">
        <f t="shared" si="470"/>
        <v>7.754885234898265E-2</v>
      </c>
      <c r="AB401" s="374">
        <f t="shared" si="471"/>
        <v>0.87511897191802301</v>
      </c>
      <c r="AC401" s="354">
        <f t="shared" si="472"/>
        <v>0.24835226974247399</v>
      </c>
      <c r="AD401" s="354">
        <f t="shared" si="473"/>
        <v>0.54060772410391433</v>
      </c>
      <c r="AE401" s="354">
        <f t="shared" si="474"/>
        <v>8.6158978071634681E-2</v>
      </c>
      <c r="AF401" s="374">
        <f t="shared" si="475"/>
        <v>0.70040078497670932</v>
      </c>
      <c r="AG401" s="354">
        <f t="shared" si="476"/>
        <v>4.5012448680759973E-2</v>
      </c>
      <c r="AH401" s="354">
        <f t="shared" si="477"/>
        <v>0.22647572444606406</v>
      </c>
      <c r="AI401" s="354">
        <f t="shared" si="478"/>
        <v>0</v>
      </c>
      <c r="AJ401" s="354">
        <f t="shared" si="479"/>
        <v>0.42891261184988533</v>
      </c>
      <c r="AK401" s="374">
        <f t="shared" si="480"/>
        <v>0.46260984422980422</v>
      </c>
      <c r="AL401" s="354">
        <f t="shared" si="481"/>
        <v>0.13254079117769996</v>
      </c>
      <c r="AM401" s="354">
        <f t="shared" si="482"/>
        <v>0.31260572013332766</v>
      </c>
      <c r="AN401" s="354">
        <f t="shared" si="483"/>
        <v>1.7463332918776595E-2</v>
      </c>
      <c r="AO401" s="374">
        <f t="shared" si="484"/>
        <v>0.26824208885659384</v>
      </c>
      <c r="AP401" s="354">
        <f t="shared" si="485"/>
        <v>6.1510732444196491E-2</v>
      </c>
      <c r="AQ401" s="354">
        <f t="shared" si="486"/>
        <v>0.20673135641239737</v>
      </c>
      <c r="AR401" s="374">
        <f t="shared" si="487"/>
        <v>0.48935167158369575</v>
      </c>
      <c r="AS401" s="354">
        <f t="shared" si="488"/>
        <v>0.21205269187158191</v>
      </c>
      <c r="AT401" s="354">
        <f t="shared" si="489"/>
        <v>0.27729897971211387</v>
      </c>
      <c r="AU401" s="355" t="s">
        <v>396</v>
      </c>
      <c r="AV401" s="354" t="s">
        <v>346</v>
      </c>
      <c r="AW401" s="353">
        <v>0</v>
      </c>
      <c r="AX401" s="353">
        <v>0</v>
      </c>
      <c r="AY401" s="353">
        <v>0</v>
      </c>
      <c r="AZ401" s="353">
        <v>0</v>
      </c>
      <c r="BA401" s="353">
        <v>0</v>
      </c>
      <c r="BB401" s="353">
        <v>0</v>
      </c>
    </row>
    <row r="402" spans="1:54" x14ac:dyDescent="0.25">
      <c r="A402" s="348" t="s">
        <v>928</v>
      </c>
      <c r="B402" s="349">
        <v>19</v>
      </c>
      <c r="C402" s="607">
        <v>45108</v>
      </c>
      <c r="D402" s="351">
        <v>45138</v>
      </c>
      <c r="E402" s="352"/>
      <c r="F402" s="352">
        <v>6</v>
      </c>
      <c r="G402" s="429" t="s">
        <v>306</v>
      </c>
      <c r="H402" s="353" t="s">
        <v>929</v>
      </c>
      <c r="I402" s="350" t="s">
        <v>393</v>
      </c>
      <c r="J402" s="560">
        <f>65470/5</f>
        <v>13094</v>
      </c>
      <c r="K402" s="350" t="s">
        <v>394</v>
      </c>
      <c r="L402" s="354">
        <v>2803.6597999999999</v>
      </c>
      <c r="M402" s="560">
        <f t="shared" si="458"/>
        <v>4.6703241242036571</v>
      </c>
      <c r="N402" s="354" t="s">
        <v>395</v>
      </c>
      <c r="O402" s="354">
        <v>0</v>
      </c>
      <c r="P402" s="374">
        <f t="shared" si="459"/>
        <v>0.29426841219684413</v>
      </c>
      <c r="Q402" s="354">
        <f t="shared" si="460"/>
        <v>2.7754000399086286E-2</v>
      </c>
      <c r="R402" s="354">
        <f t="shared" si="461"/>
        <v>4.6785172485266417E-2</v>
      </c>
      <c r="S402" s="354">
        <f t="shared" si="462"/>
        <v>4.1675605190415799E-2</v>
      </c>
      <c r="T402" s="354">
        <f t="shared" si="463"/>
        <v>0.17784572992671979</v>
      </c>
      <c r="U402" s="374">
        <f t="shared" si="464"/>
        <v>1.1810268204475649</v>
      </c>
      <c r="V402" s="354">
        <f t="shared" si="465"/>
        <v>3.1262625728874387E-2</v>
      </c>
      <c r="W402" s="354">
        <f t="shared" si="466"/>
        <v>1.0664329133958164</v>
      </c>
      <c r="X402" s="354">
        <f t="shared" si="467"/>
        <v>8.3331281322874165E-2</v>
      </c>
      <c r="Y402" s="374">
        <f t="shared" si="468"/>
        <v>0.17313672577339426</v>
      </c>
      <c r="Z402" s="354">
        <f t="shared" si="469"/>
        <v>8.9314315945296291E-2</v>
      </c>
      <c r="AA402" s="354">
        <f t="shared" si="470"/>
        <v>8.3822409828097966E-2</v>
      </c>
      <c r="AB402" s="374">
        <f t="shared" si="471"/>
        <v>0.94591446411545255</v>
      </c>
      <c r="AC402" s="354">
        <f t="shared" si="472"/>
        <v>0.26844350503615272</v>
      </c>
      <c r="AD402" s="354">
        <f t="shared" si="473"/>
        <v>0.58434188042072421</v>
      </c>
      <c r="AE402" s="354">
        <f t="shared" si="474"/>
        <v>9.3129078658575559E-2</v>
      </c>
      <c r="AF402" s="374">
        <f t="shared" si="475"/>
        <v>0.75706190180658994</v>
      </c>
      <c r="AG402" s="354">
        <f t="shared" si="476"/>
        <v>4.8653871803357354E-2</v>
      </c>
      <c r="AH402" s="354">
        <f t="shared" si="477"/>
        <v>0.24479718803836573</v>
      </c>
      <c r="AI402" s="354">
        <f t="shared" si="478"/>
        <v>0</v>
      </c>
      <c r="AJ402" s="354">
        <f t="shared" si="479"/>
        <v>0.4636108419648669</v>
      </c>
      <c r="AK402" s="374">
        <f t="shared" si="480"/>
        <v>0.50003411757842631</v>
      </c>
      <c r="AL402" s="354">
        <f t="shared" si="481"/>
        <v>0.14326309391454542</v>
      </c>
      <c r="AM402" s="354">
        <f t="shared" si="482"/>
        <v>0.33789493969174444</v>
      </c>
      <c r="AN402" s="354">
        <f t="shared" si="483"/>
        <v>1.8876083972136432E-2</v>
      </c>
      <c r="AO402" s="374">
        <f t="shared" si="484"/>
        <v>0.28994237340995865</v>
      </c>
      <c r="AP402" s="354">
        <f t="shared" si="485"/>
        <v>6.6486835943892084E-2</v>
      </c>
      <c r="AQ402" s="354">
        <f t="shared" si="486"/>
        <v>0.22345553746606658</v>
      </c>
      <c r="AR402" s="374">
        <f t="shared" si="487"/>
        <v>0.52893930887542606</v>
      </c>
      <c r="AS402" s="354">
        <f t="shared" si="488"/>
        <v>0.2292073590363623</v>
      </c>
      <c r="AT402" s="354">
        <f t="shared" si="489"/>
        <v>0.29973194983906376</v>
      </c>
      <c r="AU402" s="355" t="s">
        <v>396</v>
      </c>
      <c r="AV402" s="354" t="s">
        <v>346</v>
      </c>
      <c r="AW402" s="353">
        <v>0</v>
      </c>
      <c r="AX402" s="353">
        <v>0</v>
      </c>
      <c r="AY402" s="353">
        <v>0</v>
      </c>
      <c r="AZ402" s="353">
        <v>0</v>
      </c>
      <c r="BA402" s="353">
        <v>0</v>
      </c>
      <c r="BB402" s="353">
        <v>0</v>
      </c>
    </row>
    <row r="403" spans="1:54" x14ac:dyDescent="0.25">
      <c r="A403" s="348" t="s">
        <v>928</v>
      </c>
      <c r="B403" s="349">
        <v>19</v>
      </c>
      <c r="C403" s="607">
        <v>45108</v>
      </c>
      <c r="D403" s="351">
        <v>45138</v>
      </c>
      <c r="E403" s="352"/>
      <c r="F403" s="352">
        <v>6</v>
      </c>
      <c r="G403" s="429" t="s">
        <v>306</v>
      </c>
      <c r="H403" s="353" t="s">
        <v>930</v>
      </c>
      <c r="I403" s="350" t="s">
        <v>393</v>
      </c>
      <c r="J403" s="560">
        <f t="shared" ref="J403:J406" si="490">65470/5</f>
        <v>13094</v>
      </c>
      <c r="K403" s="350" t="s">
        <v>394</v>
      </c>
      <c r="L403" s="354">
        <v>2803.6597999999999</v>
      </c>
      <c r="M403" s="560">
        <f t="shared" si="458"/>
        <v>4.6703241242036571</v>
      </c>
      <c r="N403" s="354" t="s">
        <v>395</v>
      </c>
      <c r="O403" s="354">
        <v>0</v>
      </c>
      <c r="P403" s="374">
        <f t="shared" si="459"/>
        <v>0.29426841219684413</v>
      </c>
      <c r="Q403" s="354">
        <f t="shared" si="460"/>
        <v>2.7754000399086286E-2</v>
      </c>
      <c r="R403" s="354">
        <f t="shared" si="461"/>
        <v>4.6785172485266417E-2</v>
      </c>
      <c r="S403" s="354">
        <f t="shared" si="462"/>
        <v>4.1675605190415799E-2</v>
      </c>
      <c r="T403" s="354">
        <f t="shared" si="463"/>
        <v>0.17784572992671979</v>
      </c>
      <c r="U403" s="374">
        <f t="shared" si="464"/>
        <v>1.1810268204475649</v>
      </c>
      <c r="V403" s="354">
        <f t="shared" si="465"/>
        <v>3.1262625728874387E-2</v>
      </c>
      <c r="W403" s="354">
        <f t="shared" si="466"/>
        <v>1.0664329133958164</v>
      </c>
      <c r="X403" s="354">
        <f t="shared" si="467"/>
        <v>8.3331281322874165E-2</v>
      </c>
      <c r="Y403" s="374">
        <f t="shared" si="468"/>
        <v>0.17313672577339426</v>
      </c>
      <c r="Z403" s="354">
        <f t="shared" si="469"/>
        <v>8.9314315945296291E-2</v>
      </c>
      <c r="AA403" s="354">
        <f t="shared" si="470"/>
        <v>8.3822409828097966E-2</v>
      </c>
      <c r="AB403" s="374">
        <f t="shared" si="471"/>
        <v>0.94591446411545255</v>
      </c>
      <c r="AC403" s="354">
        <f t="shared" si="472"/>
        <v>0.26844350503615272</v>
      </c>
      <c r="AD403" s="354">
        <f t="shared" si="473"/>
        <v>0.58434188042072421</v>
      </c>
      <c r="AE403" s="354">
        <f t="shared" si="474"/>
        <v>9.3129078658575559E-2</v>
      </c>
      <c r="AF403" s="374">
        <f t="shared" si="475"/>
        <v>0.75706190180658994</v>
      </c>
      <c r="AG403" s="354">
        <f t="shared" si="476"/>
        <v>4.8653871803357354E-2</v>
      </c>
      <c r="AH403" s="354">
        <f t="shared" si="477"/>
        <v>0.24479718803836573</v>
      </c>
      <c r="AI403" s="354">
        <f t="shared" si="478"/>
        <v>0</v>
      </c>
      <c r="AJ403" s="354">
        <f t="shared" si="479"/>
        <v>0.4636108419648669</v>
      </c>
      <c r="AK403" s="374">
        <f t="shared" si="480"/>
        <v>0.50003411757842631</v>
      </c>
      <c r="AL403" s="354">
        <f t="shared" si="481"/>
        <v>0.14326309391454542</v>
      </c>
      <c r="AM403" s="354">
        <f t="shared" si="482"/>
        <v>0.33789493969174444</v>
      </c>
      <c r="AN403" s="354">
        <f t="shared" si="483"/>
        <v>1.8876083972136432E-2</v>
      </c>
      <c r="AO403" s="374">
        <f t="shared" si="484"/>
        <v>0.28994237340995865</v>
      </c>
      <c r="AP403" s="354">
        <f t="shared" si="485"/>
        <v>6.6486835943892084E-2</v>
      </c>
      <c r="AQ403" s="354">
        <f t="shared" si="486"/>
        <v>0.22345553746606658</v>
      </c>
      <c r="AR403" s="374">
        <f t="shared" si="487"/>
        <v>0.52893930887542606</v>
      </c>
      <c r="AS403" s="354">
        <f t="shared" si="488"/>
        <v>0.2292073590363623</v>
      </c>
      <c r="AT403" s="354">
        <f t="shared" si="489"/>
        <v>0.29973194983906376</v>
      </c>
      <c r="AU403" s="355" t="s">
        <v>396</v>
      </c>
      <c r="AV403" s="354" t="s">
        <v>346</v>
      </c>
      <c r="AW403" s="353">
        <v>0</v>
      </c>
      <c r="AX403" s="353">
        <v>0</v>
      </c>
      <c r="AY403" s="353">
        <v>0</v>
      </c>
      <c r="AZ403" s="353">
        <v>0</v>
      </c>
      <c r="BA403" s="353">
        <v>0</v>
      </c>
      <c r="BB403" s="353">
        <v>0</v>
      </c>
    </row>
    <row r="404" spans="1:54" x14ac:dyDescent="0.25">
      <c r="A404" s="348" t="s">
        <v>928</v>
      </c>
      <c r="B404" s="349">
        <v>19</v>
      </c>
      <c r="C404" s="607">
        <v>45108</v>
      </c>
      <c r="D404" s="351">
        <v>45138</v>
      </c>
      <c r="E404" s="352"/>
      <c r="F404" s="352">
        <v>6</v>
      </c>
      <c r="G404" s="429" t="s">
        <v>306</v>
      </c>
      <c r="H404" s="353" t="s">
        <v>931</v>
      </c>
      <c r="I404" s="350" t="s">
        <v>393</v>
      </c>
      <c r="J404" s="560">
        <f t="shared" si="490"/>
        <v>13094</v>
      </c>
      <c r="K404" s="350" t="s">
        <v>394</v>
      </c>
      <c r="L404" s="354">
        <v>2803.6597999999999</v>
      </c>
      <c r="M404" s="560">
        <f t="shared" si="458"/>
        <v>4.6703241242036571</v>
      </c>
      <c r="N404" s="354" t="s">
        <v>395</v>
      </c>
      <c r="O404" s="354">
        <v>0</v>
      </c>
      <c r="P404" s="374">
        <f t="shared" si="459"/>
        <v>0.29426841219684413</v>
      </c>
      <c r="Q404" s="354">
        <f t="shared" si="460"/>
        <v>2.7754000399086286E-2</v>
      </c>
      <c r="R404" s="354">
        <f t="shared" si="461"/>
        <v>4.6785172485266417E-2</v>
      </c>
      <c r="S404" s="354">
        <f t="shared" si="462"/>
        <v>4.1675605190415799E-2</v>
      </c>
      <c r="T404" s="354">
        <f t="shared" si="463"/>
        <v>0.17784572992671979</v>
      </c>
      <c r="U404" s="374">
        <f t="shared" si="464"/>
        <v>1.1810268204475649</v>
      </c>
      <c r="V404" s="354">
        <f t="shared" si="465"/>
        <v>3.1262625728874387E-2</v>
      </c>
      <c r="W404" s="354">
        <f t="shared" si="466"/>
        <v>1.0664329133958164</v>
      </c>
      <c r="X404" s="354">
        <f t="shared" si="467"/>
        <v>8.3331281322874165E-2</v>
      </c>
      <c r="Y404" s="374">
        <f t="shared" si="468"/>
        <v>0.17313672577339426</v>
      </c>
      <c r="Z404" s="354">
        <f t="shared" si="469"/>
        <v>8.9314315945296291E-2</v>
      </c>
      <c r="AA404" s="354">
        <f t="shared" si="470"/>
        <v>8.3822409828097966E-2</v>
      </c>
      <c r="AB404" s="374">
        <f t="shared" si="471"/>
        <v>0.94591446411545255</v>
      </c>
      <c r="AC404" s="354">
        <f t="shared" si="472"/>
        <v>0.26844350503615272</v>
      </c>
      <c r="AD404" s="354">
        <f t="shared" si="473"/>
        <v>0.58434188042072421</v>
      </c>
      <c r="AE404" s="354">
        <f t="shared" si="474"/>
        <v>9.3129078658575559E-2</v>
      </c>
      <c r="AF404" s="374">
        <f t="shared" si="475"/>
        <v>0.75706190180658994</v>
      </c>
      <c r="AG404" s="354">
        <f t="shared" si="476"/>
        <v>4.8653871803357354E-2</v>
      </c>
      <c r="AH404" s="354">
        <f t="shared" si="477"/>
        <v>0.24479718803836573</v>
      </c>
      <c r="AI404" s="354">
        <f t="shared" si="478"/>
        <v>0</v>
      </c>
      <c r="AJ404" s="354">
        <f t="shared" si="479"/>
        <v>0.4636108419648669</v>
      </c>
      <c r="AK404" s="374">
        <f t="shared" si="480"/>
        <v>0.50003411757842631</v>
      </c>
      <c r="AL404" s="354">
        <f t="shared" si="481"/>
        <v>0.14326309391454542</v>
      </c>
      <c r="AM404" s="354">
        <f t="shared" si="482"/>
        <v>0.33789493969174444</v>
      </c>
      <c r="AN404" s="354">
        <f t="shared" si="483"/>
        <v>1.8876083972136432E-2</v>
      </c>
      <c r="AO404" s="374">
        <f t="shared" si="484"/>
        <v>0.28994237340995865</v>
      </c>
      <c r="AP404" s="354">
        <f t="shared" si="485"/>
        <v>6.6486835943892084E-2</v>
      </c>
      <c r="AQ404" s="354">
        <f t="shared" si="486"/>
        <v>0.22345553746606658</v>
      </c>
      <c r="AR404" s="374">
        <f t="shared" si="487"/>
        <v>0.52893930887542606</v>
      </c>
      <c r="AS404" s="354">
        <f t="shared" si="488"/>
        <v>0.2292073590363623</v>
      </c>
      <c r="AT404" s="354">
        <f t="shared" si="489"/>
        <v>0.29973194983906376</v>
      </c>
      <c r="AU404" s="355" t="s">
        <v>396</v>
      </c>
      <c r="AV404" s="354" t="s">
        <v>346</v>
      </c>
      <c r="AW404" s="353">
        <v>0</v>
      </c>
      <c r="AX404" s="353">
        <v>0</v>
      </c>
      <c r="AY404" s="353">
        <v>0</v>
      </c>
      <c r="AZ404" s="353">
        <v>0</v>
      </c>
      <c r="BA404" s="353">
        <v>0</v>
      </c>
      <c r="BB404" s="353">
        <v>0</v>
      </c>
    </row>
    <row r="405" spans="1:54" x14ac:dyDescent="0.25">
      <c r="A405" s="348" t="s">
        <v>928</v>
      </c>
      <c r="B405" s="349">
        <v>19</v>
      </c>
      <c r="C405" s="607">
        <v>45108</v>
      </c>
      <c r="D405" s="351">
        <v>45138</v>
      </c>
      <c r="E405" s="352"/>
      <c r="F405" s="352">
        <v>6</v>
      </c>
      <c r="G405" s="429" t="s">
        <v>306</v>
      </c>
      <c r="H405" s="353" t="s">
        <v>932</v>
      </c>
      <c r="I405" s="350" t="s">
        <v>393</v>
      </c>
      <c r="J405" s="560">
        <f t="shared" si="490"/>
        <v>13094</v>
      </c>
      <c r="K405" s="350" t="s">
        <v>394</v>
      </c>
      <c r="L405" s="354">
        <v>2803.6597999999999</v>
      </c>
      <c r="M405" s="560">
        <f t="shared" si="458"/>
        <v>4.6703241242036571</v>
      </c>
      <c r="N405" s="354" t="s">
        <v>395</v>
      </c>
      <c r="O405" s="354">
        <v>0</v>
      </c>
      <c r="P405" s="374">
        <f t="shared" si="459"/>
        <v>0.29426841219684413</v>
      </c>
      <c r="Q405" s="354">
        <f t="shared" si="460"/>
        <v>2.7754000399086286E-2</v>
      </c>
      <c r="R405" s="354">
        <f t="shared" si="461"/>
        <v>4.6785172485266417E-2</v>
      </c>
      <c r="S405" s="354">
        <f t="shared" si="462"/>
        <v>4.1675605190415799E-2</v>
      </c>
      <c r="T405" s="354">
        <f t="shared" si="463"/>
        <v>0.17784572992671979</v>
      </c>
      <c r="U405" s="374">
        <f t="shared" si="464"/>
        <v>1.1810268204475649</v>
      </c>
      <c r="V405" s="354">
        <f t="shared" si="465"/>
        <v>3.1262625728874387E-2</v>
      </c>
      <c r="W405" s="354">
        <f t="shared" si="466"/>
        <v>1.0664329133958164</v>
      </c>
      <c r="X405" s="354">
        <f t="shared" si="467"/>
        <v>8.3331281322874165E-2</v>
      </c>
      <c r="Y405" s="374">
        <f t="shared" si="468"/>
        <v>0.17313672577339426</v>
      </c>
      <c r="Z405" s="354">
        <f t="shared" si="469"/>
        <v>8.9314315945296291E-2</v>
      </c>
      <c r="AA405" s="354">
        <f t="shared" si="470"/>
        <v>8.3822409828097966E-2</v>
      </c>
      <c r="AB405" s="374">
        <f t="shared" si="471"/>
        <v>0.94591446411545255</v>
      </c>
      <c r="AC405" s="354">
        <f t="shared" si="472"/>
        <v>0.26844350503615272</v>
      </c>
      <c r="AD405" s="354">
        <f t="shared" si="473"/>
        <v>0.58434188042072421</v>
      </c>
      <c r="AE405" s="354">
        <f t="shared" si="474"/>
        <v>9.3129078658575559E-2</v>
      </c>
      <c r="AF405" s="374">
        <f t="shared" si="475"/>
        <v>0.75706190180658994</v>
      </c>
      <c r="AG405" s="354">
        <f t="shared" si="476"/>
        <v>4.8653871803357354E-2</v>
      </c>
      <c r="AH405" s="354">
        <f t="shared" si="477"/>
        <v>0.24479718803836573</v>
      </c>
      <c r="AI405" s="354">
        <f t="shared" si="478"/>
        <v>0</v>
      </c>
      <c r="AJ405" s="354">
        <f t="shared" si="479"/>
        <v>0.4636108419648669</v>
      </c>
      <c r="AK405" s="374">
        <f t="shared" si="480"/>
        <v>0.50003411757842631</v>
      </c>
      <c r="AL405" s="354">
        <f t="shared" si="481"/>
        <v>0.14326309391454542</v>
      </c>
      <c r="AM405" s="354">
        <f t="shared" si="482"/>
        <v>0.33789493969174444</v>
      </c>
      <c r="AN405" s="354">
        <f t="shared" si="483"/>
        <v>1.8876083972136432E-2</v>
      </c>
      <c r="AO405" s="374">
        <f t="shared" si="484"/>
        <v>0.28994237340995865</v>
      </c>
      <c r="AP405" s="354">
        <f t="shared" si="485"/>
        <v>6.6486835943892084E-2</v>
      </c>
      <c r="AQ405" s="354">
        <f t="shared" si="486"/>
        <v>0.22345553746606658</v>
      </c>
      <c r="AR405" s="374">
        <f t="shared" si="487"/>
        <v>0.52893930887542606</v>
      </c>
      <c r="AS405" s="354">
        <f t="shared" si="488"/>
        <v>0.2292073590363623</v>
      </c>
      <c r="AT405" s="354">
        <f t="shared" si="489"/>
        <v>0.29973194983906376</v>
      </c>
      <c r="AU405" s="355" t="s">
        <v>396</v>
      </c>
      <c r="AV405" s="354" t="s">
        <v>346</v>
      </c>
      <c r="AW405" s="353">
        <v>0</v>
      </c>
      <c r="AX405" s="353">
        <v>0</v>
      </c>
      <c r="AY405" s="353">
        <v>0</v>
      </c>
      <c r="AZ405" s="353">
        <v>0</v>
      </c>
      <c r="BA405" s="353">
        <v>0</v>
      </c>
      <c r="BB405" s="353">
        <v>0</v>
      </c>
    </row>
    <row r="406" spans="1:54" x14ac:dyDescent="0.25">
      <c r="A406" s="348" t="s">
        <v>928</v>
      </c>
      <c r="B406" s="349">
        <v>19</v>
      </c>
      <c r="C406" s="607">
        <v>45108</v>
      </c>
      <c r="D406" s="351">
        <v>45138</v>
      </c>
      <c r="E406" s="352"/>
      <c r="F406" s="352">
        <v>6</v>
      </c>
      <c r="G406" s="429" t="s">
        <v>306</v>
      </c>
      <c r="H406" s="353" t="s">
        <v>933</v>
      </c>
      <c r="I406" s="350" t="s">
        <v>393</v>
      </c>
      <c r="J406" s="560">
        <f t="shared" si="490"/>
        <v>13094</v>
      </c>
      <c r="K406" s="350" t="s">
        <v>394</v>
      </c>
      <c r="L406" s="354">
        <v>2803.6597999999999</v>
      </c>
      <c r="M406" s="560">
        <f t="shared" si="458"/>
        <v>4.6703241242036571</v>
      </c>
      <c r="N406" s="354" t="s">
        <v>395</v>
      </c>
      <c r="O406" s="354">
        <v>0</v>
      </c>
      <c r="P406" s="374">
        <f t="shared" si="459"/>
        <v>0.29426841219684413</v>
      </c>
      <c r="Q406" s="354">
        <f t="shared" si="460"/>
        <v>2.7754000399086286E-2</v>
      </c>
      <c r="R406" s="354">
        <f t="shared" si="461"/>
        <v>4.6785172485266417E-2</v>
      </c>
      <c r="S406" s="354">
        <f t="shared" si="462"/>
        <v>4.1675605190415799E-2</v>
      </c>
      <c r="T406" s="354">
        <f t="shared" si="463"/>
        <v>0.17784572992671979</v>
      </c>
      <c r="U406" s="374">
        <f t="shared" si="464"/>
        <v>1.1810268204475649</v>
      </c>
      <c r="V406" s="354">
        <f t="shared" si="465"/>
        <v>3.1262625728874387E-2</v>
      </c>
      <c r="W406" s="354">
        <f t="shared" si="466"/>
        <v>1.0664329133958164</v>
      </c>
      <c r="X406" s="354">
        <f t="shared" si="467"/>
        <v>8.3331281322874165E-2</v>
      </c>
      <c r="Y406" s="374">
        <f t="shared" si="468"/>
        <v>0.17313672577339426</v>
      </c>
      <c r="Z406" s="354">
        <f t="shared" si="469"/>
        <v>8.9314315945296291E-2</v>
      </c>
      <c r="AA406" s="354">
        <f t="shared" si="470"/>
        <v>8.3822409828097966E-2</v>
      </c>
      <c r="AB406" s="374">
        <f t="shared" si="471"/>
        <v>0.94591446411545255</v>
      </c>
      <c r="AC406" s="354">
        <f t="shared" si="472"/>
        <v>0.26844350503615272</v>
      </c>
      <c r="AD406" s="354">
        <f t="shared" si="473"/>
        <v>0.58434188042072421</v>
      </c>
      <c r="AE406" s="354">
        <f t="shared" si="474"/>
        <v>9.3129078658575559E-2</v>
      </c>
      <c r="AF406" s="374">
        <f t="shared" si="475"/>
        <v>0.75706190180658994</v>
      </c>
      <c r="AG406" s="354">
        <f t="shared" si="476"/>
        <v>4.8653871803357354E-2</v>
      </c>
      <c r="AH406" s="354">
        <f t="shared" si="477"/>
        <v>0.24479718803836573</v>
      </c>
      <c r="AI406" s="354">
        <f t="shared" si="478"/>
        <v>0</v>
      </c>
      <c r="AJ406" s="354">
        <f t="shared" si="479"/>
        <v>0.4636108419648669</v>
      </c>
      <c r="AK406" s="374">
        <f t="shared" si="480"/>
        <v>0.50003411757842631</v>
      </c>
      <c r="AL406" s="354">
        <f t="shared" si="481"/>
        <v>0.14326309391454542</v>
      </c>
      <c r="AM406" s="354">
        <f t="shared" si="482"/>
        <v>0.33789493969174444</v>
      </c>
      <c r="AN406" s="354">
        <f t="shared" si="483"/>
        <v>1.8876083972136432E-2</v>
      </c>
      <c r="AO406" s="374">
        <f t="shared" si="484"/>
        <v>0.28994237340995865</v>
      </c>
      <c r="AP406" s="354">
        <f t="shared" si="485"/>
        <v>6.6486835943892084E-2</v>
      </c>
      <c r="AQ406" s="354">
        <f t="shared" si="486"/>
        <v>0.22345553746606658</v>
      </c>
      <c r="AR406" s="374">
        <f t="shared" si="487"/>
        <v>0.52893930887542606</v>
      </c>
      <c r="AS406" s="354">
        <f t="shared" si="488"/>
        <v>0.2292073590363623</v>
      </c>
      <c r="AT406" s="354">
        <f t="shared" si="489"/>
        <v>0.29973194983906376</v>
      </c>
      <c r="AU406" s="355" t="s">
        <v>396</v>
      </c>
      <c r="AV406" s="354" t="s">
        <v>346</v>
      </c>
      <c r="AW406" s="353">
        <v>0</v>
      </c>
      <c r="AX406" s="353">
        <v>0</v>
      </c>
      <c r="AY406" s="353">
        <v>0</v>
      </c>
      <c r="AZ406" s="353">
        <v>0</v>
      </c>
      <c r="BA406" s="353">
        <v>0</v>
      </c>
      <c r="BB406" s="353">
        <v>0</v>
      </c>
    </row>
    <row r="407" spans="1:54" x14ac:dyDescent="0.25">
      <c r="A407" s="348" t="s">
        <v>928</v>
      </c>
      <c r="B407" s="349">
        <v>19</v>
      </c>
      <c r="C407" s="607">
        <v>45108</v>
      </c>
      <c r="D407" s="351">
        <v>45138</v>
      </c>
      <c r="E407" s="352"/>
      <c r="F407" s="352">
        <v>6</v>
      </c>
      <c r="G407" s="429" t="s">
        <v>308</v>
      </c>
      <c r="H407" s="353" t="s">
        <v>934</v>
      </c>
      <c r="I407" s="350" t="s">
        <v>393</v>
      </c>
      <c r="J407" s="560">
        <f>65471/5</f>
        <v>13094.2</v>
      </c>
      <c r="K407" s="350" t="s">
        <v>394</v>
      </c>
      <c r="L407" s="354">
        <v>2803.6597999999999</v>
      </c>
      <c r="M407" s="560">
        <f t="shared" si="458"/>
        <v>4.6703954595347126</v>
      </c>
      <c r="N407" s="354" t="s">
        <v>395</v>
      </c>
      <c r="O407" s="354">
        <v>0</v>
      </c>
      <c r="P407" s="374">
        <f t="shared" si="459"/>
        <v>0.29427290690300267</v>
      </c>
      <c r="Q407" s="354">
        <f t="shared" si="460"/>
        <v>2.775442431844476E-2</v>
      </c>
      <c r="R407" s="354">
        <f t="shared" si="461"/>
        <v>4.6785887090008832E-2</v>
      </c>
      <c r="S407" s="354">
        <f t="shared" si="462"/>
        <v>4.1676241750751693E-2</v>
      </c>
      <c r="T407" s="354">
        <f t="shared" si="463"/>
        <v>0.17784844637287725</v>
      </c>
      <c r="U407" s="374">
        <f t="shared" si="464"/>
        <v>1.1810448596536203</v>
      </c>
      <c r="V407" s="354">
        <f t="shared" si="465"/>
        <v>3.1263103239577435E-2</v>
      </c>
      <c r="W407" s="354">
        <f t="shared" si="466"/>
        <v>1.0664492022748968</v>
      </c>
      <c r="X407" s="354">
        <f t="shared" si="467"/>
        <v>8.3332554139146087E-2</v>
      </c>
      <c r="Y407" s="374">
        <f t="shared" si="468"/>
        <v>0.17313937029341522</v>
      </c>
      <c r="Z407" s="354">
        <f t="shared" si="469"/>
        <v>8.9315680147464382E-2</v>
      </c>
      <c r="AA407" s="354">
        <f t="shared" si="470"/>
        <v>8.3823690145950841E-2</v>
      </c>
      <c r="AB407" s="374">
        <f t="shared" si="471"/>
        <v>0.94592891217508468</v>
      </c>
      <c r="AC407" s="354">
        <f t="shared" si="472"/>
        <v>0.26844760528825345</v>
      </c>
      <c r="AD407" s="354">
        <f t="shared" si="473"/>
        <v>0.58435080575874809</v>
      </c>
      <c r="AE407" s="354">
        <f t="shared" si="474"/>
        <v>9.3130501128083104E-2</v>
      </c>
      <c r="AF407" s="374">
        <f t="shared" si="475"/>
        <v>0.75707346529982056</v>
      </c>
      <c r="AG407" s="354">
        <f t="shared" si="476"/>
        <v>4.8654614950933393E-2</v>
      </c>
      <c r="AH407" s="354">
        <f t="shared" si="477"/>
        <v>0.24480092711256826</v>
      </c>
      <c r="AI407" s="354">
        <f t="shared" si="478"/>
        <v>0</v>
      </c>
      <c r="AJ407" s="354">
        <f t="shared" si="479"/>
        <v>0.46361792323631895</v>
      </c>
      <c r="AK407" s="374">
        <f t="shared" si="480"/>
        <v>0.50004175518523208</v>
      </c>
      <c r="AL407" s="354">
        <f t="shared" si="481"/>
        <v>0.14326528213959375</v>
      </c>
      <c r="AM407" s="354">
        <f t="shared" si="482"/>
        <v>0.33790010075696042</v>
      </c>
      <c r="AN407" s="354">
        <f t="shared" si="483"/>
        <v>1.8876372288677931E-2</v>
      </c>
      <c r="AO407" s="374">
        <f t="shared" si="484"/>
        <v>0.28994680203945933</v>
      </c>
      <c r="AP407" s="354">
        <f t="shared" si="485"/>
        <v>6.6487851475218546E-2</v>
      </c>
      <c r="AQ407" s="354">
        <f t="shared" si="486"/>
        <v>0.22345895056424078</v>
      </c>
      <c r="AR407" s="374">
        <f t="shared" si="487"/>
        <v>0.52894738798507746</v>
      </c>
      <c r="AS407" s="354">
        <f t="shared" si="488"/>
        <v>0.22921085998884491</v>
      </c>
      <c r="AT407" s="354">
        <f t="shared" si="489"/>
        <v>0.29973652799623257</v>
      </c>
      <c r="AU407" s="355" t="s">
        <v>396</v>
      </c>
      <c r="AV407" s="354" t="s">
        <v>346</v>
      </c>
      <c r="AW407" s="353">
        <v>0</v>
      </c>
      <c r="AX407" s="353">
        <v>0</v>
      </c>
      <c r="AY407" s="353">
        <v>0</v>
      </c>
      <c r="AZ407" s="353">
        <v>0</v>
      </c>
      <c r="BA407" s="353">
        <v>0</v>
      </c>
      <c r="BB407" s="353">
        <v>0</v>
      </c>
    </row>
    <row r="408" spans="1:54" x14ac:dyDescent="0.25">
      <c r="A408" s="348" t="s">
        <v>928</v>
      </c>
      <c r="B408" s="349">
        <v>19</v>
      </c>
      <c r="C408" s="607">
        <v>45108</v>
      </c>
      <c r="D408" s="351">
        <v>45138</v>
      </c>
      <c r="E408" s="352"/>
      <c r="F408" s="352">
        <v>6</v>
      </c>
      <c r="G408" s="429" t="s">
        <v>308</v>
      </c>
      <c r="H408" s="353" t="s">
        <v>935</v>
      </c>
      <c r="I408" s="350" t="s">
        <v>393</v>
      </c>
      <c r="J408" s="560">
        <f t="shared" ref="J408:J411" si="491">65471/5</f>
        <v>13094.2</v>
      </c>
      <c r="K408" s="350" t="s">
        <v>394</v>
      </c>
      <c r="L408" s="354">
        <v>2803.6597999999999</v>
      </c>
      <c r="M408" s="560">
        <f t="shared" si="458"/>
        <v>4.6703954595347126</v>
      </c>
      <c r="N408" s="354" t="s">
        <v>395</v>
      </c>
      <c r="O408" s="354">
        <v>0</v>
      </c>
      <c r="P408" s="374">
        <f t="shared" si="459"/>
        <v>0.29427290690300267</v>
      </c>
      <c r="Q408" s="354">
        <f t="shared" si="460"/>
        <v>2.775442431844476E-2</v>
      </c>
      <c r="R408" s="354">
        <f t="shared" si="461"/>
        <v>4.6785887090008832E-2</v>
      </c>
      <c r="S408" s="354">
        <f t="shared" si="462"/>
        <v>4.1676241750751693E-2</v>
      </c>
      <c r="T408" s="354">
        <f t="shared" si="463"/>
        <v>0.17784844637287725</v>
      </c>
      <c r="U408" s="374">
        <f t="shared" si="464"/>
        <v>1.1810448596536203</v>
      </c>
      <c r="V408" s="354">
        <f t="shared" si="465"/>
        <v>3.1263103239577435E-2</v>
      </c>
      <c r="W408" s="354">
        <f t="shared" si="466"/>
        <v>1.0664492022748968</v>
      </c>
      <c r="X408" s="354">
        <f t="shared" si="467"/>
        <v>8.3332554139146087E-2</v>
      </c>
      <c r="Y408" s="374">
        <f t="shared" si="468"/>
        <v>0.17313937029341522</v>
      </c>
      <c r="Z408" s="354">
        <f t="shared" si="469"/>
        <v>8.9315680147464382E-2</v>
      </c>
      <c r="AA408" s="354">
        <f t="shared" si="470"/>
        <v>8.3823690145950841E-2</v>
      </c>
      <c r="AB408" s="374">
        <f t="shared" si="471"/>
        <v>0.94592891217508468</v>
      </c>
      <c r="AC408" s="354">
        <f t="shared" si="472"/>
        <v>0.26844760528825345</v>
      </c>
      <c r="AD408" s="354">
        <f t="shared" si="473"/>
        <v>0.58435080575874809</v>
      </c>
      <c r="AE408" s="354">
        <f t="shared" si="474"/>
        <v>9.3130501128083104E-2</v>
      </c>
      <c r="AF408" s="374">
        <f t="shared" si="475"/>
        <v>0.75707346529982056</v>
      </c>
      <c r="AG408" s="354">
        <f t="shared" si="476"/>
        <v>4.8654614950933393E-2</v>
      </c>
      <c r="AH408" s="354">
        <f t="shared" si="477"/>
        <v>0.24480092711256826</v>
      </c>
      <c r="AI408" s="354">
        <f t="shared" si="478"/>
        <v>0</v>
      </c>
      <c r="AJ408" s="354">
        <f t="shared" si="479"/>
        <v>0.46361792323631895</v>
      </c>
      <c r="AK408" s="374">
        <f t="shared" si="480"/>
        <v>0.50004175518523208</v>
      </c>
      <c r="AL408" s="354">
        <f t="shared" si="481"/>
        <v>0.14326528213959375</v>
      </c>
      <c r="AM408" s="354">
        <f t="shared" si="482"/>
        <v>0.33790010075696042</v>
      </c>
      <c r="AN408" s="354">
        <f t="shared" si="483"/>
        <v>1.8876372288677931E-2</v>
      </c>
      <c r="AO408" s="374">
        <f t="shared" si="484"/>
        <v>0.28994680203945933</v>
      </c>
      <c r="AP408" s="354">
        <f t="shared" si="485"/>
        <v>6.6487851475218546E-2</v>
      </c>
      <c r="AQ408" s="354">
        <f t="shared" si="486"/>
        <v>0.22345895056424078</v>
      </c>
      <c r="AR408" s="374">
        <f t="shared" si="487"/>
        <v>0.52894738798507746</v>
      </c>
      <c r="AS408" s="354">
        <f t="shared" si="488"/>
        <v>0.22921085998884491</v>
      </c>
      <c r="AT408" s="354">
        <f t="shared" si="489"/>
        <v>0.29973652799623257</v>
      </c>
      <c r="AU408" s="355" t="s">
        <v>396</v>
      </c>
      <c r="AV408" s="354" t="s">
        <v>346</v>
      </c>
      <c r="AW408" s="353">
        <v>0</v>
      </c>
      <c r="AX408" s="353">
        <v>0</v>
      </c>
      <c r="AY408" s="353">
        <v>0</v>
      </c>
      <c r="AZ408" s="353">
        <v>0</v>
      </c>
      <c r="BA408" s="353">
        <v>0</v>
      </c>
      <c r="BB408" s="353">
        <v>0</v>
      </c>
    </row>
    <row r="409" spans="1:54" x14ac:dyDescent="0.25">
      <c r="A409" s="348" t="s">
        <v>928</v>
      </c>
      <c r="B409" s="349">
        <v>19</v>
      </c>
      <c r="C409" s="607">
        <v>45108</v>
      </c>
      <c r="D409" s="351">
        <v>45138</v>
      </c>
      <c r="E409" s="352"/>
      <c r="F409" s="352">
        <v>6</v>
      </c>
      <c r="G409" s="429" t="s">
        <v>308</v>
      </c>
      <c r="H409" s="353" t="s">
        <v>936</v>
      </c>
      <c r="I409" s="350" t="s">
        <v>393</v>
      </c>
      <c r="J409" s="560">
        <f t="shared" si="491"/>
        <v>13094.2</v>
      </c>
      <c r="K409" s="350" t="s">
        <v>394</v>
      </c>
      <c r="L409" s="354">
        <v>2803.6597999999999</v>
      </c>
      <c r="M409" s="560">
        <f t="shared" si="458"/>
        <v>4.6703954595347126</v>
      </c>
      <c r="N409" s="354" t="s">
        <v>395</v>
      </c>
      <c r="O409" s="354">
        <v>0</v>
      </c>
      <c r="P409" s="374">
        <f t="shared" si="459"/>
        <v>0.29427290690300267</v>
      </c>
      <c r="Q409" s="354">
        <f t="shared" si="460"/>
        <v>2.775442431844476E-2</v>
      </c>
      <c r="R409" s="354">
        <f t="shared" si="461"/>
        <v>4.6785887090008832E-2</v>
      </c>
      <c r="S409" s="354">
        <f t="shared" si="462"/>
        <v>4.1676241750751693E-2</v>
      </c>
      <c r="T409" s="354">
        <f t="shared" si="463"/>
        <v>0.17784844637287725</v>
      </c>
      <c r="U409" s="374">
        <f t="shared" si="464"/>
        <v>1.1810448596536203</v>
      </c>
      <c r="V409" s="354">
        <f t="shared" si="465"/>
        <v>3.1263103239577435E-2</v>
      </c>
      <c r="W409" s="354">
        <f t="shared" si="466"/>
        <v>1.0664492022748968</v>
      </c>
      <c r="X409" s="354">
        <f t="shared" si="467"/>
        <v>8.3332554139146087E-2</v>
      </c>
      <c r="Y409" s="374">
        <f t="shared" si="468"/>
        <v>0.17313937029341522</v>
      </c>
      <c r="Z409" s="354">
        <f t="shared" si="469"/>
        <v>8.9315680147464382E-2</v>
      </c>
      <c r="AA409" s="354">
        <f t="shared" si="470"/>
        <v>8.3823690145950841E-2</v>
      </c>
      <c r="AB409" s="374">
        <f t="shared" si="471"/>
        <v>0.94592891217508468</v>
      </c>
      <c r="AC409" s="354">
        <f t="shared" si="472"/>
        <v>0.26844760528825345</v>
      </c>
      <c r="AD409" s="354">
        <f t="shared" si="473"/>
        <v>0.58435080575874809</v>
      </c>
      <c r="AE409" s="354">
        <f t="shared" si="474"/>
        <v>9.3130501128083104E-2</v>
      </c>
      <c r="AF409" s="374">
        <f t="shared" si="475"/>
        <v>0.75707346529982056</v>
      </c>
      <c r="AG409" s="354">
        <f t="shared" si="476"/>
        <v>4.8654614950933393E-2</v>
      </c>
      <c r="AH409" s="354">
        <f t="shared" si="477"/>
        <v>0.24480092711256826</v>
      </c>
      <c r="AI409" s="354">
        <f t="shared" si="478"/>
        <v>0</v>
      </c>
      <c r="AJ409" s="354">
        <f t="shared" si="479"/>
        <v>0.46361792323631895</v>
      </c>
      <c r="AK409" s="374">
        <f t="shared" si="480"/>
        <v>0.50004175518523208</v>
      </c>
      <c r="AL409" s="354">
        <f t="shared" si="481"/>
        <v>0.14326528213959375</v>
      </c>
      <c r="AM409" s="354">
        <f t="shared" si="482"/>
        <v>0.33790010075696042</v>
      </c>
      <c r="AN409" s="354">
        <f t="shared" si="483"/>
        <v>1.8876372288677931E-2</v>
      </c>
      <c r="AO409" s="374">
        <f t="shared" si="484"/>
        <v>0.28994680203945933</v>
      </c>
      <c r="AP409" s="354">
        <f t="shared" si="485"/>
        <v>6.6487851475218546E-2</v>
      </c>
      <c r="AQ409" s="354">
        <f t="shared" si="486"/>
        <v>0.22345895056424078</v>
      </c>
      <c r="AR409" s="374">
        <f t="shared" si="487"/>
        <v>0.52894738798507746</v>
      </c>
      <c r="AS409" s="354">
        <f t="shared" si="488"/>
        <v>0.22921085998884491</v>
      </c>
      <c r="AT409" s="354">
        <f t="shared" si="489"/>
        <v>0.29973652799623257</v>
      </c>
      <c r="AU409" s="355" t="s">
        <v>396</v>
      </c>
      <c r="AV409" s="354" t="s">
        <v>346</v>
      </c>
      <c r="AW409" s="353">
        <v>0</v>
      </c>
      <c r="AX409" s="353">
        <v>0</v>
      </c>
      <c r="AY409" s="353">
        <v>0</v>
      </c>
      <c r="AZ409" s="353">
        <v>0</v>
      </c>
      <c r="BA409" s="353">
        <v>0</v>
      </c>
      <c r="BB409" s="353">
        <v>0</v>
      </c>
    </row>
    <row r="410" spans="1:54" x14ac:dyDescent="0.25">
      <c r="A410" s="348" t="s">
        <v>928</v>
      </c>
      <c r="B410" s="349">
        <v>19</v>
      </c>
      <c r="C410" s="607">
        <v>45108</v>
      </c>
      <c r="D410" s="351">
        <v>45138</v>
      </c>
      <c r="E410" s="352"/>
      <c r="F410" s="352">
        <v>6</v>
      </c>
      <c r="G410" s="429" t="s">
        <v>308</v>
      </c>
      <c r="H410" s="353" t="s">
        <v>937</v>
      </c>
      <c r="I410" s="350" t="s">
        <v>393</v>
      </c>
      <c r="J410" s="560">
        <f t="shared" si="491"/>
        <v>13094.2</v>
      </c>
      <c r="K410" s="350" t="s">
        <v>394</v>
      </c>
      <c r="L410" s="354">
        <v>2803.6597999999999</v>
      </c>
      <c r="M410" s="560">
        <f t="shared" si="458"/>
        <v>4.6703954595347126</v>
      </c>
      <c r="N410" s="354" t="s">
        <v>395</v>
      </c>
      <c r="O410" s="354">
        <v>0</v>
      </c>
      <c r="P410" s="374">
        <f t="shared" si="459"/>
        <v>0.29427290690300267</v>
      </c>
      <c r="Q410" s="354">
        <f t="shared" si="460"/>
        <v>2.775442431844476E-2</v>
      </c>
      <c r="R410" s="354">
        <f t="shared" si="461"/>
        <v>4.6785887090008832E-2</v>
      </c>
      <c r="S410" s="354">
        <f t="shared" si="462"/>
        <v>4.1676241750751693E-2</v>
      </c>
      <c r="T410" s="354">
        <f t="shared" si="463"/>
        <v>0.17784844637287725</v>
      </c>
      <c r="U410" s="374">
        <f t="shared" si="464"/>
        <v>1.1810448596536203</v>
      </c>
      <c r="V410" s="354">
        <f t="shared" si="465"/>
        <v>3.1263103239577435E-2</v>
      </c>
      <c r="W410" s="354">
        <f t="shared" si="466"/>
        <v>1.0664492022748968</v>
      </c>
      <c r="X410" s="354">
        <f t="shared" si="467"/>
        <v>8.3332554139146087E-2</v>
      </c>
      <c r="Y410" s="374">
        <f t="shared" si="468"/>
        <v>0.17313937029341522</v>
      </c>
      <c r="Z410" s="354">
        <f t="shared" si="469"/>
        <v>8.9315680147464382E-2</v>
      </c>
      <c r="AA410" s="354">
        <f t="shared" si="470"/>
        <v>8.3823690145950841E-2</v>
      </c>
      <c r="AB410" s="374">
        <f t="shared" si="471"/>
        <v>0.94592891217508468</v>
      </c>
      <c r="AC410" s="354">
        <f t="shared" si="472"/>
        <v>0.26844760528825345</v>
      </c>
      <c r="AD410" s="354">
        <f t="shared" si="473"/>
        <v>0.58435080575874809</v>
      </c>
      <c r="AE410" s="354">
        <f t="shared" si="474"/>
        <v>9.3130501128083104E-2</v>
      </c>
      <c r="AF410" s="374">
        <f t="shared" si="475"/>
        <v>0.75707346529982056</v>
      </c>
      <c r="AG410" s="354">
        <f t="shared" si="476"/>
        <v>4.8654614950933393E-2</v>
      </c>
      <c r="AH410" s="354">
        <f t="shared" si="477"/>
        <v>0.24480092711256826</v>
      </c>
      <c r="AI410" s="354">
        <f t="shared" si="478"/>
        <v>0</v>
      </c>
      <c r="AJ410" s="354">
        <f t="shared" si="479"/>
        <v>0.46361792323631895</v>
      </c>
      <c r="AK410" s="374">
        <f t="shared" si="480"/>
        <v>0.50004175518523208</v>
      </c>
      <c r="AL410" s="354">
        <f t="shared" si="481"/>
        <v>0.14326528213959375</v>
      </c>
      <c r="AM410" s="354">
        <f t="shared" si="482"/>
        <v>0.33790010075696042</v>
      </c>
      <c r="AN410" s="354">
        <f t="shared" si="483"/>
        <v>1.8876372288677931E-2</v>
      </c>
      <c r="AO410" s="374">
        <f t="shared" si="484"/>
        <v>0.28994680203945933</v>
      </c>
      <c r="AP410" s="354">
        <f t="shared" si="485"/>
        <v>6.6487851475218546E-2</v>
      </c>
      <c r="AQ410" s="354">
        <f t="shared" si="486"/>
        <v>0.22345895056424078</v>
      </c>
      <c r="AR410" s="374">
        <f t="shared" si="487"/>
        <v>0.52894738798507746</v>
      </c>
      <c r="AS410" s="354">
        <f t="shared" si="488"/>
        <v>0.22921085998884491</v>
      </c>
      <c r="AT410" s="354">
        <f t="shared" si="489"/>
        <v>0.29973652799623257</v>
      </c>
      <c r="AU410" s="355" t="s">
        <v>396</v>
      </c>
      <c r="AV410" s="354" t="s">
        <v>346</v>
      </c>
      <c r="AW410" s="353">
        <v>0</v>
      </c>
      <c r="AX410" s="353">
        <v>0</v>
      </c>
      <c r="AY410" s="353">
        <v>0</v>
      </c>
      <c r="AZ410" s="353">
        <v>0</v>
      </c>
      <c r="BA410" s="353">
        <v>0</v>
      </c>
      <c r="BB410" s="353">
        <v>0</v>
      </c>
    </row>
    <row r="411" spans="1:54" x14ac:dyDescent="0.25">
      <c r="A411" s="348" t="s">
        <v>928</v>
      </c>
      <c r="B411" s="349">
        <v>19</v>
      </c>
      <c r="C411" s="607">
        <v>45108</v>
      </c>
      <c r="D411" s="351">
        <v>45138</v>
      </c>
      <c r="E411" s="352"/>
      <c r="F411" s="352">
        <v>6</v>
      </c>
      <c r="G411" s="429" t="s">
        <v>308</v>
      </c>
      <c r="H411" s="353" t="s">
        <v>938</v>
      </c>
      <c r="I411" s="350" t="s">
        <v>393</v>
      </c>
      <c r="J411" s="560">
        <f t="shared" si="491"/>
        <v>13094.2</v>
      </c>
      <c r="K411" s="350" t="s">
        <v>394</v>
      </c>
      <c r="L411" s="354">
        <v>2803.6597999999999</v>
      </c>
      <c r="M411" s="560">
        <f t="shared" si="458"/>
        <v>4.6703954595347126</v>
      </c>
      <c r="N411" s="354" t="s">
        <v>395</v>
      </c>
      <c r="O411" s="354">
        <v>0</v>
      </c>
      <c r="P411" s="374">
        <f t="shared" si="459"/>
        <v>0.29427290690300267</v>
      </c>
      <c r="Q411" s="354">
        <f t="shared" si="460"/>
        <v>2.775442431844476E-2</v>
      </c>
      <c r="R411" s="354">
        <f t="shared" si="461"/>
        <v>4.6785887090008832E-2</v>
      </c>
      <c r="S411" s="354">
        <f t="shared" si="462"/>
        <v>4.1676241750751693E-2</v>
      </c>
      <c r="T411" s="354">
        <f t="shared" si="463"/>
        <v>0.17784844637287725</v>
      </c>
      <c r="U411" s="374">
        <f t="shared" si="464"/>
        <v>1.1810448596536203</v>
      </c>
      <c r="V411" s="354">
        <f t="shared" si="465"/>
        <v>3.1263103239577435E-2</v>
      </c>
      <c r="W411" s="354">
        <f t="shared" si="466"/>
        <v>1.0664492022748968</v>
      </c>
      <c r="X411" s="354">
        <f t="shared" si="467"/>
        <v>8.3332554139146087E-2</v>
      </c>
      <c r="Y411" s="374">
        <f t="shared" si="468"/>
        <v>0.17313937029341522</v>
      </c>
      <c r="Z411" s="354">
        <f t="shared" si="469"/>
        <v>8.9315680147464382E-2</v>
      </c>
      <c r="AA411" s="354">
        <f t="shared" si="470"/>
        <v>8.3823690145950841E-2</v>
      </c>
      <c r="AB411" s="374">
        <f t="shared" si="471"/>
        <v>0.94592891217508468</v>
      </c>
      <c r="AC411" s="354">
        <f t="shared" si="472"/>
        <v>0.26844760528825345</v>
      </c>
      <c r="AD411" s="354">
        <f t="shared" si="473"/>
        <v>0.58435080575874809</v>
      </c>
      <c r="AE411" s="354">
        <f t="shared" si="474"/>
        <v>9.3130501128083104E-2</v>
      </c>
      <c r="AF411" s="374">
        <f t="shared" si="475"/>
        <v>0.75707346529982056</v>
      </c>
      <c r="AG411" s="354">
        <f t="shared" si="476"/>
        <v>4.8654614950933393E-2</v>
      </c>
      <c r="AH411" s="354">
        <f t="shared" si="477"/>
        <v>0.24480092711256826</v>
      </c>
      <c r="AI411" s="354">
        <f t="shared" si="478"/>
        <v>0</v>
      </c>
      <c r="AJ411" s="354">
        <f t="shared" si="479"/>
        <v>0.46361792323631895</v>
      </c>
      <c r="AK411" s="374">
        <f t="shared" si="480"/>
        <v>0.50004175518523208</v>
      </c>
      <c r="AL411" s="354">
        <f t="shared" si="481"/>
        <v>0.14326528213959375</v>
      </c>
      <c r="AM411" s="354">
        <f t="shared" si="482"/>
        <v>0.33790010075696042</v>
      </c>
      <c r="AN411" s="354">
        <f t="shared" si="483"/>
        <v>1.8876372288677931E-2</v>
      </c>
      <c r="AO411" s="374">
        <f t="shared" si="484"/>
        <v>0.28994680203945933</v>
      </c>
      <c r="AP411" s="354">
        <f t="shared" si="485"/>
        <v>6.6487851475218546E-2</v>
      </c>
      <c r="AQ411" s="354">
        <f t="shared" si="486"/>
        <v>0.22345895056424078</v>
      </c>
      <c r="AR411" s="374">
        <f t="shared" si="487"/>
        <v>0.52894738798507746</v>
      </c>
      <c r="AS411" s="354">
        <f t="shared" si="488"/>
        <v>0.22921085998884491</v>
      </c>
      <c r="AT411" s="354">
        <f t="shared" si="489"/>
        <v>0.29973652799623257</v>
      </c>
      <c r="AU411" s="355" t="s">
        <v>396</v>
      </c>
      <c r="AV411" s="354" t="s">
        <v>346</v>
      </c>
      <c r="AW411" s="353">
        <v>0</v>
      </c>
      <c r="AX411" s="353">
        <v>0</v>
      </c>
      <c r="AY411" s="353">
        <v>0</v>
      </c>
      <c r="AZ411" s="353">
        <v>0</v>
      </c>
      <c r="BA411" s="353">
        <v>0</v>
      </c>
      <c r="BB411" s="353">
        <v>0</v>
      </c>
    </row>
    <row r="412" spans="1:54" x14ac:dyDescent="0.25">
      <c r="A412" s="348" t="s">
        <v>928</v>
      </c>
      <c r="B412" s="349">
        <v>19</v>
      </c>
      <c r="C412" s="607">
        <v>45108</v>
      </c>
      <c r="D412" s="351">
        <v>45138</v>
      </c>
      <c r="E412" s="352"/>
      <c r="F412" s="352">
        <v>6</v>
      </c>
      <c r="G412" s="429" t="s">
        <v>309</v>
      </c>
      <c r="H412" s="353" t="s">
        <v>939</v>
      </c>
      <c r="I412" s="350" t="s">
        <v>393</v>
      </c>
      <c r="J412" s="560">
        <f>314285/5</f>
        <v>62857</v>
      </c>
      <c r="K412" s="350" t="s">
        <v>394</v>
      </c>
      <c r="L412" s="354">
        <v>2803.6597999999999</v>
      </c>
      <c r="M412" s="560">
        <f t="shared" si="458"/>
        <v>22.419624520778164</v>
      </c>
      <c r="N412" s="354" t="s">
        <v>395</v>
      </c>
      <c r="O412" s="354">
        <v>0</v>
      </c>
      <c r="P412" s="374">
        <f t="shared" si="459"/>
        <v>1.4126187250234485</v>
      </c>
      <c r="Q412" s="354">
        <f t="shared" si="460"/>
        <v>0.13323149557700986</v>
      </c>
      <c r="R412" s="354">
        <f t="shared" si="461"/>
        <v>0.22458955146680859</v>
      </c>
      <c r="S412" s="354">
        <f t="shared" si="462"/>
        <v>0.20006136516373657</v>
      </c>
      <c r="T412" s="354">
        <f t="shared" si="463"/>
        <v>0.85373828058682055</v>
      </c>
      <c r="U412" s="374">
        <f t="shared" si="464"/>
        <v>5.6694518751239187</v>
      </c>
      <c r="V412" s="354">
        <f t="shared" si="465"/>
        <v>0.15007445130898558</v>
      </c>
      <c r="W412" s="354">
        <f t="shared" si="466"/>
        <v>5.1193503617932512</v>
      </c>
      <c r="X412" s="354">
        <f t="shared" si="467"/>
        <v>0.40002706202168181</v>
      </c>
      <c r="Y412" s="374">
        <f t="shared" si="468"/>
        <v>0.83113297479290071</v>
      </c>
      <c r="Z412" s="354">
        <f t="shared" si="469"/>
        <v>0.42874827840029694</v>
      </c>
      <c r="AA412" s="354">
        <f t="shared" si="470"/>
        <v>0.40238469639260371</v>
      </c>
      <c r="AB412" s="374">
        <f t="shared" si="471"/>
        <v>4.5408084214835043</v>
      </c>
      <c r="AC412" s="354">
        <f t="shared" si="472"/>
        <v>1.2886477314844549</v>
      </c>
      <c r="AD412" s="354">
        <f t="shared" si="473"/>
        <v>2.805099860822168</v>
      </c>
      <c r="AE412" s="354">
        <f t="shared" si="474"/>
        <v>0.44706082917688134</v>
      </c>
      <c r="AF412" s="374">
        <f t="shared" si="475"/>
        <v>3.634232469975319</v>
      </c>
      <c r="AG412" s="354">
        <f t="shared" si="476"/>
        <v>0.23356013593582048</v>
      </c>
      <c r="AH412" s="354">
        <f t="shared" si="477"/>
        <v>1.1751349357360283</v>
      </c>
      <c r="AI412" s="354">
        <f t="shared" si="478"/>
        <v>0</v>
      </c>
      <c r="AJ412" s="354">
        <f t="shared" si="479"/>
        <v>2.2255373983034703</v>
      </c>
      <c r="AK412" s="374">
        <f t="shared" si="480"/>
        <v>2.4003852549738158</v>
      </c>
      <c r="AL412" s="354">
        <f t="shared" si="481"/>
        <v>0.68772630931621981</v>
      </c>
      <c r="AM412" s="354">
        <f t="shared" si="482"/>
        <v>1.6220453814116376</v>
      </c>
      <c r="AN412" s="354">
        <f t="shared" si="483"/>
        <v>9.0613564245958428E-2</v>
      </c>
      <c r="AO412" s="374">
        <f t="shared" si="484"/>
        <v>1.3918518226233216</v>
      </c>
      <c r="AP412" s="354">
        <f t="shared" si="485"/>
        <v>0.31916626293914963</v>
      </c>
      <c r="AQ412" s="354">
        <f t="shared" si="486"/>
        <v>1.072685559684172</v>
      </c>
      <c r="AR412" s="374">
        <f t="shared" si="487"/>
        <v>2.5391429767819353</v>
      </c>
      <c r="AS412" s="354">
        <f t="shared" si="488"/>
        <v>1.100296850996535</v>
      </c>
      <c r="AT412" s="354">
        <f t="shared" si="489"/>
        <v>1.4388461257854006</v>
      </c>
      <c r="AU412" s="355" t="s">
        <v>396</v>
      </c>
      <c r="AV412" s="354" t="s">
        <v>346</v>
      </c>
      <c r="AW412" s="353">
        <v>0</v>
      </c>
      <c r="AX412" s="353">
        <v>0</v>
      </c>
      <c r="AY412" s="353">
        <v>0</v>
      </c>
      <c r="AZ412" s="353">
        <v>0</v>
      </c>
      <c r="BA412" s="353">
        <v>0</v>
      </c>
      <c r="BB412" s="353">
        <v>0</v>
      </c>
    </row>
    <row r="413" spans="1:54" x14ac:dyDescent="0.25">
      <c r="A413" s="348" t="s">
        <v>928</v>
      </c>
      <c r="B413" s="349">
        <v>19</v>
      </c>
      <c r="C413" s="607">
        <v>45108</v>
      </c>
      <c r="D413" s="351">
        <v>45138</v>
      </c>
      <c r="E413" s="352"/>
      <c r="F413" s="352">
        <v>6</v>
      </c>
      <c r="G413" s="429" t="s">
        <v>309</v>
      </c>
      <c r="H413" s="353" t="s">
        <v>940</v>
      </c>
      <c r="I413" s="350" t="s">
        <v>393</v>
      </c>
      <c r="J413" s="560">
        <f t="shared" ref="J413:J416" si="492">314285/5</f>
        <v>62857</v>
      </c>
      <c r="K413" s="350" t="s">
        <v>394</v>
      </c>
      <c r="L413" s="354">
        <v>2803.6597999999999</v>
      </c>
      <c r="M413" s="560">
        <f t="shared" si="458"/>
        <v>22.419624520778164</v>
      </c>
      <c r="N413" s="354" t="s">
        <v>395</v>
      </c>
      <c r="O413" s="354">
        <v>0</v>
      </c>
      <c r="P413" s="374">
        <f t="shared" si="459"/>
        <v>1.4126187250234485</v>
      </c>
      <c r="Q413" s="354">
        <f t="shared" si="460"/>
        <v>0.13323149557700986</v>
      </c>
      <c r="R413" s="354">
        <f t="shared" si="461"/>
        <v>0.22458955146680859</v>
      </c>
      <c r="S413" s="354">
        <f t="shared" si="462"/>
        <v>0.20006136516373657</v>
      </c>
      <c r="T413" s="354">
        <f t="shared" si="463"/>
        <v>0.85373828058682055</v>
      </c>
      <c r="U413" s="374">
        <f t="shared" si="464"/>
        <v>5.6694518751239187</v>
      </c>
      <c r="V413" s="354">
        <f t="shared" si="465"/>
        <v>0.15007445130898558</v>
      </c>
      <c r="W413" s="354">
        <f t="shared" si="466"/>
        <v>5.1193503617932512</v>
      </c>
      <c r="X413" s="354">
        <f t="shared" si="467"/>
        <v>0.40002706202168181</v>
      </c>
      <c r="Y413" s="374">
        <f t="shared" si="468"/>
        <v>0.83113297479290071</v>
      </c>
      <c r="Z413" s="354">
        <f t="shared" si="469"/>
        <v>0.42874827840029694</v>
      </c>
      <c r="AA413" s="354">
        <f t="shared" si="470"/>
        <v>0.40238469639260371</v>
      </c>
      <c r="AB413" s="374">
        <f t="shared" si="471"/>
        <v>4.5408084214835043</v>
      </c>
      <c r="AC413" s="354">
        <f t="shared" si="472"/>
        <v>1.2886477314844549</v>
      </c>
      <c r="AD413" s="354">
        <f t="shared" si="473"/>
        <v>2.805099860822168</v>
      </c>
      <c r="AE413" s="354">
        <f t="shared" si="474"/>
        <v>0.44706082917688134</v>
      </c>
      <c r="AF413" s="374">
        <f t="shared" si="475"/>
        <v>3.634232469975319</v>
      </c>
      <c r="AG413" s="354">
        <f t="shared" si="476"/>
        <v>0.23356013593582048</v>
      </c>
      <c r="AH413" s="354">
        <f t="shared" si="477"/>
        <v>1.1751349357360283</v>
      </c>
      <c r="AI413" s="354">
        <f t="shared" si="478"/>
        <v>0</v>
      </c>
      <c r="AJ413" s="354">
        <f t="shared" si="479"/>
        <v>2.2255373983034703</v>
      </c>
      <c r="AK413" s="374">
        <f t="shared" si="480"/>
        <v>2.4003852549738158</v>
      </c>
      <c r="AL413" s="354">
        <f t="shared" si="481"/>
        <v>0.68772630931621981</v>
      </c>
      <c r="AM413" s="354">
        <f t="shared" si="482"/>
        <v>1.6220453814116376</v>
      </c>
      <c r="AN413" s="354">
        <f t="shared" si="483"/>
        <v>9.0613564245958428E-2</v>
      </c>
      <c r="AO413" s="374">
        <f t="shared" si="484"/>
        <v>1.3918518226233216</v>
      </c>
      <c r="AP413" s="354">
        <f t="shared" si="485"/>
        <v>0.31916626293914963</v>
      </c>
      <c r="AQ413" s="354">
        <f t="shared" si="486"/>
        <v>1.072685559684172</v>
      </c>
      <c r="AR413" s="374">
        <f t="shared" si="487"/>
        <v>2.5391429767819353</v>
      </c>
      <c r="AS413" s="354">
        <f t="shared" si="488"/>
        <v>1.100296850996535</v>
      </c>
      <c r="AT413" s="354">
        <f t="shared" si="489"/>
        <v>1.4388461257854006</v>
      </c>
      <c r="AU413" s="355" t="s">
        <v>396</v>
      </c>
      <c r="AV413" s="354" t="s">
        <v>346</v>
      </c>
      <c r="AW413" s="353">
        <v>0</v>
      </c>
      <c r="AX413" s="353">
        <v>0</v>
      </c>
      <c r="AY413" s="353">
        <v>0</v>
      </c>
      <c r="AZ413" s="353">
        <v>0</v>
      </c>
      <c r="BA413" s="353">
        <v>0</v>
      </c>
      <c r="BB413" s="353">
        <v>0</v>
      </c>
    </row>
    <row r="414" spans="1:54" x14ac:dyDescent="0.25">
      <c r="A414" s="348" t="s">
        <v>928</v>
      </c>
      <c r="B414" s="349">
        <v>19</v>
      </c>
      <c r="C414" s="607">
        <v>45108</v>
      </c>
      <c r="D414" s="351">
        <v>45138</v>
      </c>
      <c r="E414" s="352"/>
      <c r="F414" s="352">
        <v>6</v>
      </c>
      <c r="G414" s="429" t="s">
        <v>309</v>
      </c>
      <c r="H414" s="353" t="s">
        <v>941</v>
      </c>
      <c r="I414" s="350" t="s">
        <v>393</v>
      </c>
      <c r="J414" s="560">
        <f t="shared" si="492"/>
        <v>62857</v>
      </c>
      <c r="K414" s="350" t="s">
        <v>394</v>
      </c>
      <c r="L414" s="354">
        <v>2803.6597999999999</v>
      </c>
      <c r="M414" s="560">
        <f t="shared" si="458"/>
        <v>22.419624520778164</v>
      </c>
      <c r="N414" s="354" t="s">
        <v>395</v>
      </c>
      <c r="O414" s="354">
        <v>0</v>
      </c>
      <c r="P414" s="374">
        <f t="shared" si="459"/>
        <v>1.4126187250234485</v>
      </c>
      <c r="Q414" s="354">
        <f t="shared" si="460"/>
        <v>0.13323149557700986</v>
      </c>
      <c r="R414" s="354">
        <f t="shared" si="461"/>
        <v>0.22458955146680859</v>
      </c>
      <c r="S414" s="354">
        <f t="shared" si="462"/>
        <v>0.20006136516373657</v>
      </c>
      <c r="T414" s="354">
        <f t="shared" si="463"/>
        <v>0.85373828058682055</v>
      </c>
      <c r="U414" s="374">
        <f t="shared" si="464"/>
        <v>5.6694518751239187</v>
      </c>
      <c r="V414" s="354">
        <f t="shared" si="465"/>
        <v>0.15007445130898558</v>
      </c>
      <c r="W414" s="354">
        <f t="shared" si="466"/>
        <v>5.1193503617932512</v>
      </c>
      <c r="X414" s="354">
        <f t="shared" si="467"/>
        <v>0.40002706202168181</v>
      </c>
      <c r="Y414" s="374">
        <f t="shared" si="468"/>
        <v>0.83113297479290071</v>
      </c>
      <c r="Z414" s="354">
        <f t="shared" si="469"/>
        <v>0.42874827840029694</v>
      </c>
      <c r="AA414" s="354">
        <f t="shared" si="470"/>
        <v>0.40238469639260371</v>
      </c>
      <c r="AB414" s="374">
        <f t="shared" si="471"/>
        <v>4.5408084214835043</v>
      </c>
      <c r="AC414" s="354">
        <f t="shared" si="472"/>
        <v>1.2886477314844549</v>
      </c>
      <c r="AD414" s="354">
        <f t="shared" si="473"/>
        <v>2.805099860822168</v>
      </c>
      <c r="AE414" s="354">
        <f t="shared" si="474"/>
        <v>0.44706082917688134</v>
      </c>
      <c r="AF414" s="374">
        <f t="shared" si="475"/>
        <v>3.634232469975319</v>
      </c>
      <c r="AG414" s="354">
        <f t="shared" si="476"/>
        <v>0.23356013593582048</v>
      </c>
      <c r="AH414" s="354">
        <f t="shared" si="477"/>
        <v>1.1751349357360283</v>
      </c>
      <c r="AI414" s="354">
        <f t="shared" si="478"/>
        <v>0</v>
      </c>
      <c r="AJ414" s="354">
        <f t="shared" si="479"/>
        <v>2.2255373983034703</v>
      </c>
      <c r="AK414" s="374">
        <f t="shared" si="480"/>
        <v>2.4003852549738158</v>
      </c>
      <c r="AL414" s="354">
        <f t="shared" si="481"/>
        <v>0.68772630931621981</v>
      </c>
      <c r="AM414" s="354">
        <f t="shared" si="482"/>
        <v>1.6220453814116376</v>
      </c>
      <c r="AN414" s="354">
        <f t="shared" si="483"/>
        <v>9.0613564245958428E-2</v>
      </c>
      <c r="AO414" s="374">
        <f t="shared" si="484"/>
        <v>1.3918518226233216</v>
      </c>
      <c r="AP414" s="354">
        <f t="shared" si="485"/>
        <v>0.31916626293914963</v>
      </c>
      <c r="AQ414" s="354">
        <f t="shared" si="486"/>
        <v>1.072685559684172</v>
      </c>
      <c r="AR414" s="374">
        <f t="shared" si="487"/>
        <v>2.5391429767819353</v>
      </c>
      <c r="AS414" s="354">
        <f t="shared" si="488"/>
        <v>1.100296850996535</v>
      </c>
      <c r="AT414" s="354">
        <f t="shared" si="489"/>
        <v>1.4388461257854006</v>
      </c>
      <c r="AU414" s="355" t="s">
        <v>396</v>
      </c>
      <c r="AV414" s="354" t="s">
        <v>346</v>
      </c>
      <c r="AW414" s="353">
        <v>0</v>
      </c>
      <c r="AX414" s="353">
        <v>0</v>
      </c>
      <c r="AY414" s="353">
        <v>0</v>
      </c>
      <c r="AZ414" s="353">
        <v>0</v>
      </c>
      <c r="BA414" s="353">
        <v>0</v>
      </c>
      <c r="BB414" s="353">
        <v>0</v>
      </c>
    </row>
    <row r="415" spans="1:54" x14ac:dyDescent="0.25">
      <c r="A415" s="348" t="s">
        <v>928</v>
      </c>
      <c r="B415" s="349">
        <v>19</v>
      </c>
      <c r="C415" s="607">
        <v>45108</v>
      </c>
      <c r="D415" s="351">
        <v>45138</v>
      </c>
      <c r="E415" s="352"/>
      <c r="F415" s="352">
        <v>6</v>
      </c>
      <c r="G415" s="429" t="s">
        <v>309</v>
      </c>
      <c r="H415" s="353" t="s">
        <v>942</v>
      </c>
      <c r="I415" s="350" t="s">
        <v>393</v>
      </c>
      <c r="J415" s="560">
        <f t="shared" si="492"/>
        <v>62857</v>
      </c>
      <c r="K415" s="350" t="s">
        <v>394</v>
      </c>
      <c r="L415" s="354">
        <v>2803.6597999999999</v>
      </c>
      <c r="M415" s="560">
        <f t="shared" si="458"/>
        <v>22.419624520778164</v>
      </c>
      <c r="N415" s="354" t="s">
        <v>395</v>
      </c>
      <c r="O415" s="354">
        <v>0</v>
      </c>
      <c r="P415" s="374">
        <f t="shared" si="459"/>
        <v>1.4126187250234485</v>
      </c>
      <c r="Q415" s="354">
        <f t="shared" si="460"/>
        <v>0.13323149557700986</v>
      </c>
      <c r="R415" s="354">
        <f t="shared" si="461"/>
        <v>0.22458955146680859</v>
      </c>
      <c r="S415" s="354">
        <f t="shared" si="462"/>
        <v>0.20006136516373657</v>
      </c>
      <c r="T415" s="354">
        <f t="shared" si="463"/>
        <v>0.85373828058682055</v>
      </c>
      <c r="U415" s="374">
        <f t="shared" si="464"/>
        <v>5.6694518751239187</v>
      </c>
      <c r="V415" s="354">
        <f t="shared" si="465"/>
        <v>0.15007445130898558</v>
      </c>
      <c r="W415" s="354">
        <f t="shared" si="466"/>
        <v>5.1193503617932512</v>
      </c>
      <c r="X415" s="354">
        <f t="shared" si="467"/>
        <v>0.40002706202168181</v>
      </c>
      <c r="Y415" s="374">
        <f t="shared" si="468"/>
        <v>0.83113297479290071</v>
      </c>
      <c r="Z415" s="354">
        <f t="shared" si="469"/>
        <v>0.42874827840029694</v>
      </c>
      <c r="AA415" s="354">
        <f t="shared" si="470"/>
        <v>0.40238469639260371</v>
      </c>
      <c r="AB415" s="374">
        <f t="shared" si="471"/>
        <v>4.5408084214835043</v>
      </c>
      <c r="AC415" s="354">
        <f t="shared" si="472"/>
        <v>1.2886477314844549</v>
      </c>
      <c r="AD415" s="354">
        <f t="shared" si="473"/>
        <v>2.805099860822168</v>
      </c>
      <c r="AE415" s="354">
        <f t="shared" si="474"/>
        <v>0.44706082917688134</v>
      </c>
      <c r="AF415" s="374">
        <f t="shared" si="475"/>
        <v>3.634232469975319</v>
      </c>
      <c r="AG415" s="354">
        <f t="shared" si="476"/>
        <v>0.23356013593582048</v>
      </c>
      <c r="AH415" s="354">
        <f t="shared" si="477"/>
        <v>1.1751349357360283</v>
      </c>
      <c r="AI415" s="354">
        <f t="shared" si="478"/>
        <v>0</v>
      </c>
      <c r="AJ415" s="354">
        <f t="shared" si="479"/>
        <v>2.2255373983034703</v>
      </c>
      <c r="AK415" s="374">
        <f t="shared" si="480"/>
        <v>2.4003852549738158</v>
      </c>
      <c r="AL415" s="354">
        <f t="shared" si="481"/>
        <v>0.68772630931621981</v>
      </c>
      <c r="AM415" s="354">
        <f t="shared" si="482"/>
        <v>1.6220453814116376</v>
      </c>
      <c r="AN415" s="354">
        <f t="shared" si="483"/>
        <v>9.0613564245958428E-2</v>
      </c>
      <c r="AO415" s="374">
        <f t="shared" si="484"/>
        <v>1.3918518226233216</v>
      </c>
      <c r="AP415" s="354">
        <f t="shared" si="485"/>
        <v>0.31916626293914963</v>
      </c>
      <c r="AQ415" s="354">
        <f t="shared" si="486"/>
        <v>1.072685559684172</v>
      </c>
      <c r="AR415" s="374">
        <f t="shared" si="487"/>
        <v>2.5391429767819353</v>
      </c>
      <c r="AS415" s="354">
        <f t="shared" si="488"/>
        <v>1.100296850996535</v>
      </c>
      <c r="AT415" s="354">
        <f t="shared" si="489"/>
        <v>1.4388461257854006</v>
      </c>
      <c r="AU415" s="355" t="s">
        <v>396</v>
      </c>
      <c r="AV415" s="354" t="s">
        <v>346</v>
      </c>
      <c r="AW415" s="353">
        <v>0</v>
      </c>
      <c r="AX415" s="353">
        <v>0</v>
      </c>
      <c r="AY415" s="353">
        <v>0</v>
      </c>
      <c r="AZ415" s="353">
        <v>0</v>
      </c>
      <c r="BA415" s="353">
        <v>0</v>
      </c>
      <c r="BB415" s="353">
        <v>0</v>
      </c>
    </row>
    <row r="416" spans="1:54" x14ac:dyDescent="0.25">
      <c r="A416" s="348" t="s">
        <v>928</v>
      </c>
      <c r="B416" s="349">
        <v>19</v>
      </c>
      <c r="C416" s="607">
        <v>45108</v>
      </c>
      <c r="D416" s="351">
        <v>45138</v>
      </c>
      <c r="E416" s="352"/>
      <c r="F416" s="352">
        <v>6</v>
      </c>
      <c r="G416" s="429" t="s">
        <v>309</v>
      </c>
      <c r="H416" s="353" t="s">
        <v>943</v>
      </c>
      <c r="I416" s="350" t="s">
        <v>393</v>
      </c>
      <c r="J416" s="560">
        <f t="shared" si="492"/>
        <v>62857</v>
      </c>
      <c r="K416" s="350" t="s">
        <v>394</v>
      </c>
      <c r="L416" s="354">
        <v>2803.6597999999999</v>
      </c>
      <c r="M416" s="560">
        <f t="shared" si="458"/>
        <v>22.419624520778164</v>
      </c>
      <c r="N416" s="354" t="s">
        <v>395</v>
      </c>
      <c r="O416" s="354">
        <v>0</v>
      </c>
      <c r="P416" s="374">
        <f t="shared" si="459"/>
        <v>1.4126187250234485</v>
      </c>
      <c r="Q416" s="354">
        <f t="shared" si="460"/>
        <v>0.13323149557700986</v>
      </c>
      <c r="R416" s="354">
        <f t="shared" si="461"/>
        <v>0.22458955146680859</v>
      </c>
      <c r="S416" s="354">
        <f t="shared" si="462"/>
        <v>0.20006136516373657</v>
      </c>
      <c r="T416" s="354">
        <f t="shared" si="463"/>
        <v>0.85373828058682055</v>
      </c>
      <c r="U416" s="374">
        <f t="shared" si="464"/>
        <v>5.6694518751239187</v>
      </c>
      <c r="V416" s="354">
        <f t="shared" si="465"/>
        <v>0.15007445130898558</v>
      </c>
      <c r="W416" s="354">
        <f t="shared" si="466"/>
        <v>5.1193503617932512</v>
      </c>
      <c r="X416" s="354">
        <f t="shared" si="467"/>
        <v>0.40002706202168181</v>
      </c>
      <c r="Y416" s="374">
        <f t="shared" si="468"/>
        <v>0.83113297479290071</v>
      </c>
      <c r="Z416" s="354">
        <f t="shared" si="469"/>
        <v>0.42874827840029694</v>
      </c>
      <c r="AA416" s="354">
        <f t="shared" si="470"/>
        <v>0.40238469639260371</v>
      </c>
      <c r="AB416" s="374">
        <f t="shared" si="471"/>
        <v>4.5408084214835043</v>
      </c>
      <c r="AC416" s="354">
        <f t="shared" si="472"/>
        <v>1.2886477314844549</v>
      </c>
      <c r="AD416" s="354">
        <f t="shared" si="473"/>
        <v>2.805099860822168</v>
      </c>
      <c r="AE416" s="354">
        <f t="shared" si="474"/>
        <v>0.44706082917688134</v>
      </c>
      <c r="AF416" s="374">
        <f t="shared" si="475"/>
        <v>3.634232469975319</v>
      </c>
      <c r="AG416" s="354">
        <f t="shared" si="476"/>
        <v>0.23356013593582048</v>
      </c>
      <c r="AH416" s="354">
        <f t="shared" si="477"/>
        <v>1.1751349357360283</v>
      </c>
      <c r="AI416" s="354">
        <f t="shared" si="478"/>
        <v>0</v>
      </c>
      <c r="AJ416" s="354">
        <f t="shared" si="479"/>
        <v>2.2255373983034703</v>
      </c>
      <c r="AK416" s="374">
        <f t="shared" si="480"/>
        <v>2.4003852549738158</v>
      </c>
      <c r="AL416" s="354">
        <f t="shared" si="481"/>
        <v>0.68772630931621981</v>
      </c>
      <c r="AM416" s="354">
        <f t="shared" si="482"/>
        <v>1.6220453814116376</v>
      </c>
      <c r="AN416" s="354">
        <f t="shared" si="483"/>
        <v>9.0613564245958428E-2</v>
      </c>
      <c r="AO416" s="374">
        <f t="shared" si="484"/>
        <v>1.3918518226233216</v>
      </c>
      <c r="AP416" s="354">
        <f t="shared" si="485"/>
        <v>0.31916626293914963</v>
      </c>
      <c r="AQ416" s="354">
        <f t="shared" si="486"/>
        <v>1.072685559684172</v>
      </c>
      <c r="AR416" s="374">
        <f t="shared" si="487"/>
        <v>2.5391429767819353</v>
      </c>
      <c r="AS416" s="354">
        <f t="shared" si="488"/>
        <v>1.100296850996535</v>
      </c>
      <c r="AT416" s="354">
        <f t="shared" si="489"/>
        <v>1.4388461257854006</v>
      </c>
      <c r="AU416" s="355" t="s">
        <v>396</v>
      </c>
      <c r="AV416" s="354" t="s">
        <v>346</v>
      </c>
      <c r="AW416" s="353">
        <v>0</v>
      </c>
      <c r="AX416" s="353">
        <v>0</v>
      </c>
      <c r="AY416" s="353">
        <v>0</v>
      </c>
      <c r="AZ416" s="353">
        <v>0</v>
      </c>
      <c r="BA416" s="353">
        <v>0</v>
      </c>
      <c r="BB416" s="353">
        <v>0</v>
      </c>
    </row>
    <row r="417" spans="1:54" x14ac:dyDescent="0.25">
      <c r="A417" s="348" t="s">
        <v>928</v>
      </c>
      <c r="B417" s="349">
        <v>19</v>
      </c>
      <c r="C417" s="607">
        <v>45108</v>
      </c>
      <c r="D417" s="351">
        <v>45138</v>
      </c>
      <c r="E417" s="352"/>
      <c r="F417" s="352">
        <v>6</v>
      </c>
      <c r="G417" s="429" t="s">
        <v>310</v>
      </c>
      <c r="H417" s="353" t="s">
        <v>944</v>
      </c>
      <c r="I417" s="350" t="s">
        <v>393</v>
      </c>
      <c r="J417" s="560">
        <f>87300/5</f>
        <v>17460</v>
      </c>
      <c r="K417" s="350" t="s">
        <v>394</v>
      </c>
      <c r="L417" s="354">
        <v>2803.6597999999999</v>
      </c>
      <c r="M417" s="560">
        <f t="shared" si="458"/>
        <v>6.2275744011452465</v>
      </c>
      <c r="N417" s="354" t="s">
        <v>395</v>
      </c>
      <c r="O417" s="354">
        <v>0</v>
      </c>
      <c r="P417" s="374">
        <f t="shared" si="459"/>
        <v>0.39238784763684886</v>
      </c>
      <c r="Q417" s="354">
        <f t="shared" si="460"/>
        <v>3.7008159994504859E-2</v>
      </c>
      <c r="R417" s="354">
        <f t="shared" si="461"/>
        <v>6.2384994011971263E-2</v>
      </c>
      <c r="S417" s="354">
        <f t="shared" si="462"/>
        <v>5.5571717322793646E-2</v>
      </c>
      <c r="T417" s="354">
        <f t="shared" si="463"/>
        <v>0.23714574954334258</v>
      </c>
      <c r="U417" s="374">
        <f t="shared" si="464"/>
        <v>1.5748226886371226</v>
      </c>
      <c r="V417" s="354">
        <f t="shared" si="465"/>
        <v>4.1686684376519532E-2</v>
      </c>
      <c r="W417" s="354">
        <f t="shared" si="466"/>
        <v>1.4220191437216247</v>
      </c>
      <c r="X417" s="354">
        <f t="shared" si="467"/>
        <v>0.11111686053897837</v>
      </c>
      <c r="Y417" s="374">
        <f t="shared" si="468"/>
        <v>0.2308665978313322</v>
      </c>
      <c r="Z417" s="354">
        <f t="shared" si="469"/>
        <v>0.11909484927484904</v>
      </c>
      <c r="AA417" s="354">
        <f t="shared" si="470"/>
        <v>0.11177174855648316</v>
      </c>
      <c r="AB417" s="374">
        <f t="shared" si="471"/>
        <v>1.2613156058848176</v>
      </c>
      <c r="AC417" s="354">
        <f t="shared" si="472"/>
        <v>0.35795200839554198</v>
      </c>
      <c r="AD417" s="354">
        <f t="shared" si="473"/>
        <v>0.77918200948112459</v>
      </c>
      <c r="AE417" s="354">
        <f t="shared" si="474"/>
        <v>0.12418158800815102</v>
      </c>
      <c r="AF417" s="374">
        <f t="shared" si="475"/>
        <v>1.0094929590303239</v>
      </c>
      <c r="AG417" s="354">
        <f t="shared" si="476"/>
        <v>6.4876783388316747E-2</v>
      </c>
      <c r="AH417" s="354">
        <f t="shared" si="477"/>
        <v>0.32642117787917108</v>
      </c>
      <c r="AI417" s="354">
        <f t="shared" si="478"/>
        <v>0</v>
      </c>
      <c r="AJ417" s="354">
        <f t="shared" si="479"/>
        <v>0.61819499776283615</v>
      </c>
      <c r="AK417" s="374">
        <f t="shared" si="480"/>
        <v>0.66676307414994074</v>
      </c>
      <c r="AL417" s="354">
        <f t="shared" si="481"/>
        <v>0.19103204671971616</v>
      </c>
      <c r="AM417" s="354">
        <f t="shared" si="482"/>
        <v>0.45056099335709937</v>
      </c>
      <c r="AN417" s="354">
        <f t="shared" si="483"/>
        <v>2.5170034073125257E-2</v>
      </c>
      <c r="AO417" s="374">
        <f t="shared" si="484"/>
        <v>0.38661935540994952</v>
      </c>
      <c r="AP417" s="354">
        <f t="shared" si="485"/>
        <v>8.8655884800699247E-2</v>
      </c>
      <c r="AQ417" s="354">
        <f t="shared" si="486"/>
        <v>0.29796347060925027</v>
      </c>
      <c r="AR417" s="374">
        <f t="shared" si="487"/>
        <v>0.70530627256491063</v>
      </c>
      <c r="AS417" s="354">
        <f t="shared" si="488"/>
        <v>0.30563315173170047</v>
      </c>
      <c r="AT417" s="354">
        <f t="shared" si="489"/>
        <v>0.39967312083321016</v>
      </c>
      <c r="AU417" s="355" t="s">
        <v>396</v>
      </c>
      <c r="AV417" s="354" t="s">
        <v>346</v>
      </c>
      <c r="AW417" s="353">
        <v>0</v>
      </c>
      <c r="AX417" s="353">
        <v>0</v>
      </c>
      <c r="AY417" s="353">
        <v>0</v>
      </c>
      <c r="AZ417" s="353">
        <v>0</v>
      </c>
      <c r="BA417" s="353">
        <v>0</v>
      </c>
      <c r="BB417" s="353">
        <v>0</v>
      </c>
    </row>
    <row r="418" spans="1:54" x14ac:dyDescent="0.25">
      <c r="A418" s="348" t="s">
        <v>928</v>
      </c>
      <c r="B418" s="349">
        <v>19</v>
      </c>
      <c r="C418" s="607">
        <v>45108</v>
      </c>
      <c r="D418" s="351">
        <v>45138</v>
      </c>
      <c r="E418" s="352"/>
      <c r="F418" s="352">
        <v>6</v>
      </c>
      <c r="G418" s="429" t="s">
        <v>310</v>
      </c>
      <c r="H418" s="353" t="s">
        <v>945</v>
      </c>
      <c r="I418" s="350" t="s">
        <v>393</v>
      </c>
      <c r="J418" s="560">
        <f t="shared" ref="J418:J421" si="493">87300/5</f>
        <v>17460</v>
      </c>
      <c r="K418" s="350" t="s">
        <v>394</v>
      </c>
      <c r="L418" s="354">
        <v>2803.6597999999999</v>
      </c>
      <c r="M418" s="560">
        <f t="shared" si="458"/>
        <v>6.2275744011452465</v>
      </c>
      <c r="N418" s="354" t="s">
        <v>395</v>
      </c>
      <c r="O418" s="354">
        <v>0</v>
      </c>
      <c r="P418" s="374">
        <f t="shared" si="459"/>
        <v>0.39238784763684886</v>
      </c>
      <c r="Q418" s="354">
        <f t="shared" si="460"/>
        <v>3.7008159994504859E-2</v>
      </c>
      <c r="R418" s="354">
        <f t="shared" si="461"/>
        <v>6.2384994011971263E-2</v>
      </c>
      <c r="S418" s="354">
        <f t="shared" si="462"/>
        <v>5.5571717322793646E-2</v>
      </c>
      <c r="T418" s="354">
        <f t="shared" si="463"/>
        <v>0.23714574954334258</v>
      </c>
      <c r="U418" s="374">
        <f t="shared" si="464"/>
        <v>1.5748226886371226</v>
      </c>
      <c r="V418" s="354">
        <f t="shared" si="465"/>
        <v>4.1686684376519532E-2</v>
      </c>
      <c r="W418" s="354">
        <f t="shared" si="466"/>
        <v>1.4220191437216247</v>
      </c>
      <c r="X418" s="354">
        <f t="shared" si="467"/>
        <v>0.11111686053897837</v>
      </c>
      <c r="Y418" s="374">
        <f t="shared" si="468"/>
        <v>0.2308665978313322</v>
      </c>
      <c r="Z418" s="354">
        <f t="shared" si="469"/>
        <v>0.11909484927484904</v>
      </c>
      <c r="AA418" s="354">
        <f t="shared" si="470"/>
        <v>0.11177174855648316</v>
      </c>
      <c r="AB418" s="374">
        <f t="shared" si="471"/>
        <v>1.2613156058848176</v>
      </c>
      <c r="AC418" s="354">
        <f t="shared" si="472"/>
        <v>0.35795200839554198</v>
      </c>
      <c r="AD418" s="354">
        <f t="shared" si="473"/>
        <v>0.77918200948112459</v>
      </c>
      <c r="AE418" s="354">
        <f t="shared" si="474"/>
        <v>0.12418158800815102</v>
      </c>
      <c r="AF418" s="374">
        <f t="shared" si="475"/>
        <v>1.0094929590303239</v>
      </c>
      <c r="AG418" s="354">
        <f t="shared" si="476"/>
        <v>6.4876783388316747E-2</v>
      </c>
      <c r="AH418" s="354">
        <f t="shared" si="477"/>
        <v>0.32642117787917108</v>
      </c>
      <c r="AI418" s="354">
        <f t="shared" si="478"/>
        <v>0</v>
      </c>
      <c r="AJ418" s="354">
        <f t="shared" si="479"/>
        <v>0.61819499776283615</v>
      </c>
      <c r="AK418" s="374">
        <f t="shared" si="480"/>
        <v>0.66676307414994074</v>
      </c>
      <c r="AL418" s="354">
        <f t="shared" si="481"/>
        <v>0.19103204671971616</v>
      </c>
      <c r="AM418" s="354">
        <f t="shared" si="482"/>
        <v>0.45056099335709937</v>
      </c>
      <c r="AN418" s="354">
        <f t="shared" si="483"/>
        <v>2.5170034073125257E-2</v>
      </c>
      <c r="AO418" s="374">
        <f t="shared" si="484"/>
        <v>0.38661935540994952</v>
      </c>
      <c r="AP418" s="354">
        <f t="shared" si="485"/>
        <v>8.8655884800699247E-2</v>
      </c>
      <c r="AQ418" s="354">
        <f t="shared" si="486"/>
        <v>0.29796347060925027</v>
      </c>
      <c r="AR418" s="374">
        <f t="shared" si="487"/>
        <v>0.70530627256491063</v>
      </c>
      <c r="AS418" s="354">
        <f t="shared" si="488"/>
        <v>0.30563315173170047</v>
      </c>
      <c r="AT418" s="354">
        <f t="shared" si="489"/>
        <v>0.39967312083321016</v>
      </c>
      <c r="AU418" s="355" t="s">
        <v>396</v>
      </c>
      <c r="AV418" s="354" t="s">
        <v>346</v>
      </c>
      <c r="AW418" s="353">
        <v>0</v>
      </c>
      <c r="AX418" s="353">
        <v>0</v>
      </c>
      <c r="AY418" s="353">
        <v>0</v>
      </c>
      <c r="AZ418" s="353">
        <v>0</v>
      </c>
      <c r="BA418" s="353">
        <v>0</v>
      </c>
      <c r="BB418" s="353">
        <v>0</v>
      </c>
    </row>
    <row r="419" spans="1:54" x14ac:dyDescent="0.25">
      <c r="A419" s="348" t="s">
        <v>928</v>
      </c>
      <c r="B419" s="349">
        <v>19</v>
      </c>
      <c r="C419" s="607">
        <v>45108</v>
      </c>
      <c r="D419" s="351">
        <v>45138</v>
      </c>
      <c r="E419" s="352"/>
      <c r="F419" s="352">
        <v>6</v>
      </c>
      <c r="G419" s="429" t="s">
        <v>310</v>
      </c>
      <c r="H419" s="353" t="s">
        <v>946</v>
      </c>
      <c r="I419" s="350" t="s">
        <v>393</v>
      </c>
      <c r="J419" s="560">
        <f t="shared" si="493"/>
        <v>17460</v>
      </c>
      <c r="K419" s="350" t="s">
        <v>394</v>
      </c>
      <c r="L419" s="354">
        <v>2803.6597999999999</v>
      </c>
      <c r="M419" s="560">
        <f t="shared" si="458"/>
        <v>6.2275744011452465</v>
      </c>
      <c r="N419" s="354" t="s">
        <v>395</v>
      </c>
      <c r="O419" s="354">
        <v>0</v>
      </c>
      <c r="P419" s="374">
        <f t="shared" si="459"/>
        <v>0.39238784763684886</v>
      </c>
      <c r="Q419" s="354">
        <f t="shared" si="460"/>
        <v>3.7008159994504859E-2</v>
      </c>
      <c r="R419" s="354">
        <f t="shared" si="461"/>
        <v>6.2384994011971263E-2</v>
      </c>
      <c r="S419" s="354">
        <f t="shared" si="462"/>
        <v>5.5571717322793646E-2</v>
      </c>
      <c r="T419" s="354">
        <f t="shared" si="463"/>
        <v>0.23714574954334258</v>
      </c>
      <c r="U419" s="374">
        <f t="shared" si="464"/>
        <v>1.5748226886371226</v>
      </c>
      <c r="V419" s="354">
        <f t="shared" si="465"/>
        <v>4.1686684376519532E-2</v>
      </c>
      <c r="W419" s="354">
        <f t="shared" si="466"/>
        <v>1.4220191437216247</v>
      </c>
      <c r="X419" s="354">
        <f t="shared" si="467"/>
        <v>0.11111686053897837</v>
      </c>
      <c r="Y419" s="374">
        <f t="shared" si="468"/>
        <v>0.2308665978313322</v>
      </c>
      <c r="Z419" s="354">
        <f t="shared" si="469"/>
        <v>0.11909484927484904</v>
      </c>
      <c r="AA419" s="354">
        <f t="shared" si="470"/>
        <v>0.11177174855648316</v>
      </c>
      <c r="AB419" s="374">
        <f t="shared" si="471"/>
        <v>1.2613156058848176</v>
      </c>
      <c r="AC419" s="354">
        <f t="shared" si="472"/>
        <v>0.35795200839554198</v>
      </c>
      <c r="AD419" s="354">
        <f t="shared" si="473"/>
        <v>0.77918200948112459</v>
      </c>
      <c r="AE419" s="354">
        <f t="shared" si="474"/>
        <v>0.12418158800815102</v>
      </c>
      <c r="AF419" s="374">
        <f t="shared" si="475"/>
        <v>1.0094929590303239</v>
      </c>
      <c r="AG419" s="354">
        <f t="shared" si="476"/>
        <v>6.4876783388316747E-2</v>
      </c>
      <c r="AH419" s="354">
        <f t="shared" si="477"/>
        <v>0.32642117787917108</v>
      </c>
      <c r="AI419" s="354">
        <f t="shared" si="478"/>
        <v>0</v>
      </c>
      <c r="AJ419" s="354">
        <f t="shared" si="479"/>
        <v>0.61819499776283615</v>
      </c>
      <c r="AK419" s="374">
        <f t="shared" si="480"/>
        <v>0.66676307414994074</v>
      </c>
      <c r="AL419" s="354">
        <f t="shared" si="481"/>
        <v>0.19103204671971616</v>
      </c>
      <c r="AM419" s="354">
        <f t="shared" si="482"/>
        <v>0.45056099335709937</v>
      </c>
      <c r="AN419" s="354">
        <f t="shared" si="483"/>
        <v>2.5170034073125257E-2</v>
      </c>
      <c r="AO419" s="374">
        <f t="shared" si="484"/>
        <v>0.38661935540994952</v>
      </c>
      <c r="AP419" s="354">
        <f t="shared" si="485"/>
        <v>8.8655884800699247E-2</v>
      </c>
      <c r="AQ419" s="354">
        <f t="shared" si="486"/>
        <v>0.29796347060925027</v>
      </c>
      <c r="AR419" s="374">
        <f t="shared" si="487"/>
        <v>0.70530627256491063</v>
      </c>
      <c r="AS419" s="354">
        <f t="shared" si="488"/>
        <v>0.30563315173170047</v>
      </c>
      <c r="AT419" s="354">
        <f t="shared" si="489"/>
        <v>0.39967312083321016</v>
      </c>
      <c r="AU419" s="355" t="s">
        <v>396</v>
      </c>
      <c r="AV419" s="354" t="s">
        <v>346</v>
      </c>
      <c r="AW419" s="353">
        <v>0</v>
      </c>
      <c r="AX419" s="353">
        <v>0</v>
      </c>
      <c r="AY419" s="353">
        <v>0</v>
      </c>
      <c r="AZ419" s="353">
        <v>0</v>
      </c>
      <c r="BA419" s="353">
        <v>0</v>
      </c>
      <c r="BB419" s="353">
        <v>0</v>
      </c>
    </row>
    <row r="420" spans="1:54" x14ac:dyDescent="0.25">
      <c r="A420" s="348" t="s">
        <v>928</v>
      </c>
      <c r="B420" s="349">
        <v>19</v>
      </c>
      <c r="C420" s="607">
        <v>45108</v>
      </c>
      <c r="D420" s="351">
        <v>45138</v>
      </c>
      <c r="E420" s="352"/>
      <c r="F420" s="352">
        <v>6</v>
      </c>
      <c r="G420" s="429" t="s">
        <v>310</v>
      </c>
      <c r="H420" s="353" t="s">
        <v>947</v>
      </c>
      <c r="I420" s="350" t="s">
        <v>393</v>
      </c>
      <c r="J420" s="560">
        <f t="shared" si="493"/>
        <v>17460</v>
      </c>
      <c r="K420" s="350" t="s">
        <v>394</v>
      </c>
      <c r="L420" s="354">
        <v>2803.6597999999999</v>
      </c>
      <c r="M420" s="560">
        <f t="shared" si="458"/>
        <v>6.2275744011452465</v>
      </c>
      <c r="N420" s="354" t="s">
        <v>395</v>
      </c>
      <c r="O420" s="354">
        <v>0</v>
      </c>
      <c r="P420" s="374">
        <f t="shared" si="459"/>
        <v>0.39238784763684886</v>
      </c>
      <c r="Q420" s="354">
        <f t="shared" si="460"/>
        <v>3.7008159994504859E-2</v>
      </c>
      <c r="R420" s="354">
        <f t="shared" si="461"/>
        <v>6.2384994011971263E-2</v>
      </c>
      <c r="S420" s="354">
        <f t="shared" si="462"/>
        <v>5.5571717322793646E-2</v>
      </c>
      <c r="T420" s="354">
        <f t="shared" si="463"/>
        <v>0.23714574954334258</v>
      </c>
      <c r="U420" s="374">
        <f t="shared" si="464"/>
        <v>1.5748226886371226</v>
      </c>
      <c r="V420" s="354">
        <f t="shared" si="465"/>
        <v>4.1686684376519532E-2</v>
      </c>
      <c r="W420" s="354">
        <f t="shared" si="466"/>
        <v>1.4220191437216247</v>
      </c>
      <c r="X420" s="354">
        <f t="shared" si="467"/>
        <v>0.11111686053897837</v>
      </c>
      <c r="Y420" s="374">
        <f t="shared" si="468"/>
        <v>0.2308665978313322</v>
      </c>
      <c r="Z420" s="354">
        <f t="shared" si="469"/>
        <v>0.11909484927484904</v>
      </c>
      <c r="AA420" s="354">
        <f t="shared" si="470"/>
        <v>0.11177174855648316</v>
      </c>
      <c r="AB420" s="374">
        <f t="shared" si="471"/>
        <v>1.2613156058848176</v>
      </c>
      <c r="AC420" s="354">
        <f t="shared" si="472"/>
        <v>0.35795200839554198</v>
      </c>
      <c r="AD420" s="354">
        <f t="shared" si="473"/>
        <v>0.77918200948112459</v>
      </c>
      <c r="AE420" s="354">
        <f t="shared" si="474"/>
        <v>0.12418158800815102</v>
      </c>
      <c r="AF420" s="374">
        <f t="shared" si="475"/>
        <v>1.0094929590303239</v>
      </c>
      <c r="AG420" s="354">
        <f t="shared" si="476"/>
        <v>6.4876783388316747E-2</v>
      </c>
      <c r="AH420" s="354">
        <f t="shared" si="477"/>
        <v>0.32642117787917108</v>
      </c>
      <c r="AI420" s="354">
        <f t="shared" si="478"/>
        <v>0</v>
      </c>
      <c r="AJ420" s="354">
        <f t="shared" si="479"/>
        <v>0.61819499776283615</v>
      </c>
      <c r="AK420" s="374">
        <f t="shared" si="480"/>
        <v>0.66676307414994074</v>
      </c>
      <c r="AL420" s="354">
        <f t="shared" si="481"/>
        <v>0.19103204671971616</v>
      </c>
      <c r="AM420" s="354">
        <f t="shared" si="482"/>
        <v>0.45056099335709937</v>
      </c>
      <c r="AN420" s="354">
        <f t="shared" si="483"/>
        <v>2.5170034073125257E-2</v>
      </c>
      <c r="AO420" s="374">
        <f t="shared" si="484"/>
        <v>0.38661935540994952</v>
      </c>
      <c r="AP420" s="354">
        <f t="shared" si="485"/>
        <v>8.8655884800699247E-2</v>
      </c>
      <c r="AQ420" s="354">
        <f t="shared" si="486"/>
        <v>0.29796347060925027</v>
      </c>
      <c r="AR420" s="374">
        <f t="shared" si="487"/>
        <v>0.70530627256491063</v>
      </c>
      <c r="AS420" s="354">
        <f t="shared" si="488"/>
        <v>0.30563315173170047</v>
      </c>
      <c r="AT420" s="354">
        <f t="shared" si="489"/>
        <v>0.39967312083321016</v>
      </c>
      <c r="AU420" s="355" t="s">
        <v>396</v>
      </c>
      <c r="AV420" s="354" t="s">
        <v>346</v>
      </c>
      <c r="AW420" s="353">
        <v>0</v>
      </c>
      <c r="AX420" s="353">
        <v>0</v>
      </c>
      <c r="AY420" s="353">
        <v>0</v>
      </c>
      <c r="AZ420" s="353">
        <v>0</v>
      </c>
      <c r="BA420" s="353">
        <v>0</v>
      </c>
      <c r="BB420" s="353">
        <v>0</v>
      </c>
    </row>
    <row r="421" spans="1:54" x14ac:dyDescent="0.25">
      <c r="A421" s="348" t="s">
        <v>928</v>
      </c>
      <c r="B421" s="349">
        <v>19</v>
      </c>
      <c r="C421" s="607">
        <v>45108</v>
      </c>
      <c r="D421" s="351">
        <v>45138</v>
      </c>
      <c r="E421" s="352"/>
      <c r="F421" s="352">
        <v>6</v>
      </c>
      <c r="G421" s="429" t="s">
        <v>310</v>
      </c>
      <c r="H421" s="353" t="s">
        <v>948</v>
      </c>
      <c r="I421" s="350" t="s">
        <v>393</v>
      </c>
      <c r="J421" s="560">
        <f t="shared" si="493"/>
        <v>17460</v>
      </c>
      <c r="K421" s="350" t="s">
        <v>394</v>
      </c>
      <c r="L421" s="354">
        <v>2803.6597999999999</v>
      </c>
      <c r="M421" s="560">
        <f t="shared" si="458"/>
        <v>6.2275744011452465</v>
      </c>
      <c r="N421" s="354" t="s">
        <v>395</v>
      </c>
      <c r="O421" s="354">
        <v>0</v>
      </c>
      <c r="P421" s="374">
        <f t="shared" si="459"/>
        <v>0.39238784763684886</v>
      </c>
      <c r="Q421" s="354">
        <f t="shared" si="460"/>
        <v>3.7008159994504859E-2</v>
      </c>
      <c r="R421" s="354">
        <f t="shared" si="461"/>
        <v>6.2384994011971263E-2</v>
      </c>
      <c r="S421" s="354">
        <f t="shared" si="462"/>
        <v>5.5571717322793646E-2</v>
      </c>
      <c r="T421" s="354">
        <f t="shared" si="463"/>
        <v>0.23714574954334258</v>
      </c>
      <c r="U421" s="374">
        <f t="shared" si="464"/>
        <v>1.5748226886371226</v>
      </c>
      <c r="V421" s="354">
        <f t="shared" si="465"/>
        <v>4.1686684376519532E-2</v>
      </c>
      <c r="W421" s="354">
        <f t="shared" si="466"/>
        <v>1.4220191437216247</v>
      </c>
      <c r="X421" s="354">
        <f t="shared" si="467"/>
        <v>0.11111686053897837</v>
      </c>
      <c r="Y421" s="374">
        <f t="shared" si="468"/>
        <v>0.2308665978313322</v>
      </c>
      <c r="Z421" s="354">
        <f t="shared" si="469"/>
        <v>0.11909484927484904</v>
      </c>
      <c r="AA421" s="354">
        <f t="shared" si="470"/>
        <v>0.11177174855648316</v>
      </c>
      <c r="AB421" s="374">
        <f t="shared" si="471"/>
        <v>1.2613156058848176</v>
      </c>
      <c r="AC421" s="354">
        <f t="shared" si="472"/>
        <v>0.35795200839554198</v>
      </c>
      <c r="AD421" s="354">
        <f t="shared" si="473"/>
        <v>0.77918200948112459</v>
      </c>
      <c r="AE421" s="354">
        <f t="shared" si="474"/>
        <v>0.12418158800815102</v>
      </c>
      <c r="AF421" s="374">
        <f t="shared" si="475"/>
        <v>1.0094929590303239</v>
      </c>
      <c r="AG421" s="354">
        <f t="shared" si="476"/>
        <v>6.4876783388316747E-2</v>
      </c>
      <c r="AH421" s="354">
        <f t="shared" si="477"/>
        <v>0.32642117787917108</v>
      </c>
      <c r="AI421" s="354">
        <f t="shared" si="478"/>
        <v>0</v>
      </c>
      <c r="AJ421" s="354">
        <f t="shared" si="479"/>
        <v>0.61819499776283615</v>
      </c>
      <c r="AK421" s="374">
        <f t="shared" si="480"/>
        <v>0.66676307414994074</v>
      </c>
      <c r="AL421" s="354">
        <f t="shared" si="481"/>
        <v>0.19103204671971616</v>
      </c>
      <c r="AM421" s="354">
        <f t="shared" si="482"/>
        <v>0.45056099335709937</v>
      </c>
      <c r="AN421" s="354">
        <f t="shared" si="483"/>
        <v>2.5170034073125257E-2</v>
      </c>
      <c r="AO421" s="374">
        <f t="shared" si="484"/>
        <v>0.38661935540994952</v>
      </c>
      <c r="AP421" s="354">
        <f t="shared" si="485"/>
        <v>8.8655884800699247E-2</v>
      </c>
      <c r="AQ421" s="354">
        <f t="shared" si="486"/>
        <v>0.29796347060925027</v>
      </c>
      <c r="AR421" s="374">
        <f t="shared" si="487"/>
        <v>0.70530627256491063</v>
      </c>
      <c r="AS421" s="354">
        <f t="shared" si="488"/>
        <v>0.30563315173170047</v>
      </c>
      <c r="AT421" s="354">
        <f t="shared" si="489"/>
        <v>0.39967312083321016</v>
      </c>
      <c r="AU421" s="355" t="s">
        <v>396</v>
      </c>
      <c r="AV421" s="354" t="s">
        <v>346</v>
      </c>
      <c r="AW421" s="353">
        <v>0</v>
      </c>
      <c r="AX421" s="353">
        <v>0</v>
      </c>
      <c r="AY421" s="353">
        <v>0</v>
      </c>
      <c r="AZ421" s="353">
        <v>0</v>
      </c>
      <c r="BA421" s="353">
        <v>0</v>
      </c>
      <c r="BB421" s="353">
        <v>0</v>
      </c>
    </row>
    <row r="422" spans="1:54" x14ac:dyDescent="0.25">
      <c r="A422" s="348" t="s">
        <v>949</v>
      </c>
      <c r="B422" s="349">
        <v>20</v>
      </c>
      <c r="C422" s="607">
        <v>45108</v>
      </c>
      <c r="D422" s="351">
        <v>45138</v>
      </c>
      <c r="E422" s="352"/>
      <c r="F422" s="352">
        <v>6</v>
      </c>
      <c r="G422" s="429" t="s">
        <v>306</v>
      </c>
      <c r="H422" s="353" t="s">
        <v>950</v>
      </c>
      <c r="I422" s="350" t="s">
        <v>393</v>
      </c>
      <c r="J422" s="560">
        <v>13094</v>
      </c>
      <c r="K422" s="350" t="s">
        <v>394</v>
      </c>
      <c r="L422" s="354">
        <v>2803.6597999999999</v>
      </c>
      <c r="M422" s="560">
        <f t="shared" si="458"/>
        <v>4.6703241242036571</v>
      </c>
      <c r="N422" s="354" t="s">
        <v>395</v>
      </c>
      <c r="O422" s="354">
        <v>0</v>
      </c>
      <c r="P422" s="374">
        <f t="shared" si="459"/>
        <v>0.29426841219684413</v>
      </c>
      <c r="Q422" s="354">
        <f t="shared" si="460"/>
        <v>2.7754000399086286E-2</v>
      </c>
      <c r="R422" s="354">
        <f t="shared" si="461"/>
        <v>4.6785172485266417E-2</v>
      </c>
      <c r="S422" s="354">
        <f t="shared" si="462"/>
        <v>4.1675605190415799E-2</v>
      </c>
      <c r="T422" s="354">
        <f t="shared" si="463"/>
        <v>0.17784572992671979</v>
      </c>
      <c r="U422" s="374">
        <f t="shared" si="464"/>
        <v>1.1810268204475649</v>
      </c>
      <c r="V422" s="354">
        <f t="shared" si="465"/>
        <v>3.1262625728874387E-2</v>
      </c>
      <c r="W422" s="354">
        <f t="shared" si="466"/>
        <v>1.0664329133958164</v>
      </c>
      <c r="X422" s="354">
        <f t="shared" si="467"/>
        <v>8.3331281322874165E-2</v>
      </c>
      <c r="Y422" s="374">
        <f t="shared" si="468"/>
        <v>0.17313672577339426</v>
      </c>
      <c r="Z422" s="354">
        <f t="shared" si="469"/>
        <v>8.9314315945296291E-2</v>
      </c>
      <c r="AA422" s="354">
        <f t="shared" si="470"/>
        <v>8.3822409828097966E-2</v>
      </c>
      <c r="AB422" s="374">
        <f t="shared" si="471"/>
        <v>0.94591446411545255</v>
      </c>
      <c r="AC422" s="354">
        <f t="shared" si="472"/>
        <v>0.26844350503615272</v>
      </c>
      <c r="AD422" s="354">
        <f t="shared" si="473"/>
        <v>0.58434188042072421</v>
      </c>
      <c r="AE422" s="354">
        <f t="shared" si="474"/>
        <v>9.3129078658575559E-2</v>
      </c>
      <c r="AF422" s="374">
        <f t="shared" si="475"/>
        <v>0.75706190180658994</v>
      </c>
      <c r="AG422" s="354">
        <f t="shared" si="476"/>
        <v>4.8653871803357354E-2</v>
      </c>
      <c r="AH422" s="354">
        <f t="shared" si="477"/>
        <v>0.24479718803836573</v>
      </c>
      <c r="AI422" s="354">
        <f t="shared" si="478"/>
        <v>0</v>
      </c>
      <c r="AJ422" s="354">
        <f t="shared" si="479"/>
        <v>0.4636108419648669</v>
      </c>
      <c r="AK422" s="374">
        <f t="shared" si="480"/>
        <v>0.50003411757842631</v>
      </c>
      <c r="AL422" s="354">
        <f t="shared" si="481"/>
        <v>0.14326309391454542</v>
      </c>
      <c r="AM422" s="354">
        <f t="shared" si="482"/>
        <v>0.33789493969174444</v>
      </c>
      <c r="AN422" s="354">
        <f t="shared" si="483"/>
        <v>1.8876083972136432E-2</v>
      </c>
      <c r="AO422" s="374">
        <f t="shared" si="484"/>
        <v>0.28994237340995865</v>
      </c>
      <c r="AP422" s="354">
        <f t="shared" si="485"/>
        <v>6.6486835943892084E-2</v>
      </c>
      <c r="AQ422" s="354">
        <f t="shared" si="486"/>
        <v>0.22345553746606658</v>
      </c>
      <c r="AR422" s="374">
        <f t="shared" si="487"/>
        <v>0.52893930887542606</v>
      </c>
      <c r="AS422" s="354">
        <f t="shared" si="488"/>
        <v>0.2292073590363623</v>
      </c>
      <c r="AT422" s="354">
        <f t="shared" si="489"/>
        <v>0.29973194983906376</v>
      </c>
      <c r="AU422" s="355" t="s">
        <v>396</v>
      </c>
      <c r="AV422" s="354" t="s">
        <v>346</v>
      </c>
      <c r="AW422" s="353">
        <v>0</v>
      </c>
      <c r="AX422" s="353">
        <v>0</v>
      </c>
      <c r="AY422" s="353">
        <v>0</v>
      </c>
      <c r="AZ422" s="353">
        <v>0</v>
      </c>
      <c r="BA422" s="353">
        <v>0</v>
      </c>
      <c r="BB422" s="353">
        <v>0</v>
      </c>
    </row>
    <row r="423" spans="1:54" x14ac:dyDescent="0.25">
      <c r="A423" s="348" t="s">
        <v>949</v>
      </c>
      <c r="B423" s="349">
        <v>20</v>
      </c>
      <c r="C423" s="607">
        <v>45108</v>
      </c>
      <c r="D423" s="351">
        <v>45138</v>
      </c>
      <c r="E423" s="352"/>
      <c r="F423" s="352">
        <v>6</v>
      </c>
      <c r="G423" s="429" t="s">
        <v>308</v>
      </c>
      <c r="H423" s="353" t="s">
        <v>951</v>
      </c>
      <c r="I423" s="350" t="s">
        <v>393</v>
      </c>
      <c r="J423" s="560">
        <v>13094</v>
      </c>
      <c r="K423" s="350" t="s">
        <v>394</v>
      </c>
      <c r="L423" s="354">
        <v>2803.6597999999999</v>
      </c>
      <c r="M423" s="560">
        <f t="shared" si="458"/>
        <v>4.6703241242036571</v>
      </c>
      <c r="N423" s="354" t="s">
        <v>395</v>
      </c>
      <c r="O423" s="354">
        <v>0</v>
      </c>
      <c r="P423" s="374">
        <f t="shared" si="459"/>
        <v>0.29426841219684413</v>
      </c>
      <c r="Q423" s="354">
        <f t="shared" si="460"/>
        <v>2.7754000399086286E-2</v>
      </c>
      <c r="R423" s="354">
        <f t="shared" si="461"/>
        <v>4.6785172485266417E-2</v>
      </c>
      <c r="S423" s="354">
        <f t="shared" si="462"/>
        <v>4.1675605190415799E-2</v>
      </c>
      <c r="T423" s="354">
        <f t="shared" si="463"/>
        <v>0.17784572992671979</v>
      </c>
      <c r="U423" s="374">
        <f t="shared" si="464"/>
        <v>1.1810268204475649</v>
      </c>
      <c r="V423" s="354">
        <f t="shared" si="465"/>
        <v>3.1262625728874387E-2</v>
      </c>
      <c r="W423" s="354">
        <f t="shared" si="466"/>
        <v>1.0664329133958164</v>
      </c>
      <c r="X423" s="354">
        <f t="shared" si="467"/>
        <v>8.3331281322874165E-2</v>
      </c>
      <c r="Y423" s="374">
        <f t="shared" si="468"/>
        <v>0.17313672577339426</v>
      </c>
      <c r="Z423" s="354">
        <f t="shared" si="469"/>
        <v>8.9314315945296291E-2</v>
      </c>
      <c r="AA423" s="354">
        <f t="shared" si="470"/>
        <v>8.3822409828097966E-2</v>
      </c>
      <c r="AB423" s="374">
        <f t="shared" si="471"/>
        <v>0.94591446411545255</v>
      </c>
      <c r="AC423" s="354">
        <f t="shared" si="472"/>
        <v>0.26844350503615272</v>
      </c>
      <c r="AD423" s="354">
        <f t="shared" si="473"/>
        <v>0.58434188042072421</v>
      </c>
      <c r="AE423" s="354">
        <f t="shared" si="474"/>
        <v>9.3129078658575559E-2</v>
      </c>
      <c r="AF423" s="374">
        <f t="shared" si="475"/>
        <v>0.75706190180658994</v>
      </c>
      <c r="AG423" s="354">
        <f t="shared" si="476"/>
        <v>4.8653871803357354E-2</v>
      </c>
      <c r="AH423" s="354">
        <f t="shared" si="477"/>
        <v>0.24479718803836573</v>
      </c>
      <c r="AI423" s="354">
        <f t="shared" si="478"/>
        <v>0</v>
      </c>
      <c r="AJ423" s="354">
        <f t="shared" si="479"/>
        <v>0.4636108419648669</v>
      </c>
      <c r="AK423" s="374">
        <f t="shared" si="480"/>
        <v>0.50003411757842631</v>
      </c>
      <c r="AL423" s="354">
        <f t="shared" si="481"/>
        <v>0.14326309391454542</v>
      </c>
      <c r="AM423" s="354">
        <f t="shared" si="482"/>
        <v>0.33789493969174444</v>
      </c>
      <c r="AN423" s="354">
        <f t="shared" si="483"/>
        <v>1.8876083972136432E-2</v>
      </c>
      <c r="AO423" s="374">
        <f t="shared" si="484"/>
        <v>0.28994237340995865</v>
      </c>
      <c r="AP423" s="354">
        <f t="shared" si="485"/>
        <v>6.6486835943892084E-2</v>
      </c>
      <c r="AQ423" s="354">
        <f t="shared" si="486"/>
        <v>0.22345553746606658</v>
      </c>
      <c r="AR423" s="374">
        <f t="shared" si="487"/>
        <v>0.52893930887542606</v>
      </c>
      <c r="AS423" s="354">
        <f t="shared" si="488"/>
        <v>0.2292073590363623</v>
      </c>
      <c r="AT423" s="354">
        <f t="shared" si="489"/>
        <v>0.29973194983906376</v>
      </c>
      <c r="AU423" s="355" t="s">
        <v>396</v>
      </c>
      <c r="AV423" s="354" t="s">
        <v>346</v>
      </c>
      <c r="AW423" s="353">
        <v>0</v>
      </c>
      <c r="AX423" s="353">
        <v>0</v>
      </c>
      <c r="AY423" s="353">
        <v>0</v>
      </c>
      <c r="AZ423" s="353">
        <v>0</v>
      </c>
      <c r="BA423" s="353">
        <v>0</v>
      </c>
      <c r="BB423" s="353">
        <v>0</v>
      </c>
    </row>
    <row r="424" spans="1:54" x14ac:dyDescent="0.25">
      <c r="A424" s="348" t="s">
        <v>949</v>
      </c>
      <c r="B424" s="349">
        <v>20</v>
      </c>
      <c r="C424" s="607">
        <v>45108</v>
      </c>
      <c r="D424" s="351">
        <v>45138</v>
      </c>
      <c r="E424" s="352"/>
      <c r="F424" s="352">
        <v>6</v>
      </c>
      <c r="G424" s="429" t="s">
        <v>309</v>
      </c>
      <c r="H424" s="353" t="s">
        <v>952</v>
      </c>
      <c r="I424" s="350" t="s">
        <v>393</v>
      </c>
      <c r="J424" s="560">
        <v>62857</v>
      </c>
      <c r="K424" s="350" t="s">
        <v>394</v>
      </c>
      <c r="L424" s="354">
        <v>2803.6597999999999</v>
      </c>
      <c r="M424" s="560">
        <f t="shared" si="458"/>
        <v>22.419624520778164</v>
      </c>
      <c r="N424" s="354" t="s">
        <v>395</v>
      </c>
      <c r="O424" s="354">
        <v>0</v>
      </c>
      <c r="P424" s="374">
        <f t="shared" si="459"/>
        <v>1.4126187250234485</v>
      </c>
      <c r="Q424" s="354">
        <f t="shared" si="460"/>
        <v>0.13323149557700986</v>
      </c>
      <c r="R424" s="354">
        <f t="shared" si="461"/>
        <v>0.22458955146680859</v>
      </c>
      <c r="S424" s="354">
        <f t="shared" si="462"/>
        <v>0.20006136516373657</v>
      </c>
      <c r="T424" s="354">
        <f t="shared" si="463"/>
        <v>0.85373828058682055</v>
      </c>
      <c r="U424" s="374">
        <f t="shared" si="464"/>
        <v>5.6694518751239187</v>
      </c>
      <c r="V424" s="354">
        <f t="shared" si="465"/>
        <v>0.15007445130898558</v>
      </c>
      <c r="W424" s="354">
        <f t="shared" si="466"/>
        <v>5.1193503617932512</v>
      </c>
      <c r="X424" s="354">
        <f t="shared" si="467"/>
        <v>0.40002706202168181</v>
      </c>
      <c r="Y424" s="374">
        <f t="shared" si="468"/>
        <v>0.83113297479290071</v>
      </c>
      <c r="Z424" s="354">
        <f t="shared" si="469"/>
        <v>0.42874827840029694</v>
      </c>
      <c r="AA424" s="354">
        <f t="shared" si="470"/>
        <v>0.40238469639260371</v>
      </c>
      <c r="AB424" s="374">
        <f t="shared" si="471"/>
        <v>4.5408084214835043</v>
      </c>
      <c r="AC424" s="354">
        <f t="shared" si="472"/>
        <v>1.2886477314844549</v>
      </c>
      <c r="AD424" s="354">
        <f t="shared" si="473"/>
        <v>2.805099860822168</v>
      </c>
      <c r="AE424" s="354">
        <f t="shared" si="474"/>
        <v>0.44706082917688134</v>
      </c>
      <c r="AF424" s="374">
        <f t="shared" si="475"/>
        <v>3.634232469975319</v>
      </c>
      <c r="AG424" s="354">
        <f t="shared" si="476"/>
        <v>0.23356013593582048</v>
      </c>
      <c r="AH424" s="354">
        <f t="shared" si="477"/>
        <v>1.1751349357360283</v>
      </c>
      <c r="AI424" s="354">
        <f t="shared" si="478"/>
        <v>0</v>
      </c>
      <c r="AJ424" s="354">
        <f t="shared" si="479"/>
        <v>2.2255373983034703</v>
      </c>
      <c r="AK424" s="374">
        <f t="shared" si="480"/>
        <v>2.4003852549738158</v>
      </c>
      <c r="AL424" s="354">
        <f t="shared" si="481"/>
        <v>0.68772630931621981</v>
      </c>
      <c r="AM424" s="354">
        <f t="shared" si="482"/>
        <v>1.6220453814116376</v>
      </c>
      <c r="AN424" s="354">
        <f t="shared" si="483"/>
        <v>9.0613564245958428E-2</v>
      </c>
      <c r="AO424" s="374">
        <f t="shared" si="484"/>
        <v>1.3918518226233216</v>
      </c>
      <c r="AP424" s="354">
        <f t="shared" si="485"/>
        <v>0.31916626293914963</v>
      </c>
      <c r="AQ424" s="354">
        <f t="shared" si="486"/>
        <v>1.072685559684172</v>
      </c>
      <c r="AR424" s="374">
        <f t="shared" si="487"/>
        <v>2.5391429767819353</v>
      </c>
      <c r="AS424" s="354">
        <f t="shared" si="488"/>
        <v>1.100296850996535</v>
      </c>
      <c r="AT424" s="354">
        <f t="shared" si="489"/>
        <v>1.4388461257854006</v>
      </c>
      <c r="AU424" s="355" t="s">
        <v>396</v>
      </c>
      <c r="AV424" s="354" t="s">
        <v>346</v>
      </c>
      <c r="AW424" s="353">
        <v>0</v>
      </c>
      <c r="AX424" s="353">
        <v>0</v>
      </c>
      <c r="AY424" s="353">
        <v>0</v>
      </c>
      <c r="AZ424" s="353">
        <v>0</v>
      </c>
      <c r="BA424" s="353">
        <v>0</v>
      </c>
      <c r="BB424" s="353">
        <v>0</v>
      </c>
    </row>
    <row r="425" spans="1:54" x14ac:dyDescent="0.25">
      <c r="A425" s="348" t="s">
        <v>949</v>
      </c>
      <c r="B425" s="349">
        <v>20</v>
      </c>
      <c r="C425" s="607">
        <v>45108</v>
      </c>
      <c r="D425" s="351">
        <v>45138</v>
      </c>
      <c r="E425" s="352"/>
      <c r="F425" s="352">
        <v>6</v>
      </c>
      <c r="G425" s="429" t="s">
        <v>310</v>
      </c>
      <c r="H425" s="353" t="s">
        <v>953</v>
      </c>
      <c r="I425" s="350" t="s">
        <v>393</v>
      </c>
      <c r="J425" s="560">
        <v>17460</v>
      </c>
      <c r="K425" s="350" t="s">
        <v>394</v>
      </c>
      <c r="L425" s="354">
        <v>2803.6597999999999</v>
      </c>
      <c r="M425" s="560">
        <f t="shared" si="458"/>
        <v>6.2275744011452465</v>
      </c>
      <c r="N425" s="354" t="s">
        <v>395</v>
      </c>
      <c r="O425" s="354">
        <v>0</v>
      </c>
      <c r="P425" s="374">
        <f t="shared" si="459"/>
        <v>0.39238784763684886</v>
      </c>
      <c r="Q425" s="354">
        <f t="shared" si="460"/>
        <v>3.7008159994504859E-2</v>
      </c>
      <c r="R425" s="354">
        <f t="shared" si="461"/>
        <v>6.2384994011971263E-2</v>
      </c>
      <c r="S425" s="354">
        <f t="shared" si="462"/>
        <v>5.5571717322793646E-2</v>
      </c>
      <c r="T425" s="354">
        <f t="shared" si="463"/>
        <v>0.23714574954334258</v>
      </c>
      <c r="U425" s="374">
        <f t="shared" si="464"/>
        <v>1.5748226886371226</v>
      </c>
      <c r="V425" s="354">
        <f t="shared" si="465"/>
        <v>4.1686684376519532E-2</v>
      </c>
      <c r="W425" s="354">
        <f t="shared" si="466"/>
        <v>1.4220191437216247</v>
      </c>
      <c r="X425" s="354">
        <f t="shared" si="467"/>
        <v>0.11111686053897837</v>
      </c>
      <c r="Y425" s="374">
        <f t="shared" si="468"/>
        <v>0.2308665978313322</v>
      </c>
      <c r="Z425" s="354">
        <f t="shared" si="469"/>
        <v>0.11909484927484904</v>
      </c>
      <c r="AA425" s="354">
        <f t="shared" si="470"/>
        <v>0.11177174855648316</v>
      </c>
      <c r="AB425" s="374">
        <f t="shared" si="471"/>
        <v>1.2613156058848176</v>
      </c>
      <c r="AC425" s="354">
        <f t="shared" si="472"/>
        <v>0.35795200839554198</v>
      </c>
      <c r="AD425" s="354">
        <f t="shared" si="473"/>
        <v>0.77918200948112459</v>
      </c>
      <c r="AE425" s="354">
        <f t="shared" si="474"/>
        <v>0.12418158800815102</v>
      </c>
      <c r="AF425" s="374">
        <f t="shared" si="475"/>
        <v>1.0094929590303239</v>
      </c>
      <c r="AG425" s="354">
        <f t="shared" si="476"/>
        <v>6.4876783388316747E-2</v>
      </c>
      <c r="AH425" s="354">
        <f t="shared" si="477"/>
        <v>0.32642117787917108</v>
      </c>
      <c r="AI425" s="354">
        <f t="shared" si="478"/>
        <v>0</v>
      </c>
      <c r="AJ425" s="354">
        <f t="shared" si="479"/>
        <v>0.61819499776283615</v>
      </c>
      <c r="AK425" s="374">
        <f t="shared" si="480"/>
        <v>0.66676307414994074</v>
      </c>
      <c r="AL425" s="354">
        <f t="shared" si="481"/>
        <v>0.19103204671971616</v>
      </c>
      <c r="AM425" s="354">
        <f t="shared" si="482"/>
        <v>0.45056099335709937</v>
      </c>
      <c r="AN425" s="354">
        <f t="shared" si="483"/>
        <v>2.5170034073125257E-2</v>
      </c>
      <c r="AO425" s="374">
        <f t="shared" si="484"/>
        <v>0.38661935540994952</v>
      </c>
      <c r="AP425" s="354">
        <f t="shared" si="485"/>
        <v>8.8655884800699247E-2</v>
      </c>
      <c r="AQ425" s="354">
        <f t="shared" si="486"/>
        <v>0.29796347060925027</v>
      </c>
      <c r="AR425" s="374">
        <f t="shared" si="487"/>
        <v>0.70530627256491063</v>
      </c>
      <c r="AS425" s="354">
        <f t="shared" si="488"/>
        <v>0.30563315173170047</v>
      </c>
      <c r="AT425" s="354">
        <f t="shared" si="489"/>
        <v>0.39967312083321016</v>
      </c>
      <c r="AU425" s="355" t="s">
        <v>396</v>
      </c>
      <c r="AV425" s="354" t="s">
        <v>346</v>
      </c>
      <c r="AW425" s="353">
        <v>0</v>
      </c>
      <c r="AX425" s="353">
        <v>0</v>
      </c>
      <c r="AY425" s="353">
        <v>0</v>
      </c>
      <c r="AZ425" s="353">
        <v>0</v>
      </c>
      <c r="BA425" s="353">
        <v>0</v>
      </c>
      <c r="BB425" s="353">
        <v>0</v>
      </c>
    </row>
    <row r="426" spans="1:54" x14ac:dyDescent="0.25">
      <c r="A426" s="348" t="s">
        <v>954</v>
      </c>
      <c r="B426" s="349">
        <v>21</v>
      </c>
      <c r="C426" s="423">
        <v>45139</v>
      </c>
      <c r="D426" s="351">
        <v>45164</v>
      </c>
      <c r="E426" s="352"/>
      <c r="F426" s="352">
        <v>6</v>
      </c>
      <c r="G426" s="429" t="s">
        <v>306</v>
      </c>
      <c r="H426" s="353" t="s">
        <v>956</v>
      </c>
      <c r="I426" s="350" t="s">
        <v>393</v>
      </c>
      <c r="J426" s="560">
        <v>382454</v>
      </c>
      <c r="K426" s="350" t="s">
        <v>394</v>
      </c>
      <c r="L426" s="354">
        <v>2803.6597999999999</v>
      </c>
      <c r="M426" s="560">
        <f t="shared" si="458"/>
        <v>136.4124135175031</v>
      </c>
      <c r="N426" s="354" t="s">
        <v>395</v>
      </c>
      <c r="O426" s="354">
        <v>0</v>
      </c>
      <c r="P426" s="374">
        <f t="shared" si="459"/>
        <v>8.5950917457103895</v>
      </c>
      <c r="Q426" s="354">
        <f t="shared" si="460"/>
        <v>0.81064827162304476</v>
      </c>
      <c r="R426" s="354">
        <f t="shared" si="461"/>
        <v>1.3665172107591328</v>
      </c>
      <c r="S426" s="354">
        <f t="shared" si="462"/>
        <v>1.2172752335035351</v>
      </c>
      <c r="T426" s="354">
        <f t="shared" si="463"/>
        <v>5.1945784934621733</v>
      </c>
      <c r="U426" s="374">
        <f t="shared" si="464"/>
        <v>34.495832563575149</v>
      </c>
      <c r="V426" s="354">
        <f t="shared" si="465"/>
        <v>0.91312939212699895</v>
      </c>
      <c r="W426" s="354">
        <f t="shared" si="466"/>
        <v>31.148734799135756</v>
      </c>
      <c r="X426" s="354">
        <f t="shared" si="467"/>
        <v>2.4339683723123962</v>
      </c>
      <c r="Y426" s="374">
        <f t="shared" si="468"/>
        <v>5.0570363005145662</v>
      </c>
      <c r="Z426" s="354">
        <f t="shared" si="469"/>
        <v>2.6087228799864324</v>
      </c>
      <c r="AA426" s="354">
        <f t="shared" si="470"/>
        <v>2.4483134205281334</v>
      </c>
      <c r="AB426" s="374">
        <f t="shared" si="471"/>
        <v>27.628590992730359</v>
      </c>
      <c r="AC426" s="354">
        <f t="shared" si="472"/>
        <v>7.8407890847026698</v>
      </c>
      <c r="AD426" s="354">
        <f t="shared" si="473"/>
        <v>17.067656142846165</v>
      </c>
      <c r="AE426" s="354">
        <f t="shared" si="474"/>
        <v>2.7201457651815231</v>
      </c>
      <c r="AF426" s="374">
        <f t="shared" si="475"/>
        <v>22.112521200056328</v>
      </c>
      <c r="AG426" s="354">
        <f t="shared" si="476"/>
        <v>1.4210988152345527</v>
      </c>
      <c r="AH426" s="354">
        <f t="shared" si="477"/>
        <v>7.150119425234851</v>
      </c>
      <c r="AI426" s="354">
        <f t="shared" si="478"/>
        <v>0</v>
      </c>
      <c r="AJ426" s="354">
        <f t="shared" si="479"/>
        <v>13.541302959586925</v>
      </c>
      <c r="AK426" s="374">
        <f t="shared" si="480"/>
        <v>14.605166366606039</v>
      </c>
      <c r="AL426" s="354">
        <f t="shared" si="481"/>
        <v>4.184477113181118</v>
      </c>
      <c r="AM426" s="354">
        <f t="shared" si="482"/>
        <v>9.8693501806068777</v>
      </c>
      <c r="AN426" s="354">
        <f t="shared" si="483"/>
        <v>0.55133907281804395</v>
      </c>
      <c r="AO426" s="374">
        <f t="shared" si="484"/>
        <v>8.4687353352781685</v>
      </c>
      <c r="AP426" s="354">
        <f t="shared" si="485"/>
        <v>1.9419700896659007</v>
      </c>
      <c r="AQ426" s="354">
        <f t="shared" si="486"/>
        <v>6.5267652456122676</v>
      </c>
      <c r="AR426" s="374">
        <f t="shared" si="487"/>
        <v>15.449439013032093</v>
      </c>
      <c r="AS426" s="354">
        <f t="shared" si="488"/>
        <v>6.6947664039172841</v>
      </c>
      <c r="AT426" s="354">
        <f t="shared" si="489"/>
        <v>8.7546726091148095</v>
      </c>
      <c r="AU426" s="355" t="s">
        <v>396</v>
      </c>
      <c r="AV426" s="354" t="s">
        <v>346</v>
      </c>
      <c r="AW426" s="353">
        <v>0</v>
      </c>
      <c r="AX426" s="353">
        <v>0</v>
      </c>
      <c r="AY426" s="353">
        <v>0</v>
      </c>
      <c r="AZ426" s="353">
        <v>0</v>
      </c>
      <c r="BA426" s="353">
        <v>0</v>
      </c>
      <c r="BB426" s="353">
        <v>0</v>
      </c>
    </row>
    <row r="427" spans="1:54" x14ac:dyDescent="0.25">
      <c r="A427" s="348" t="s">
        <v>954</v>
      </c>
      <c r="B427" s="349">
        <v>21</v>
      </c>
      <c r="C427" s="423">
        <v>45139</v>
      </c>
      <c r="D427" s="351">
        <v>45164</v>
      </c>
      <c r="E427" s="352"/>
      <c r="F427" s="352">
        <v>6</v>
      </c>
      <c r="G427" s="429" t="s">
        <v>307</v>
      </c>
      <c r="H427" s="353" t="s">
        <v>957</v>
      </c>
      <c r="I427" s="350" t="s">
        <v>393</v>
      </c>
      <c r="J427" s="560">
        <v>216919</v>
      </c>
      <c r="K427" s="350" t="s">
        <v>394</v>
      </c>
      <c r="L427" s="354">
        <v>2803.6597999999999</v>
      </c>
      <c r="M427" s="560">
        <f t="shared" si="458"/>
        <v>77.369943386141216</v>
      </c>
      <c r="N427" s="354" t="s">
        <v>395</v>
      </c>
      <c r="O427" s="354">
        <v>0</v>
      </c>
      <c r="P427" s="374">
        <f t="shared" si="459"/>
        <v>4.8749358259758084</v>
      </c>
      <c r="Q427" s="354">
        <f t="shared" si="460"/>
        <v>0.4597808166006872</v>
      </c>
      <c r="R427" s="354">
        <f t="shared" si="461"/>
        <v>0.77505673058893443</v>
      </c>
      <c r="S427" s="354">
        <f t="shared" si="462"/>
        <v>0.69041015749960333</v>
      </c>
      <c r="T427" s="354">
        <f t="shared" si="463"/>
        <v>2.946243920114108</v>
      </c>
      <c r="U427" s="374">
        <f t="shared" si="464"/>
        <v>19.56523269166529</v>
      </c>
      <c r="V427" s="354">
        <f t="shared" si="465"/>
        <v>0.51790572097767695</v>
      </c>
      <c r="W427" s="354">
        <f t="shared" si="466"/>
        <v>17.666836806240042</v>
      </c>
      <c r="X427" s="354">
        <f t="shared" si="467"/>
        <v>1.3804901644475744</v>
      </c>
      <c r="Y427" s="374">
        <f t="shared" si="468"/>
        <v>2.8682331921520472</v>
      </c>
      <c r="Z427" s="354">
        <f t="shared" si="469"/>
        <v>1.4796068505069286</v>
      </c>
      <c r="AA427" s="354">
        <f t="shared" si="470"/>
        <v>1.3886263416451183</v>
      </c>
      <c r="AB427" s="374">
        <f t="shared" si="471"/>
        <v>15.670293236708405</v>
      </c>
      <c r="AC427" s="354">
        <f t="shared" si="472"/>
        <v>4.4471129272137784</v>
      </c>
      <c r="AD427" s="354">
        <f t="shared" si="473"/>
        <v>9.6803769939654103</v>
      </c>
      <c r="AE427" s="354">
        <f t="shared" si="474"/>
        <v>1.5428033155292158</v>
      </c>
      <c r="AF427" s="374">
        <f t="shared" si="475"/>
        <v>12.541706940429485</v>
      </c>
      <c r="AG427" s="354">
        <f t="shared" si="476"/>
        <v>0.80601414523541115</v>
      </c>
      <c r="AH427" s="354">
        <f t="shared" si="477"/>
        <v>4.0553811846719299</v>
      </c>
      <c r="AI427" s="354">
        <f t="shared" si="478"/>
        <v>0</v>
      </c>
      <c r="AJ427" s="354">
        <f t="shared" si="479"/>
        <v>7.6803116105221445</v>
      </c>
      <c r="AK427" s="374">
        <f t="shared" si="480"/>
        <v>8.2837101535813851</v>
      </c>
      <c r="AL427" s="354">
        <f t="shared" si="481"/>
        <v>2.373337946299777</v>
      </c>
      <c r="AM427" s="354">
        <f t="shared" si="482"/>
        <v>5.5976655279512384</v>
      </c>
      <c r="AN427" s="354">
        <f t="shared" si="483"/>
        <v>0.31270667933036983</v>
      </c>
      <c r="AO427" s="374">
        <f t="shared" si="484"/>
        <v>4.803269413297298</v>
      </c>
      <c r="AP427" s="354">
        <f t="shared" si="485"/>
        <v>1.1014401990310925</v>
      </c>
      <c r="AQ427" s="354">
        <f t="shared" si="486"/>
        <v>3.7018292142662057</v>
      </c>
      <c r="AR427" s="374">
        <f t="shared" si="487"/>
        <v>8.7625619323314918</v>
      </c>
      <c r="AS427" s="354">
        <f t="shared" si="488"/>
        <v>3.7971155578744979</v>
      </c>
      <c r="AT427" s="354">
        <f t="shared" si="489"/>
        <v>4.9654463744569943</v>
      </c>
      <c r="AU427" s="355" t="s">
        <v>396</v>
      </c>
      <c r="AV427" s="354" t="s">
        <v>346</v>
      </c>
      <c r="AW427" s="353">
        <v>0</v>
      </c>
      <c r="AX427" s="353">
        <v>0</v>
      </c>
      <c r="AY427" s="353">
        <v>0</v>
      </c>
      <c r="AZ427" s="353">
        <v>0</v>
      </c>
      <c r="BA427" s="353">
        <v>0</v>
      </c>
      <c r="BB427" s="353">
        <v>0</v>
      </c>
    </row>
    <row r="428" spans="1:54" x14ac:dyDescent="0.25">
      <c r="A428" s="348" t="s">
        <v>954</v>
      </c>
      <c r="B428" s="349">
        <v>21</v>
      </c>
      <c r="C428" s="423">
        <v>45139</v>
      </c>
      <c r="D428" s="351">
        <v>45164</v>
      </c>
      <c r="E428" s="352"/>
      <c r="F428" s="352">
        <v>6</v>
      </c>
      <c r="G428" s="429" t="s">
        <v>308</v>
      </c>
      <c r="H428" s="353" t="s">
        <v>958</v>
      </c>
      <c r="I428" s="350" t="s">
        <v>393</v>
      </c>
      <c r="J428" s="560">
        <v>382797</v>
      </c>
      <c r="K428" s="350" t="s">
        <v>394</v>
      </c>
      <c r="L428" s="354">
        <v>2803.6597999999999</v>
      </c>
      <c r="M428" s="560">
        <f t="shared" si="458"/>
        <v>136.53475361026327</v>
      </c>
      <c r="N428" s="354" t="s">
        <v>395</v>
      </c>
      <c r="O428" s="354">
        <v>0</v>
      </c>
      <c r="P428" s="374">
        <f t="shared" si="459"/>
        <v>8.6028001667722123</v>
      </c>
      <c r="Q428" s="354">
        <f t="shared" si="460"/>
        <v>0.81137529332282221</v>
      </c>
      <c r="R428" s="354">
        <f t="shared" si="461"/>
        <v>1.3677427578923576</v>
      </c>
      <c r="S428" s="354">
        <f t="shared" si="462"/>
        <v>1.2183669344795782</v>
      </c>
      <c r="T428" s="354">
        <f t="shared" si="463"/>
        <v>5.1992371986221597</v>
      </c>
      <c r="U428" s="374">
        <f t="shared" si="464"/>
        <v>34.526769801960171</v>
      </c>
      <c r="V428" s="354">
        <f t="shared" si="465"/>
        <v>0.91394832298273465</v>
      </c>
      <c r="W428" s="354">
        <f t="shared" si="466"/>
        <v>31.176670226758691</v>
      </c>
      <c r="X428" s="354">
        <f t="shared" si="467"/>
        <v>2.4361512522187461</v>
      </c>
      <c r="Y428" s="374">
        <f t="shared" si="468"/>
        <v>5.0615716523505414</v>
      </c>
      <c r="Z428" s="354">
        <f t="shared" si="469"/>
        <v>2.6110624867047179</v>
      </c>
      <c r="AA428" s="354">
        <f t="shared" si="470"/>
        <v>2.4505091656458231</v>
      </c>
      <c r="AB428" s="374">
        <f t="shared" si="471"/>
        <v>27.653369414999457</v>
      </c>
      <c r="AC428" s="354">
        <f t="shared" si="472"/>
        <v>7.8478210170554563</v>
      </c>
      <c r="AD428" s="354">
        <f t="shared" si="473"/>
        <v>17.082963097557048</v>
      </c>
      <c r="AE428" s="354">
        <f t="shared" si="474"/>
        <v>2.7225853003869518</v>
      </c>
      <c r="AF428" s="374">
        <f t="shared" si="475"/>
        <v>22.132352590946784</v>
      </c>
      <c r="AG428" s="354">
        <f t="shared" si="476"/>
        <v>1.4223733133274616</v>
      </c>
      <c r="AH428" s="354">
        <f t="shared" si="477"/>
        <v>7.1565319374921552</v>
      </c>
      <c r="AI428" s="354">
        <f t="shared" si="478"/>
        <v>0</v>
      </c>
      <c r="AJ428" s="354">
        <f t="shared" si="479"/>
        <v>13.553447340127168</v>
      </c>
      <c r="AK428" s="374">
        <f t="shared" si="480"/>
        <v>14.618264862278053</v>
      </c>
      <c r="AL428" s="354">
        <f t="shared" si="481"/>
        <v>4.1882299191390127</v>
      </c>
      <c r="AM428" s="354">
        <f t="shared" si="482"/>
        <v>9.8782014074523214</v>
      </c>
      <c r="AN428" s="354">
        <f t="shared" si="483"/>
        <v>0.55183353568671978</v>
      </c>
      <c r="AO428" s="374">
        <f t="shared" si="484"/>
        <v>8.476330434871846</v>
      </c>
      <c r="AP428" s="354">
        <f t="shared" si="485"/>
        <v>1.9437117258907941</v>
      </c>
      <c r="AQ428" s="354">
        <f t="shared" si="486"/>
        <v>6.5326187089810519</v>
      </c>
      <c r="AR428" s="374">
        <f t="shared" si="487"/>
        <v>15.463294686084197</v>
      </c>
      <c r="AS428" s="354">
        <f t="shared" si="488"/>
        <v>6.7007705374249564</v>
      </c>
      <c r="AT428" s="354">
        <f t="shared" si="489"/>
        <v>8.7625241486592405</v>
      </c>
      <c r="AU428" s="355" t="s">
        <v>396</v>
      </c>
      <c r="AV428" s="354" t="s">
        <v>346</v>
      </c>
      <c r="AW428" s="353">
        <v>0</v>
      </c>
      <c r="AX428" s="353">
        <v>0</v>
      </c>
      <c r="AY428" s="353">
        <v>0</v>
      </c>
      <c r="AZ428" s="353">
        <v>0</v>
      </c>
      <c r="BA428" s="353">
        <v>0</v>
      </c>
      <c r="BB428" s="353">
        <v>0</v>
      </c>
    </row>
    <row r="429" spans="1:54" x14ac:dyDescent="0.25">
      <c r="A429" s="348" t="s">
        <v>954</v>
      </c>
      <c r="B429" s="349">
        <v>21</v>
      </c>
      <c r="C429" s="423">
        <v>45139</v>
      </c>
      <c r="D429" s="351">
        <v>45164</v>
      </c>
      <c r="E429" s="352"/>
      <c r="F429" s="352">
        <v>6</v>
      </c>
      <c r="G429" s="429" t="s">
        <v>309</v>
      </c>
      <c r="H429" s="353" t="s">
        <v>959</v>
      </c>
      <c r="I429" s="350" t="s">
        <v>393</v>
      </c>
      <c r="J429" s="560">
        <v>1288541</v>
      </c>
      <c r="K429" s="350" t="s">
        <v>394</v>
      </c>
      <c r="L429" s="354">
        <v>2803.6597999999999</v>
      </c>
      <c r="M429" s="560">
        <f t="shared" si="458"/>
        <v>459.59249406793225</v>
      </c>
      <c r="N429" s="354" t="s">
        <v>395</v>
      </c>
      <c r="O429" s="354">
        <v>0</v>
      </c>
      <c r="P429" s="374">
        <f t="shared" si="459"/>
        <v>28.958065840883901</v>
      </c>
      <c r="Q429" s="354">
        <f t="shared" si="460"/>
        <v>2.7311873704169121</v>
      </c>
      <c r="R429" s="354">
        <f t="shared" si="461"/>
        <v>4.6039875469174953</v>
      </c>
      <c r="S429" s="354">
        <f t="shared" si="462"/>
        <v>4.1011704588104152</v>
      </c>
      <c r="T429" s="354">
        <f t="shared" si="463"/>
        <v>17.501261240683174</v>
      </c>
      <c r="U429" s="374">
        <f t="shared" si="464"/>
        <v>116.22128304920771</v>
      </c>
      <c r="V429" s="354">
        <f t="shared" si="465"/>
        <v>3.0764605941125347</v>
      </c>
      <c r="W429" s="354">
        <f t="shared" si="466"/>
        <v>104.9444426958881</v>
      </c>
      <c r="X429" s="354">
        <f t="shared" si="467"/>
        <v>8.2003797592070882</v>
      </c>
      <c r="Y429" s="374">
        <f t="shared" si="468"/>
        <v>17.037862361751582</v>
      </c>
      <c r="Z429" s="354">
        <f t="shared" si="469"/>
        <v>8.7891521294079755</v>
      </c>
      <c r="AA429" s="354">
        <f t="shared" si="470"/>
        <v>8.2487102323436066</v>
      </c>
      <c r="AB429" s="374">
        <f t="shared" si="471"/>
        <v>93.084586032212414</v>
      </c>
      <c r="AC429" s="354">
        <f t="shared" si="472"/>
        <v>26.416714710767469</v>
      </c>
      <c r="AD429" s="354">
        <f t="shared" si="473"/>
        <v>57.503319912876165</v>
      </c>
      <c r="AE429" s="354">
        <f t="shared" si="474"/>
        <v>9.16455140856878</v>
      </c>
      <c r="AF429" s="374">
        <f t="shared" si="475"/>
        <v>74.500175654174825</v>
      </c>
      <c r="AG429" s="354">
        <f t="shared" si="476"/>
        <v>4.7878806038926136</v>
      </c>
      <c r="AH429" s="354">
        <f t="shared" si="477"/>
        <v>24.089752059885736</v>
      </c>
      <c r="AI429" s="354">
        <f t="shared" si="478"/>
        <v>0</v>
      </c>
      <c r="AJ429" s="354">
        <f t="shared" si="479"/>
        <v>45.622542990396482</v>
      </c>
      <c r="AK429" s="374">
        <f t="shared" si="480"/>
        <v>49.206847556027419</v>
      </c>
      <c r="AL429" s="354">
        <f t="shared" si="481"/>
        <v>14.09808846003836</v>
      </c>
      <c r="AM429" s="354">
        <f t="shared" si="482"/>
        <v>33.251220672471369</v>
      </c>
      <c r="AN429" s="354">
        <f t="shared" si="483"/>
        <v>1.8575384235176913</v>
      </c>
      <c r="AO429" s="374">
        <f t="shared" si="484"/>
        <v>28.53235342722175</v>
      </c>
      <c r="AP429" s="354">
        <f t="shared" si="485"/>
        <v>6.542768754695178</v>
      </c>
      <c r="AQ429" s="354">
        <f t="shared" si="486"/>
        <v>21.989584672526572</v>
      </c>
      <c r="AR429" s="374">
        <f t="shared" si="487"/>
        <v>52.051320146452611</v>
      </c>
      <c r="AS429" s="354">
        <f t="shared" si="488"/>
        <v>22.555604064462607</v>
      </c>
      <c r="AT429" s="354">
        <f t="shared" si="489"/>
        <v>29.495716081990007</v>
      </c>
      <c r="AU429" s="355" t="s">
        <v>396</v>
      </c>
      <c r="AV429" s="354" t="s">
        <v>346</v>
      </c>
      <c r="AW429" s="353">
        <v>0</v>
      </c>
      <c r="AX429" s="353">
        <v>0</v>
      </c>
      <c r="AY429" s="353">
        <v>0</v>
      </c>
      <c r="AZ429" s="353">
        <v>0</v>
      </c>
      <c r="BA429" s="353">
        <v>0</v>
      </c>
      <c r="BB429" s="353">
        <v>0</v>
      </c>
    </row>
    <row r="430" spans="1:54" x14ac:dyDescent="0.25">
      <c r="A430" s="348" t="s">
        <v>954</v>
      </c>
      <c r="B430" s="349">
        <v>21</v>
      </c>
      <c r="C430" s="423">
        <v>45139</v>
      </c>
      <c r="D430" s="351">
        <v>45164</v>
      </c>
      <c r="E430" s="352"/>
      <c r="F430" s="352">
        <v>6</v>
      </c>
      <c r="G430" s="429" t="s">
        <v>310</v>
      </c>
      <c r="H430" s="353" t="s">
        <v>960</v>
      </c>
      <c r="I430" s="350" t="s">
        <v>393</v>
      </c>
      <c r="J430" s="560">
        <v>505196</v>
      </c>
      <c r="K430" s="350" t="s">
        <v>394</v>
      </c>
      <c r="L430" s="354">
        <v>2803.6597999999999</v>
      </c>
      <c r="M430" s="560">
        <f t="shared" si="458"/>
        <v>180.19161953957467</v>
      </c>
      <c r="N430" s="354" t="s">
        <v>395</v>
      </c>
      <c r="O430" s="354">
        <v>0</v>
      </c>
      <c r="P430" s="374">
        <f t="shared" si="459"/>
        <v>11.35353786224201</v>
      </c>
      <c r="Q430" s="354">
        <f t="shared" si="460"/>
        <v>1.0708118211101876</v>
      </c>
      <c r="R430" s="354">
        <f t="shared" si="461"/>
        <v>1.8050772872206091</v>
      </c>
      <c r="S430" s="354">
        <f t="shared" si="462"/>
        <v>1.6079386772397513</v>
      </c>
      <c r="T430" s="354">
        <f t="shared" si="463"/>
        <v>6.8616886647364552</v>
      </c>
      <c r="U430" s="374">
        <f t="shared" si="464"/>
        <v>45.56667371183962</v>
      </c>
      <c r="V430" s="354">
        <f t="shared" si="465"/>
        <v>1.2061824856976038</v>
      </c>
      <c r="W430" s="354">
        <f t="shared" si="466"/>
        <v>41.145382779587052</v>
      </c>
      <c r="X430" s="354">
        <f t="shared" si="467"/>
        <v>3.2151084465549666</v>
      </c>
      <c r="Y430" s="374">
        <f t="shared" si="468"/>
        <v>6.6800046825886419</v>
      </c>
      <c r="Z430" s="354">
        <f t="shared" si="469"/>
        <v>3.4459473925691078</v>
      </c>
      <c r="AA430" s="354">
        <f t="shared" si="470"/>
        <v>3.2340572900195337</v>
      </c>
      <c r="AB430" s="374">
        <f t="shared" si="471"/>
        <v>36.495509669563937</v>
      </c>
      <c r="AC430" s="354">
        <f t="shared" si="472"/>
        <v>10.357154801454422</v>
      </c>
      <c r="AD430" s="354">
        <f t="shared" si="473"/>
        <v>22.545225341456256</v>
      </c>
      <c r="AE430" s="354">
        <f t="shared" si="474"/>
        <v>3.5931295266532568</v>
      </c>
      <c r="AF430" s="374">
        <f t="shared" si="475"/>
        <v>29.209152630600428</v>
      </c>
      <c r="AG430" s="354">
        <f t="shared" si="476"/>
        <v>1.877175914126235</v>
      </c>
      <c r="AH430" s="354">
        <f t="shared" si="477"/>
        <v>9.4448266540576</v>
      </c>
      <c r="AI430" s="354">
        <f t="shared" si="478"/>
        <v>0</v>
      </c>
      <c r="AJ430" s="354">
        <f t="shared" si="479"/>
        <v>17.887150062416595</v>
      </c>
      <c r="AK430" s="374">
        <f t="shared" si="480"/>
        <v>19.292442039418869</v>
      </c>
      <c r="AL430" s="354">
        <f t="shared" si="481"/>
        <v>5.5274127075952872</v>
      </c>
      <c r="AM430" s="354">
        <f t="shared" si="482"/>
        <v>13.036747514320341</v>
      </c>
      <c r="AN430" s="354">
        <f t="shared" si="483"/>
        <v>0.72828181750324095</v>
      </c>
      <c r="AO430" s="374">
        <f t="shared" si="484"/>
        <v>11.186629546144607</v>
      </c>
      <c r="AP430" s="354">
        <f t="shared" si="485"/>
        <v>2.5652118200328782</v>
      </c>
      <c r="AQ430" s="354">
        <f t="shared" si="486"/>
        <v>8.6214177261117282</v>
      </c>
      <c r="AR430" s="374">
        <f t="shared" si="487"/>
        <v>20.407669397176551</v>
      </c>
      <c r="AS430" s="354">
        <f t="shared" si="488"/>
        <v>8.8433359520187942</v>
      </c>
      <c r="AT430" s="354">
        <f t="shared" si="489"/>
        <v>11.564333445157757</v>
      </c>
      <c r="AU430" s="355" t="s">
        <v>396</v>
      </c>
      <c r="AV430" s="354" t="s">
        <v>346</v>
      </c>
      <c r="AW430" s="353">
        <v>0</v>
      </c>
      <c r="AX430" s="353">
        <v>0</v>
      </c>
      <c r="AY430" s="353">
        <v>0</v>
      </c>
      <c r="AZ430" s="353">
        <v>0</v>
      </c>
      <c r="BA430" s="353">
        <v>0</v>
      </c>
      <c r="BB430" s="353">
        <v>0</v>
      </c>
    </row>
    <row r="431" spans="1:54" x14ac:dyDescent="0.25">
      <c r="A431" s="348" t="s">
        <v>954</v>
      </c>
      <c r="B431" s="349">
        <v>21</v>
      </c>
      <c r="C431" s="423">
        <v>45139</v>
      </c>
      <c r="D431" s="351">
        <v>45164</v>
      </c>
      <c r="E431" s="352"/>
      <c r="F431" s="352">
        <v>6</v>
      </c>
      <c r="G431" s="429" t="s">
        <v>311</v>
      </c>
      <c r="H431" s="353" t="s">
        <v>961</v>
      </c>
      <c r="I431" s="350" t="s">
        <v>393</v>
      </c>
      <c r="J431" s="560">
        <v>147836</v>
      </c>
      <c r="K431" s="350" t="s">
        <v>394</v>
      </c>
      <c r="L431" s="354">
        <v>2803.6597999999999</v>
      </c>
      <c r="M431" s="560">
        <f t="shared" si="458"/>
        <v>52.729650009605301</v>
      </c>
      <c r="N431" s="354" t="s">
        <v>395</v>
      </c>
      <c r="O431" s="354">
        <v>0</v>
      </c>
      <c r="P431" s="374">
        <f t="shared" si="459"/>
        <v>3.3223968982383267</v>
      </c>
      <c r="Q431" s="354">
        <f t="shared" si="460"/>
        <v>0.31335271139447995</v>
      </c>
      <c r="R431" s="354">
        <f t="shared" si="461"/>
        <v>0.52822153349105283</v>
      </c>
      <c r="S431" s="354">
        <f t="shared" si="462"/>
        <v>0.47053266907975488</v>
      </c>
      <c r="T431" s="354">
        <f t="shared" si="463"/>
        <v>2.0079426706465977</v>
      </c>
      <c r="U431" s="374">
        <f t="shared" si="464"/>
        <v>13.334220332036521</v>
      </c>
      <c r="V431" s="354">
        <f t="shared" si="465"/>
        <v>0.35296636148265415</v>
      </c>
      <c r="W431" s="354">
        <f t="shared" si="466"/>
        <v>12.040413638672973</v>
      </c>
      <c r="X431" s="354">
        <f t="shared" si="467"/>
        <v>0.94084033188089389</v>
      </c>
      <c r="Y431" s="374">
        <f t="shared" si="468"/>
        <v>1.9547763091061181</v>
      </c>
      <c r="Z431" s="354">
        <f t="shared" si="469"/>
        <v>1.0083909586137789</v>
      </c>
      <c r="AA431" s="354">
        <f t="shared" si="470"/>
        <v>0.94638535049233907</v>
      </c>
      <c r="AB431" s="374">
        <f t="shared" si="471"/>
        <v>10.67971671887674</v>
      </c>
      <c r="AC431" s="354">
        <f t="shared" si="472"/>
        <v>3.0308243478329517</v>
      </c>
      <c r="AD431" s="354">
        <f t="shared" si="473"/>
        <v>6.5974313604611421</v>
      </c>
      <c r="AE431" s="354">
        <f t="shared" si="474"/>
        <v>1.0514610105826467</v>
      </c>
      <c r="AF431" s="374">
        <f t="shared" si="475"/>
        <v>8.547502926185965</v>
      </c>
      <c r="AG431" s="354">
        <f t="shared" si="476"/>
        <v>0.5493198252574566</v>
      </c>
      <c r="AH431" s="354">
        <f t="shared" si="477"/>
        <v>2.7638488690117486</v>
      </c>
      <c r="AI431" s="354">
        <f t="shared" si="478"/>
        <v>0</v>
      </c>
      <c r="AJ431" s="354">
        <f t="shared" si="479"/>
        <v>5.2343342319167601</v>
      </c>
      <c r="AK431" s="374">
        <f t="shared" si="480"/>
        <v>5.6455661987417312</v>
      </c>
      <c r="AL431" s="354">
        <f t="shared" si="481"/>
        <v>1.6174921912288633</v>
      </c>
      <c r="AM431" s="354">
        <f t="shared" si="482"/>
        <v>3.8149561863654142</v>
      </c>
      <c r="AN431" s="354">
        <f t="shared" si="483"/>
        <v>0.2131178211474539</v>
      </c>
      <c r="AO431" s="374">
        <f t="shared" si="484"/>
        <v>3.2735543543175996</v>
      </c>
      <c r="AP431" s="354">
        <f t="shared" si="485"/>
        <v>0.75066044589897896</v>
      </c>
      <c r="AQ431" s="354">
        <f t="shared" si="486"/>
        <v>2.5228939084186206</v>
      </c>
      <c r="AR431" s="374">
        <f t="shared" si="487"/>
        <v>5.9719162721022983</v>
      </c>
      <c r="AS431" s="354">
        <f t="shared" si="488"/>
        <v>2.5878340560943687</v>
      </c>
      <c r="AT431" s="354">
        <f t="shared" si="489"/>
        <v>3.38408221600793</v>
      </c>
      <c r="AU431" s="355" t="s">
        <v>396</v>
      </c>
      <c r="AV431" s="354" t="s">
        <v>346</v>
      </c>
      <c r="AW431" s="353">
        <v>0</v>
      </c>
      <c r="AX431" s="353">
        <v>0</v>
      </c>
      <c r="AY431" s="353">
        <v>0</v>
      </c>
      <c r="AZ431" s="353">
        <v>0</v>
      </c>
      <c r="BA431" s="353">
        <v>0</v>
      </c>
      <c r="BB431" s="353">
        <v>0</v>
      </c>
    </row>
    <row r="432" spans="1:54" x14ac:dyDescent="0.25">
      <c r="A432" s="348" t="s">
        <v>962</v>
      </c>
      <c r="B432" s="349">
        <v>21</v>
      </c>
      <c r="C432" s="423">
        <v>45139</v>
      </c>
      <c r="D432" s="351">
        <v>45154</v>
      </c>
      <c r="E432" s="352"/>
      <c r="F432" s="352">
        <v>6</v>
      </c>
      <c r="G432" s="429" t="s">
        <v>306</v>
      </c>
      <c r="H432" s="353" t="s">
        <v>963</v>
      </c>
      <c r="I432" s="350" t="s">
        <v>393</v>
      </c>
      <c r="J432" s="560">
        <v>14123</v>
      </c>
      <c r="K432" s="350" t="s">
        <v>394</v>
      </c>
      <c r="L432" s="354">
        <v>2803.6597999999999</v>
      </c>
      <c r="M432" s="560">
        <f t="shared" si="458"/>
        <v>5.0373444024842104</v>
      </c>
      <c r="N432" s="354" t="s">
        <v>395</v>
      </c>
      <c r="O432" s="354">
        <v>0</v>
      </c>
      <c r="P432" s="374">
        <f t="shared" si="459"/>
        <v>0.31739367538231483</v>
      </c>
      <c r="Q432" s="354">
        <f t="shared" si="460"/>
        <v>2.9935065498418793E-2</v>
      </c>
      <c r="R432" s="354">
        <f t="shared" si="461"/>
        <v>5.0461813884941024E-2</v>
      </c>
      <c r="S432" s="354">
        <f t="shared" si="462"/>
        <v>4.4950708118546089E-2</v>
      </c>
      <c r="T432" s="354">
        <f t="shared" si="463"/>
        <v>0.19182184540667971</v>
      </c>
      <c r="U432" s="374">
        <f t="shared" si="464"/>
        <v>1.2738385356026394</v>
      </c>
      <c r="V432" s="354">
        <f t="shared" si="465"/>
        <v>3.3719418296081639E-2</v>
      </c>
      <c r="W432" s="354">
        <f t="shared" si="466"/>
        <v>1.1502391962646339</v>
      </c>
      <c r="X432" s="354">
        <f t="shared" si="467"/>
        <v>8.9879921041923924E-2</v>
      </c>
      <c r="Y432" s="374">
        <f t="shared" si="468"/>
        <v>0.18674278128132329</v>
      </c>
      <c r="Z432" s="354">
        <f t="shared" si="469"/>
        <v>9.6333136100154232E-2</v>
      </c>
      <c r="AA432" s="354">
        <f t="shared" si="470"/>
        <v>9.0409645181169049E-2</v>
      </c>
      <c r="AB432" s="374">
        <f t="shared" si="471"/>
        <v>1.0202497309227536</v>
      </c>
      <c r="AC432" s="354">
        <f t="shared" si="472"/>
        <v>0.28953930209451539</v>
      </c>
      <c r="AD432" s="354">
        <f t="shared" si="473"/>
        <v>0.63026274455337472</v>
      </c>
      <c r="AE432" s="354">
        <f t="shared" si="474"/>
        <v>0.1004476842748635</v>
      </c>
      <c r="AF432" s="374">
        <f t="shared" si="475"/>
        <v>0.81655607447796474</v>
      </c>
      <c r="AG432" s="354">
        <f t="shared" si="476"/>
        <v>5.2477366082084614E-2</v>
      </c>
      <c r="AH432" s="354">
        <f t="shared" si="477"/>
        <v>0.26403472481028256</v>
      </c>
      <c r="AI432" s="354">
        <f t="shared" si="478"/>
        <v>0</v>
      </c>
      <c r="AJ432" s="354">
        <f t="shared" si="479"/>
        <v>0.50004398358559765</v>
      </c>
      <c r="AK432" s="374">
        <f t="shared" si="480"/>
        <v>0.53932960459447954</v>
      </c>
      <c r="AL432" s="354">
        <f t="shared" si="481"/>
        <v>0.15452151178823317</v>
      </c>
      <c r="AM432" s="354">
        <f t="shared" si="482"/>
        <v>0.36444862022808211</v>
      </c>
      <c r="AN432" s="354">
        <f t="shared" si="483"/>
        <v>2.035947257816426E-2</v>
      </c>
      <c r="AO432" s="374">
        <f t="shared" si="484"/>
        <v>0.31272767219099179</v>
      </c>
      <c r="AP432" s="354">
        <f t="shared" si="485"/>
        <v>7.1711744618572479E-2</v>
      </c>
      <c r="AQ432" s="354">
        <f t="shared" si="486"/>
        <v>0.24101592757241933</v>
      </c>
      <c r="AR432" s="374">
        <f t="shared" si="487"/>
        <v>0.57050632803174306</v>
      </c>
      <c r="AS432" s="354">
        <f t="shared" si="488"/>
        <v>0.2472197595593818</v>
      </c>
      <c r="AT432" s="354">
        <f t="shared" si="489"/>
        <v>0.32328656847236126</v>
      </c>
      <c r="AU432" s="355" t="s">
        <v>396</v>
      </c>
      <c r="AV432" s="354" t="s">
        <v>346</v>
      </c>
      <c r="AW432" s="353">
        <v>0</v>
      </c>
      <c r="AX432" s="353">
        <v>0</v>
      </c>
      <c r="AY432" s="353">
        <v>0</v>
      </c>
      <c r="AZ432" s="353">
        <v>0</v>
      </c>
      <c r="BA432" s="353">
        <v>0</v>
      </c>
      <c r="BB432" s="353">
        <v>0</v>
      </c>
    </row>
    <row r="433" spans="1:54" x14ac:dyDescent="0.25">
      <c r="A433" s="348" t="s">
        <v>962</v>
      </c>
      <c r="B433" s="349">
        <v>21</v>
      </c>
      <c r="C433" s="423">
        <v>45139</v>
      </c>
      <c r="D433" s="351">
        <v>45154</v>
      </c>
      <c r="E433" s="352"/>
      <c r="F433" s="352">
        <v>6</v>
      </c>
      <c r="G433" s="429" t="s">
        <v>308</v>
      </c>
      <c r="H433" s="353" t="s">
        <v>964</v>
      </c>
      <c r="I433" s="350" t="s">
        <v>393</v>
      </c>
      <c r="J433" s="560">
        <v>13780</v>
      </c>
      <c r="K433" s="350" t="s">
        <v>394</v>
      </c>
      <c r="L433" s="354">
        <v>2803.6597999999999</v>
      </c>
      <c r="M433" s="560">
        <f t="shared" si="458"/>
        <v>4.9150043097240257</v>
      </c>
      <c r="N433" s="354" t="s">
        <v>395</v>
      </c>
      <c r="O433" s="354">
        <v>0</v>
      </c>
      <c r="P433" s="374">
        <f t="shared" si="459"/>
        <v>0.30968525432049127</v>
      </c>
      <c r="Q433" s="354">
        <f t="shared" si="460"/>
        <v>2.9208043798641291E-2</v>
      </c>
      <c r="R433" s="354">
        <f t="shared" si="461"/>
        <v>4.9236266751716155E-2</v>
      </c>
      <c r="S433" s="354">
        <f t="shared" si="462"/>
        <v>4.3859007142502661E-2</v>
      </c>
      <c r="T433" s="354">
        <f t="shared" si="463"/>
        <v>0.18716314024669306</v>
      </c>
      <c r="U433" s="374">
        <f t="shared" si="464"/>
        <v>1.2429012972176146</v>
      </c>
      <c r="V433" s="354">
        <f t="shared" si="465"/>
        <v>3.2900487440345884E-2</v>
      </c>
      <c r="W433" s="354">
        <f t="shared" si="466"/>
        <v>1.1223037686416948</v>
      </c>
      <c r="X433" s="354">
        <f t="shared" si="467"/>
        <v>8.7697041135574E-2</v>
      </c>
      <c r="Y433" s="374">
        <f t="shared" si="468"/>
        <v>0.18220742944534693</v>
      </c>
      <c r="Z433" s="354">
        <f t="shared" si="469"/>
        <v>9.3993529381868238E-2</v>
      </c>
      <c r="AA433" s="354">
        <f t="shared" si="470"/>
        <v>8.8213900063478679E-2</v>
      </c>
      <c r="AB433" s="374">
        <f t="shared" si="471"/>
        <v>0.9954713086536533</v>
      </c>
      <c r="AC433" s="354">
        <f t="shared" si="472"/>
        <v>0.28250736974172785</v>
      </c>
      <c r="AD433" s="354">
        <f t="shared" si="473"/>
        <v>0.61495578984249122</v>
      </c>
      <c r="AE433" s="354">
        <f t="shared" si="474"/>
        <v>9.8008149069434183E-2</v>
      </c>
      <c r="AF433" s="374">
        <f t="shared" si="475"/>
        <v>0.79672468358750637</v>
      </c>
      <c r="AG433" s="354">
        <f t="shared" si="476"/>
        <v>5.1202867989175518E-2</v>
      </c>
      <c r="AH433" s="354">
        <f t="shared" si="477"/>
        <v>0.2576222125529769</v>
      </c>
      <c r="AI433" s="354">
        <f t="shared" si="478"/>
        <v>0</v>
      </c>
      <c r="AJ433" s="354">
        <f t="shared" si="479"/>
        <v>0.48789960304535401</v>
      </c>
      <c r="AK433" s="374">
        <f t="shared" si="480"/>
        <v>0.52623110892246172</v>
      </c>
      <c r="AL433" s="354">
        <f t="shared" si="481"/>
        <v>0.15076870583033722</v>
      </c>
      <c r="AM433" s="354">
        <f t="shared" si="482"/>
        <v>0.35559739338263618</v>
      </c>
      <c r="AN433" s="354">
        <f t="shared" si="483"/>
        <v>1.9865009709488315E-2</v>
      </c>
      <c r="AO433" s="374">
        <f t="shared" si="484"/>
        <v>0.30513257259731408</v>
      </c>
      <c r="AP433" s="354">
        <f t="shared" si="485"/>
        <v>6.9970108393679009E-2</v>
      </c>
      <c r="AQ433" s="354">
        <f t="shared" si="486"/>
        <v>0.23516246420363507</v>
      </c>
      <c r="AR433" s="374">
        <f t="shared" si="487"/>
        <v>0.55665065497963739</v>
      </c>
      <c r="AS433" s="354">
        <f t="shared" si="488"/>
        <v>0.24121562605170865</v>
      </c>
      <c r="AT433" s="354">
        <f t="shared" si="489"/>
        <v>0.3154350289279288</v>
      </c>
      <c r="AU433" s="355" t="s">
        <v>396</v>
      </c>
      <c r="AV433" s="354" t="s">
        <v>346</v>
      </c>
      <c r="AW433" s="353">
        <v>0</v>
      </c>
      <c r="AX433" s="353">
        <v>0</v>
      </c>
      <c r="AY433" s="353">
        <v>0</v>
      </c>
      <c r="AZ433" s="353">
        <v>0</v>
      </c>
      <c r="BA433" s="353">
        <v>0</v>
      </c>
      <c r="BB433" s="353">
        <v>0</v>
      </c>
    </row>
    <row r="434" spans="1:54" x14ac:dyDescent="0.25">
      <c r="A434" s="348" t="s">
        <v>962</v>
      </c>
      <c r="B434" s="349">
        <v>21</v>
      </c>
      <c r="C434" s="423">
        <v>45139</v>
      </c>
      <c r="D434" s="351">
        <v>45154</v>
      </c>
      <c r="E434" s="352"/>
      <c r="F434" s="352">
        <v>6</v>
      </c>
      <c r="G434" s="429" t="s">
        <v>309</v>
      </c>
      <c r="H434" s="353" t="s">
        <v>965</v>
      </c>
      <c r="I434" s="350" t="s">
        <v>393</v>
      </c>
      <c r="J434" s="560">
        <v>162843</v>
      </c>
      <c r="K434" s="350" t="s">
        <v>394</v>
      </c>
      <c r="L434" s="354">
        <v>2803.6597999999999</v>
      </c>
      <c r="M434" s="560">
        <f t="shared" si="458"/>
        <v>58.082296575354832</v>
      </c>
      <c r="N434" s="354" t="s">
        <v>395</v>
      </c>
      <c r="O434" s="354">
        <v>0</v>
      </c>
      <c r="P434" s="374">
        <f t="shared" si="459"/>
        <v>3.6596571748412017</v>
      </c>
      <c r="Q434" s="354">
        <f t="shared" si="460"/>
        <v>0.3451615004573399</v>
      </c>
      <c r="R434" s="354">
        <f t="shared" si="461"/>
        <v>0.58184190033742478</v>
      </c>
      <c r="S434" s="354">
        <f t="shared" si="462"/>
        <v>0.5182969738829144</v>
      </c>
      <c r="T434" s="354">
        <f t="shared" si="463"/>
        <v>2.211771208069103</v>
      </c>
      <c r="U434" s="374">
        <f t="shared" si="464"/>
        <v>14.687792158404065</v>
      </c>
      <c r="V434" s="354">
        <f t="shared" si="465"/>
        <v>0.38879637708622972</v>
      </c>
      <c r="W434" s="354">
        <f t="shared" si="466"/>
        <v>13.262649680473114</v>
      </c>
      <c r="X434" s="354">
        <f t="shared" si="467"/>
        <v>1.0363461008447226</v>
      </c>
      <c r="Y434" s="374">
        <f t="shared" si="468"/>
        <v>2.1532078688801621</v>
      </c>
      <c r="Z434" s="354">
        <f t="shared" si="469"/>
        <v>1.1107538682969211</v>
      </c>
      <c r="AA434" s="354">
        <f t="shared" si="470"/>
        <v>1.042454000583241</v>
      </c>
      <c r="AB434" s="374">
        <f t="shared" si="471"/>
        <v>11.763826873373503</v>
      </c>
      <c r="AC434" s="354">
        <f t="shared" si="472"/>
        <v>3.338486764212786</v>
      </c>
      <c r="AD434" s="354">
        <f t="shared" si="473"/>
        <v>7.2671440990798848</v>
      </c>
      <c r="AE434" s="354">
        <f t="shared" si="474"/>
        <v>1.1581960100808326</v>
      </c>
      <c r="AF434" s="374">
        <f t="shared" si="475"/>
        <v>9.4151696407431285</v>
      </c>
      <c r="AG434" s="354">
        <f t="shared" si="476"/>
        <v>0.60508190362563929</v>
      </c>
      <c r="AH434" s="354">
        <f t="shared" si="477"/>
        <v>3.0444103017971278</v>
      </c>
      <c r="AI434" s="354">
        <f t="shared" si="478"/>
        <v>0</v>
      </c>
      <c r="AJ434" s="354">
        <f t="shared" si="479"/>
        <v>5.7656774353203621</v>
      </c>
      <c r="AK434" s="374">
        <f t="shared" si="480"/>
        <v>6.2186540254180294</v>
      </c>
      <c r="AL434" s="354">
        <f t="shared" si="481"/>
        <v>1.7816856577307409</v>
      </c>
      <c r="AM434" s="354">
        <f t="shared" si="482"/>
        <v>4.2022167148482312</v>
      </c>
      <c r="AN434" s="354">
        <f t="shared" si="483"/>
        <v>0.23475165283905705</v>
      </c>
      <c r="AO434" s="374">
        <f t="shared" si="484"/>
        <v>3.6058565689016269</v>
      </c>
      <c r="AP434" s="354">
        <f t="shared" si="485"/>
        <v>0.82686083898054219</v>
      </c>
      <c r="AQ434" s="354">
        <f t="shared" si="486"/>
        <v>2.778995729921085</v>
      </c>
      <c r="AR434" s="374">
        <f t="shared" si="487"/>
        <v>6.5781322647931129</v>
      </c>
      <c r="AS434" s="354">
        <f t="shared" si="488"/>
        <v>2.850528025626879</v>
      </c>
      <c r="AT434" s="354">
        <f t="shared" si="489"/>
        <v>3.7276042391662343</v>
      </c>
      <c r="AU434" s="355" t="s">
        <v>396</v>
      </c>
      <c r="AV434" s="354" t="s">
        <v>346</v>
      </c>
      <c r="AW434" s="353">
        <v>0</v>
      </c>
      <c r="AX434" s="353">
        <v>0</v>
      </c>
      <c r="AY434" s="353">
        <v>0</v>
      </c>
      <c r="AZ434" s="353">
        <v>0</v>
      </c>
      <c r="BA434" s="353">
        <v>0</v>
      </c>
      <c r="BB434" s="353">
        <v>0</v>
      </c>
    </row>
    <row r="435" spans="1:54" x14ac:dyDescent="0.25">
      <c r="A435" s="348" t="s">
        <v>962</v>
      </c>
      <c r="B435" s="349">
        <v>21</v>
      </c>
      <c r="C435" s="423">
        <v>45139</v>
      </c>
      <c r="D435" s="351">
        <v>45154</v>
      </c>
      <c r="E435" s="352"/>
      <c r="F435" s="352">
        <v>6</v>
      </c>
      <c r="G435" s="429" t="s">
        <v>310</v>
      </c>
      <c r="H435" s="353" t="s">
        <v>966</v>
      </c>
      <c r="I435" s="350" t="s">
        <v>393</v>
      </c>
      <c r="J435" s="560">
        <v>29574</v>
      </c>
      <c r="K435" s="350" t="s">
        <v>394</v>
      </c>
      <c r="L435" s="354">
        <v>2803.6597999999999</v>
      </c>
      <c r="M435" s="560">
        <f t="shared" si="458"/>
        <v>10.548355403176949</v>
      </c>
      <c r="N435" s="354" t="s">
        <v>395</v>
      </c>
      <c r="O435" s="354">
        <v>0</v>
      </c>
      <c r="P435" s="374">
        <f t="shared" si="459"/>
        <v>0.66463219965705433</v>
      </c>
      <c r="Q435" s="354">
        <f t="shared" si="460"/>
        <v>6.2684955537084003E-2</v>
      </c>
      <c r="R435" s="354">
        <f t="shared" si="461"/>
        <v>0.10566860325945236</v>
      </c>
      <c r="S435" s="354">
        <f t="shared" si="462"/>
        <v>9.4128176867371086E-2</v>
      </c>
      <c r="T435" s="354">
        <f t="shared" si="463"/>
        <v>0.40168089329867207</v>
      </c>
      <c r="U435" s="374">
        <f t="shared" si="464"/>
        <v>2.6674573994131885</v>
      </c>
      <c r="V435" s="354">
        <f t="shared" si="465"/>
        <v>7.0609507660434639E-2</v>
      </c>
      <c r="W435" s="354">
        <f t="shared" si="466"/>
        <v>2.40863654962333</v>
      </c>
      <c r="X435" s="354">
        <f t="shared" si="467"/>
        <v>0.18821134212942423</v>
      </c>
      <c r="Y435" s="374">
        <f t="shared" si="468"/>
        <v>0.3910451755019369</v>
      </c>
      <c r="Z435" s="354">
        <f t="shared" si="469"/>
        <v>0.20172457459647108</v>
      </c>
      <c r="AA435" s="354">
        <f t="shared" si="470"/>
        <v>0.18932060090546579</v>
      </c>
      <c r="AB435" s="374">
        <f t="shared" si="471"/>
        <v>2.1364345778028406</v>
      </c>
      <c r="AC435" s="354">
        <f t="shared" si="472"/>
        <v>0.60630427813801591</v>
      </c>
      <c r="AD435" s="354">
        <f t="shared" si="473"/>
        <v>1.319789733585039</v>
      </c>
      <c r="AE435" s="354">
        <f t="shared" si="474"/>
        <v>0.21034056607978568</v>
      </c>
      <c r="AF435" s="374">
        <f t="shared" si="475"/>
        <v>1.7098937440070332</v>
      </c>
      <c r="AG435" s="354">
        <f t="shared" si="476"/>
        <v>0.10988923206907671</v>
      </c>
      <c r="AH435" s="354">
        <f t="shared" si="477"/>
        <v>0.55289690232523514</v>
      </c>
      <c r="AI435" s="354">
        <f t="shared" si="478"/>
        <v>0</v>
      </c>
      <c r="AJ435" s="354">
        <f t="shared" si="479"/>
        <v>1.0471076096127214</v>
      </c>
      <c r="AK435" s="374">
        <f t="shared" si="480"/>
        <v>1.129372918379745</v>
      </c>
      <c r="AL435" s="354">
        <f t="shared" si="481"/>
        <v>0.32357283789741609</v>
      </c>
      <c r="AM435" s="354">
        <f t="shared" si="482"/>
        <v>0.76316671349042697</v>
      </c>
      <c r="AN435" s="354">
        <f t="shared" si="483"/>
        <v>4.2633366991901851E-2</v>
      </c>
      <c r="AO435" s="374">
        <f t="shared" si="484"/>
        <v>0.65486144426654336</v>
      </c>
      <c r="AP435" s="354">
        <f t="shared" si="485"/>
        <v>0.15016661724489574</v>
      </c>
      <c r="AQ435" s="354">
        <f t="shared" si="486"/>
        <v>0.5046948270216477</v>
      </c>
      <c r="AR435" s="374">
        <f t="shared" si="487"/>
        <v>1.1946579441486065</v>
      </c>
      <c r="AS435" s="354">
        <f t="shared" si="488"/>
        <v>0.5176858436032824</v>
      </c>
      <c r="AT435" s="354">
        <f t="shared" si="489"/>
        <v>0.67697210054532408</v>
      </c>
      <c r="AU435" s="355" t="s">
        <v>396</v>
      </c>
      <c r="AV435" s="354" t="s">
        <v>346</v>
      </c>
      <c r="AW435" s="353">
        <v>0</v>
      </c>
      <c r="AX435" s="353">
        <v>0</v>
      </c>
      <c r="AY435" s="353">
        <v>0</v>
      </c>
      <c r="AZ435" s="353">
        <v>0</v>
      </c>
      <c r="BA435" s="353">
        <v>0</v>
      </c>
      <c r="BB435" s="353">
        <v>0</v>
      </c>
    </row>
    <row r="436" spans="1:54" x14ac:dyDescent="0.25">
      <c r="A436" s="348" t="s">
        <v>967</v>
      </c>
      <c r="B436" s="349">
        <v>25</v>
      </c>
      <c r="C436" s="423">
        <v>45139</v>
      </c>
      <c r="D436" s="351">
        <v>45159</v>
      </c>
      <c r="E436" s="352"/>
      <c r="F436" s="352">
        <v>6</v>
      </c>
      <c r="G436" s="429" t="s">
        <v>331</v>
      </c>
      <c r="H436" s="353" t="s">
        <v>968</v>
      </c>
      <c r="I436" s="350" t="s">
        <v>393</v>
      </c>
      <c r="J436" s="560">
        <v>21311</v>
      </c>
      <c r="K436" s="350" t="s">
        <v>394</v>
      </c>
      <c r="L436" s="354">
        <v>2803.6597999999999</v>
      </c>
      <c r="M436" s="560">
        <f t="shared" si="458"/>
        <v>7.60113620061892</v>
      </c>
      <c r="N436" s="354" t="s">
        <v>395</v>
      </c>
      <c r="O436" s="354">
        <v>0</v>
      </c>
      <c r="P436" s="374">
        <f t="shared" si="459"/>
        <v>0.47893341471872203</v>
      </c>
      <c r="Q436" s="354">
        <f t="shared" si="460"/>
        <v>4.5170727241860997E-2</v>
      </c>
      <c r="R436" s="354">
        <f t="shared" si="461"/>
        <v>7.6144708326982807E-2</v>
      </c>
      <c r="S436" s="354">
        <f t="shared" si="462"/>
        <v>6.7828686590266626E-2</v>
      </c>
      <c r="T436" s="354">
        <f t="shared" si="463"/>
        <v>0.28945092030459185</v>
      </c>
      <c r="U436" s="374">
        <f t="shared" si="464"/>
        <v>1.9221676012340045</v>
      </c>
      <c r="V436" s="354">
        <f t="shared" si="465"/>
        <v>5.0881152963803418E-2</v>
      </c>
      <c r="W436" s="354">
        <f t="shared" si="466"/>
        <v>1.7356615104153232</v>
      </c>
      <c r="X436" s="354">
        <f t="shared" si="467"/>
        <v>0.13562493785487789</v>
      </c>
      <c r="Y436" s="374">
        <f t="shared" si="468"/>
        <v>0.28178683083525319</v>
      </c>
      <c r="Z436" s="354">
        <f t="shared" si="469"/>
        <v>0.14536256202155257</v>
      </c>
      <c r="AA436" s="354">
        <f t="shared" si="470"/>
        <v>0.13642426881370059</v>
      </c>
      <c r="AB436" s="374">
        <f t="shared" si="471"/>
        <v>1.5395129941014518</v>
      </c>
      <c r="AC436" s="354">
        <f t="shared" si="472"/>
        <v>0.43690236259549797</v>
      </c>
      <c r="AD436" s="354">
        <f t="shared" si="473"/>
        <v>0.95103939313014019</v>
      </c>
      <c r="AE436" s="354">
        <f t="shared" si="474"/>
        <v>0.15157123837581365</v>
      </c>
      <c r="AF436" s="374">
        <f t="shared" si="475"/>
        <v>1.232148021185294</v>
      </c>
      <c r="AG436" s="354">
        <f t="shared" si="476"/>
        <v>7.9186089964972395E-2</v>
      </c>
      <c r="AH436" s="354">
        <f t="shared" si="477"/>
        <v>0.39841705164851171</v>
      </c>
      <c r="AI436" s="354">
        <f t="shared" si="478"/>
        <v>0</v>
      </c>
      <c r="AJ436" s="354">
        <f t="shared" si="479"/>
        <v>0.75454487957180993</v>
      </c>
      <c r="AK436" s="374">
        <f t="shared" si="480"/>
        <v>0.81382519319641389</v>
      </c>
      <c r="AL436" s="354">
        <f t="shared" si="481"/>
        <v>0.23316632002542215</v>
      </c>
      <c r="AM436" s="354">
        <f t="shared" si="482"/>
        <v>0.5499373040912453</v>
      </c>
      <c r="AN436" s="354">
        <f t="shared" si="483"/>
        <v>3.0721569079746412E-2</v>
      </c>
      <c r="AO436" s="374">
        <f t="shared" si="484"/>
        <v>0.47189261644567204</v>
      </c>
      <c r="AP436" s="354">
        <f t="shared" si="485"/>
        <v>0.10820994049185004</v>
      </c>
      <c r="AQ436" s="354">
        <f t="shared" si="486"/>
        <v>0.36368267595382203</v>
      </c>
      <c r="AR436" s="374">
        <f t="shared" si="487"/>
        <v>0.86086952890210833</v>
      </c>
      <c r="AS436" s="354">
        <f t="shared" si="488"/>
        <v>0.3730439917843224</v>
      </c>
      <c r="AT436" s="354">
        <f t="shared" si="489"/>
        <v>0.48782553711778598</v>
      </c>
      <c r="AU436" s="355" t="s">
        <v>396</v>
      </c>
      <c r="AV436" s="354" t="s">
        <v>346</v>
      </c>
      <c r="AW436" s="353">
        <v>0</v>
      </c>
      <c r="AX436" s="353">
        <v>0</v>
      </c>
      <c r="AY436" s="353">
        <v>0</v>
      </c>
      <c r="AZ436" s="353">
        <v>0</v>
      </c>
      <c r="BA436" s="353">
        <v>0</v>
      </c>
      <c r="BB436" s="353">
        <v>0</v>
      </c>
    </row>
    <row r="437" spans="1:54" x14ac:dyDescent="0.25">
      <c r="A437" s="348" t="s">
        <v>969</v>
      </c>
      <c r="B437" s="349">
        <v>26</v>
      </c>
      <c r="C437" s="423">
        <v>45170</v>
      </c>
      <c r="D437" s="351">
        <v>45181</v>
      </c>
      <c r="E437" s="352"/>
      <c r="F437" s="352">
        <v>6</v>
      </c>
      <c r="G437" s="352" t="s">
        <v>971</v>
      </c>
      <c r="H437" s="424" t="s">
        <v>972</v>
      </c>
      <c r="I437" s="350" t="s">
        <v>393</v>
      </c>
      <c r="J437" s="560">
        <v>330000</v>
      </c>
      <c r="K437" s="350" t="s">
        <v>394</v>
      </c>
      <c r="L437" s="354">
        <v>2803.6597999999999</v>
      </c>
      <c r="M437" s="560">
        <f t="shared" si="458"/>
        <v>117.70329624157682</v>
      </c>
      <c r="N437" s="354" t="s">
        <v>395</v>
      </c>
      <c r="O437" s="354">
        <v>0</v>
      </c>
      <c r="P437" s="374">
        <f t="shared" si="459"/>
        <v>7.4162651615211983</v>
      </c>
      <c r="Q437" s="354">
        <f t="shared" si="460"/>
        <v>0.69946694147689592</v>
      </c>
      <c r="R437" s="354">
        <f t="shared" si="461"/>
        <v>1.1790978249685291</v>
      </c>
      <c r="S437" s="354">
        <f t="shared" si="462"/>
        <v>1.0503245542108763</v>
      </c>
      <c r="T437" s="354">
        <f t="shared" si="463"/>
        <v>4.4821361597538978</v>
      </c>
      <c r="U437" s="374">
        <f t="shared" si="464"/>
        <v>29.764689991423282</v>
      </c>
      <c r="V437" s="354">
        <f t="shared" si="465"/>
        <v>0.78789266003731084</v>
      </c>
      <c r="W437" s="354">
        <f t="shared" si="466"/>
        <v>26.876650482711124</v>
      </c>
      <c r="X437" s="354">
        <f t="shared" si="467"/>
        <v>2.1001468486748491</v>
      </c>
      <c r="Y437" s="374">
        <f t="shared" si="468"/>
        <v>4.3634580346128073</v>
      </c>
      <c r="Z437" s="354">
        <f t="shared" si="469"/>
        <v>2.2509335773596892</v>
      </c>
      <c r="AA437" s="354">
        <f t="shared" si="470"/>
        <v>2.1125244572531177</v>
      </c>
      <c r="AB437" s="374">
        <f t="shared" si="471"/>
        <v>23.839298393012019</v>
      </c>
      <c r="AC437" s="354">
        <f t="shared" si="472"/>
        <v>6.7654159662387663</v>
      </c>
      <c r="AD437" s="354">
        <f t="shared" si="473"/>
        <v>14.726807739333971</v>
      </c>
      <c r="AE437" s="354">
        <f t="shared" si="474"/>
        <v>2.3470746874392807</v>
      </c>
      <c r="AF437" s="374">
        <f t="shared" si="475"/>
        <v>19.079763830470039</v>
      </c>
      <c r="AG437" s="354">
        <f t="shared" si="476"/>
        <v>1.2261935004664677</v>
      </c>
      <c r="AH437" s="354">
        <f t="shared" si="477"/>
        <v>6.169472434142409</v>
      </c>
      <c r="AI437" s="354">
        <f t="shared" si="478"/>
        <v>0</v>
      </c>
      <c r="AJ437" s="354">
        <f t="shared" si="479"/>
        <v>11.684097895861164</v>
      </c>
      <c r="AK437" s="374">
        <f t="shared" si="480"/>
        <v>12.602051229638054</v>
      </c>
      <c r="AL437" s="354">
        <f t="shared" si="481"/>
        <v>3.6105713297540851</v>
      </c>
      <c r="AM437" s="354">
        <f t="shared" si="482"/>
        <v>8.515757606405657</v>
      </c>
      <c r="AN437" s="354">
        <f t="shared" si="483"/>
        <v>0.47572229347831235</v>
      </c>
      <c r="AO437" s="374">
        <f t="shared" si="484"/>
        <v>7.3072386761330659</v>
      </c>
      <c r="AP437" s="354">
        <f t="shared" si="485"/>
        <v>1.6756266886730096</v>
      </c>
      <c r="AQ437" s="354">
        <f t="shared" si="486"/>
        <v>5.6316119874600563</v>
      </c>
      <c r="AR437" s="374">
        <f t="shared" si="487"/>
        <v>13.330530924766352</v>
      </c>
      <c r="AS437" s="354">
        <f t="shared" si="488"/>
        <v>5.7765715963036177</v>
      </c>
      <c r="AT437" s="354">
        <f t="shared" si="489"/>
        <v>7.5539593284627351</v>
      </c>
      <c r="AU437" s="355" t="s">
        <v>396</v>
      </c>
      <c r="AV437" s="354" t="s">
        <v>346</v>
      </c>
      <c r="AW437" s="353">
        <v>0</v>
      </c>
      <c r="AX437" s="353">
        <v>0</v>
      </c>
      <c r="AY437" s="353">
        <v>0</v>
      </c>
      <c r="AZ437" s="353">
        <v>0</v>
      </c>
      <c r="BA437" s="353">
        <v>0</v>
      </c>
      <c r="BB437" s="353">
        <v>0</v>
      </c>
    </row>
    <row r="438" spans="1:54" x14ac:dyDescent="0.25">
      <c r="A438" s="348" t="s">
        <v>973</v>
      </c>
      <c r="B438" s="349">
        <v>27</v>
      </c>
      <c r="C438" s="423">
        <v>45170</v>
      </c>
      <c r="D438" s="351">
        <v>45198</v>
      </c>
      <c r="E438" s="352"/>
      <c r="F438" s="352">
        <v>6</v>
      </c>
      <c r="G438" s="352" t="s">
        <v>331</v>
      </c>
      <c r="H438" s="424" t="s">
        <v>974</v>
      </c>
      <c r="I438" s="350" t="s">
        <v>393</v>
      </c>
      <c r="J438" s="560">
        <v>18337</v>
      </c>
      <c r="K438" s="350" t="s">
        <v>394</v>
      </c>
      <c r="L438" s="354">
        <v>2803.6597999999999</v>
      </c>
      <c r="M438" s="560">
        <f t="shared" si="458"/>
        <v>6.5403798278236183</v>
      </c>
      <c r="N438" s="354" t="s">
        <v>395</v>
      </c>
      <c r="O438" s="354">
        <v>0</v>
      </c>
      <c r="P438" s="374">
        <f t="shared" si="459"/>
        <v>0.41209713414186122</v>
      </c>
      <c r="Q438" s="354">
        <f t="shared" si="460"/>
        <v>3.8867046381399512E-2</v>
      </c>
      <c r="R438" s="354">
        <f t="shared" si="461"/>
        <v>6.5518535807417927E-2</v>
      </c>
      <c r="S438" s="354">
        <f t="shared" si="462"/>
        <v>5.8363034395651027E-2</v>
      </c>
      <c r="T438" s="354">
        <f t="shared" si="463"/>
        <v>0.24905736594365821</v>
      </c>
      <c r="U438" s="374">
        <f t="shared" si="464"/>
        <v>1.6539246071900868</v>
      </c>
      <c r="V438" s="354">
        <f t="shared" si="465"/>
        <v>4.3780568809406561E-2</v>
      </c>
      <c r="W438" s="354">
        <f t="shared" si="466"/>
        <v>1.4934458784893145</v>
      </c>
      <c r="X438" s="354">
        <f t="shared" si="467"/>
        <v>0.11669815989136578</v>
      </c>
      <c r="Y438" s="374">
        <f t="shared" si="468"/>
        <v>0.24246281812331832</v>
      </c>
      <c r="Z438" s="354">
        <f t="shared" si="469"/>
        <v>0.12507687578195339</v>
      </c>
      <c r="AA438" s="354">
        <f t="shared" si="470"/>
        <v>0.1173859423413649</v>
      </c>
      <c r="AB438" s="374">
        <f t="shared" si="471"/>
        <v>1.324670347371701</v>
      </c>
      <c r="AC438" s="354">
        <f t="shared" si="472"/>
        <v>0.37593161385733403</v>
      </c>
      <c r="AD438" s="354">
        <f t="shared" si="473"/>
        <v>0.81831961671565756</v>
      </c>
      <c r="AE438" s="354">
        <f t="shared" si="474"/>
        <v>0.13041911679870932</v>
      </c>
      <c r="AF438" s="374">
        <f t="shared" si="475"/>
        <v>1.0601988768464516</v>
      </c>
      <c r="AG438" s="354">
        <f t="shared" si="476"/>
        <v>6.8135485509253371E-2</v>
      </c>
      <c r="AH438" s="354">
        <f t="shared" si="477"/>
        <v>0.34281701825717975</v>
      </c>
      <c r="AI438" s="354">
        <f t="shared" si="478"/>
        <v>0</v>
      </c>
      <c r="AJ438" s="354">
        <f t="shared" si="479"/>
        <v>0.64924637308001854</v>
      </c>
      <c r="AK438" s="374">
        <f t="shared" si="480"/>
        <v>0.70025397999355454</v>
      </c>
      <c r="AL438" s="354">
        <f t="shared" si="481"/>
        <v>0.20062741355666866</v>
      </c>
      <c r="AM438" s="354">
        <f t="shared" si="482"/>
        <v>0.47319226432927436</v>
      </c>
      <c r="AN438" s="354">
        <f t="shared" si="483"/>
        <v>2.6434302107611558E-2</v>
      </c>
      <c r="AO438" s="374">
        <f t="shared" si="484"/>
        <v>0.40603889577046065</v>
      </c>
      <c r="AP438" s="354">
        <f t="shared" si="485"/>
        <v>9.3108989667263567E-2</v>
      </c>
      <c r="AQ438" s="354">
        <f t="shared" si="486"/>
        <v>0.3129299061031971</v>
      </c>
      <c r="AR438" s="374">
        <f t="shared" si="487"/>
        <v>0.74073316838618364</v>
      </c>
      <c r="AS438" s="354">
        <f t="shared" si="488"/>
        <v>0.32098482836793768</v>
      </c>
      <c r="AT438" s="354">
        <f t="shared" si="489"/>
        <v>0.41974834001824601</v>
      </c>
      <c r="AU438" s="355" t="s">
        <v>396</v>
      </c>
      <c r="AV438" s="354" t="s">
        <v>346</v>
      </c>
      <c r="AW438" s="353">
        <v>0</v>
      </c>
      <c r="AX438" s="353">
        <v>0</v>
      </c>
      <c r="AY438" s="353">
        <v>0</v>
      </c>
      <c r="AZ438" s="353">
        <v>0</v>
      </c>
      <c r="BA438" s="353">
        <v>0</v>
      </c>
      <c r="BB438" s="353">
        <v>0</v>
      </c>
    </row>
    <row r="439" spans="1:54" x14ac:dyDescent="0.25">
      <c r="A439" s="348" t="s">
        <v>975</v>
      </c>
      <c r="B439" s="349">
        <v>28</v>
      </c>
      <c r="C439" s="423">
        <v>45170</v>
      </c>
      <c r="D439" s="351">
        <v>45198</v>
      </c>
      <c r="E439" s="352"/>
      <c r="F439" s="352">
        <v>6</v>
      </c>
      <c r="G439" s="352" t="s">
        <v>306</v>
      </c>
      <c r="H439" s="424" t="s">
        <v>976</v>
      </c>
      <c r="I439" s="350" t="s">
        <v>393</v>
      </c>
      <c r="J439" s="560">
        <v>382454</v>
      </c>
      <c r="K439" s="350" t="s">
        <v>394</v>
      </c>
      <c r="L439" s="354">
        <v>2803.6597999999999</v>
      </c>
      <c r="M439" s="560">
        <f t="shared" si="458"/>
        <v>136.4124135175031</v>
      </c>
      <c r="N439" s="354" t="s">
        <v>395</v>
      </c>
      <c r="O439" s="354">
        <v>0</v>
      </c>
      <c r="P439" s="374">
        <f t="shared" si="459"/>
        <v>8.5950917457103895</v>
      </c>
      <c r="Q439" s="354">
        <f t="shared" si="460"/>
        <v>0.81064827162304476</v>
      </c>
      <c r="R439" s="354">
        <f t="shared" si="461"/>
        <v>1.3665172107591328</v>
      </c>
      <c r="S439" s="354">
        <f t="shared" si="462"/>
        <v>1.2172752335035351</v>
      </c>
      <c r="T439" s="354">
        <f t="shared" si="463"/>
        <v>5.1945784934621733</v>
      </c>
      <c r="U439" s="374">
        <f t="shared" si="464"/>
        <v>34.495832563575149</v>
      </c>
      <c r="V439" s="354">
        <f t="shared" si="465"/>
        <v>0.91312939212699895</v>
      </c>
      <c r="W439" s="354">
        <f t="shared" si="466"/>
        <v>31.148734799135756</v>
      </c>
      <c r="X439" s="354">
        <f t="shared" si="467"/>
        <v>2.4339683723123962</v>
      </c>
      <c r="Y439" s="374">
        <f t="shared" si="468"/>
        <v>5.0570363005145662</v>
      </c>
      <c r="Z439" s="354">
        <f t="shared" si="469"/>
        <v>2.6087228799864324</v>
      </c>
      <c r="AA439" s="354">
        <f t="shared" si="470"/>
        <v>2.4483134205281334</v>
      </c>
      <c r="AB439" s="374">
        <f t="shared" si="471"/>
        <v>27.628590992730359</v>
      </c>
      <c r="AC439" s="354">
        <f t="shared" si="472"/>
        <v>7.8407890847026698</v>
      </c>
      <c r="AD439" s="354">
        <f t="shared" si="473"/>
        <v>17.067656142846165</v>
      </c>
      <c r="AE439" s="354">
        <f t="shared" si="474"/>
        <v>2.7201457651815231</v>
      </c>
      <c r="AF439" s="374">
        <f t="shared" si="475"/>
        <v>22.112521200056328</v>
      </c>
      <c r="AG439" s="354">
        <f t="shared" si="476"/>
        <v>1.4210988152345527</v>
      </c>
      <c r="AH439" s="354">
        <f t="shared" si="477"/>
        <v>7.150119425234851</v>
      </c>
      <c r="AI439" s="354">
        <f t="shared" si="478"/>
        <v>0</v>
      </c>
      <c r="AJ439" s="354">
        <f t="shared" si="479"/>
        <v>13.541302959586925</v>
      </c>
      <c r="AK439" s="374">
        <f t="shared" si="480"/>
        <v>14.605166366606039</v>
      </c>
      <c r="AL439" s="354">
        <f t="shared" si="481"/>
        <v>4.184477113181118</v>
      </c>
      <c r="AM439" s="354">
        <f t="shared" si="482"/>
        <v>9.8693501806068777</v>
      </c>
      <c r="AN439" s="354">
        <f t="shared" si="483"/>
        <v>0.55133907281804395</v>
      </c>
      <c r="AO439" s="374">
        <f t="shared" si="484"/>
        <v>8.4687353352781685</v>
      </c>
      <c r="AP439" s="354">
        <f t="shared" si="485"/>
        <v>1.9419700896659007</v>
      </c>
      <c r="AQ439" s="354">
        <f t="shared" si="486"/>
        <v>6.5267652456122676</v>
      </c>
      <c r="AR439" s="374">
        <f t="shared" si="487"/>
        <v>15.449439013032093</v>
      </c>
      <c r="AS439" s="354">
        <f t="shared" si="488"/>
        <v>6.6947664039172841</v>
      </c>
      <c r="AT439" s="354">
        <f t="shared" si="489"/>
        <v>8.7546726091148095</v>
      </c>
      <c r="AU439" s="355" t="s">
        <v>396</v>
      </c>
      <c r="AV439" s="354" t="s">
        <v>346</v>
      </c>
      <c r="AW439" s="353">
        <v>0</v>
      </c>
      <c r="AX439" s="353">
        <v>0</v>
      </c>
      <c r="AY439" s="353">
        <v>0</v>
      </c>
      <c r="AZ439" s="353">
        <v>0</v>
      </c>
      <c r="BA439" s="353">
        <v>0</v>
      </c>
      <c r="BB439" s="353">
        <v>0</v>
      </c>
    </row>
    <row r="440" spans="1:54" ht="30" x14ac:dyDescent="0.25">
      <c r="A440" s="348" t="s">
        <v>975</v>
      </c>
      <c r="B440" s="349">
        <v>28</v>
      </c>
      <c r="C440" s="423">
        <v>45170</v>
      </c>
      <c r="D440" s="351">
        <v>45198</v>
      </c>
      <c r="E440" s="352"/>
      <c r="F440" s="352">
        <v>6</v>
      </c>
      <c r="G440" s="352" t="s">
        <v>307</v>
      </c>
      <c r="H440" s="424" t="s">
        <v>977</v>
      </c>
      <c r="I440" s="350" t="s">
        <v>393</v>
      </c>
      <c r="J440" s="560">
        <v>216919</v>
      </c>
      <c r="K440" s="350" t="s">
        <v>394</v>
      </c>
      <c r="L440" s="354">
        <v>2803.6597999999999</v>
      </c>
      <c r="M440" s="560">
        <f t="shared" si="458"/>
        <v>77.369943386141216</v>
      </c>
      <c r="N440" s="354" t="s">
        <v>395</v>
      </c>
      <c r="O440" s="354">
        <v>0</v>
      </c>
      <c r="P440" s="374">
        <f t="shared" si="459"/>
        <v>4.8749358259758084</v>
      </c>
      <c r="Q440" s="354">
        <f t="shared" si="460"/>
        <v>0.4597808166006872</v>
      </c>
      <c r="R440" s="354">
        <f t="shared" si="461"/>
        <v>0.77505673058893443</v>
      </c>
      <c r="S440" s="354">
        <f t="shared" si="462"/>
        <v>0.69041015749960333</v>
      </c>
      <c r="T440" s="354">
        <f t="shared" si="463"/>
        <v>2.946243920114108</v>
      </c>
      <c r="U440" s="374">
        <f t="shared" si="464"/>
        <v>19.56523269166529</v>
      </c>
      <c r="V440" s="354">
        <f t="shared" si="465"/>
        <v>0.51790572097767695</v>
      </c>
      <c r="W440" s="354">
        <f t="shared" si="466"/>
        <v>17.666836806240042</v>
      </c>
      <c r="X440" s="354">
        <f t="shared" si="467"/>
        <v>1.3804901644475744</v>
      </c>
      <c r="Y440" s="374">
        <f t="shared" si="468"/>
        <v>2.8682331921520472</v>
      </c>
      <c r="Z440" s="354">
        <f t="shared" si="469"/>
        <v>1.4796068505069286</v>
      </c>
      <c r="AA440" s="354">
        <f t="shared" si="470"/>
        <v>1.3886263416451183</v>
      </c>
      <c r="AB440" s="374">
        <f t="shared" si="471"/>
        <v>15.670293236708405</v>
      </c>
      <c r="AC440" s="354">
        <f t="shared" si="472"/>
        <v>4.4471129272137784</v>
      </c>
      <c r="AD440" s="354">
        <f t="shared" si="473"/>
        <v>9.6803769939654103</v>
      </c>
      <c r="AE440" s="354">
        <f t="shared" si="474"/>
        <v>1.5428033155292158</v>
      </c>
      <c r="AF440" s="374">
        <f t="shared" si="475"/>
        <v>12.541706940429485</v>
      </c>
      <c r="AG440" s="354">
        <f t="shared" si="476"/>
        <v>0.80601414523541115</v>
      </c>
      <c r="AH440" s="354">
        <f t="shared" si="477"/>
        <v>4.0553811846719299</v>
      </c>
      <c r="AI440" s="354">
        <f t="shared" si="478"/>
        <v>0</v>
      </c>
      <c r="AJ440" s="354">
        <f t="shared" si="479"/>
        <v>7.6803116105221445</v>
      </c>
      <c r="AK440" s="374">
        <f t="shared" si="480"/>
        <v>8.2837101535813851</v>
      </c>
      <c r="AL440" s="354">
        <f t="shared" si="481"/>
        <v>2.373337946299777</v>
      </c>
      <c r="AM440" s="354">
        <f t="shared" si="482"/>
        <v>5.5976655279512384</v>
      </c>
      <c r="AN440" s="354">
        <f t="shared" si="483"/>
        <v>0.31270667933036983</v>
      </c>
      <c r="AO440" s="374">
        <f t="shared" si="484"/>
        <v>4.803269413297298</v>
      </c>
      <c r="AP440" s="354">
        <f t="shared" si="485"/>
        <v>1.1014401990310925</v>
      </c>
      <c r="AQ440" s="354">
        <f t="shared" si="486"/>
        <v>3.7018292142662057</v>
      </c>
      <c r="AR440" s="374">
        <f t="shared" si="487"/>
        <v>8.7625619323314918</v>
      </c>
      <c r="AS440" s="354">
        <f t="shared" si="488"/>
        <v>3.7971155578744979</v>
      </c>
      <c r="AT440" s="354">
        <f t="shared" si="489"/>
        <v>4.9654463744569943</v>
      </c>
      <c r="AU440" s="355" t="s">
        <v>396</v>
      </c>
      <c r="AV440" s="354" t="s">
        <v>346</v>
      </c>
      <c r="AW440" s="353">
        <v>0</v>
      </c>
      <c r="AX440" s="353">
        <v>0</v>
      </c>
      <c r="AY440" s="353">
        <v>0</v>
      </c>
      <c r="AZ440" s="353">
        <v>0</v>
      </c>
      <c r="BA440" s="353">
        <v>0</v>
      </c>
      <c r="BB440" s="353">
        <v>0</v>
      </c>
    </row>
    <row r="441" spans="1:54" ht="30" x14ac:dyDescent="0.25">
      <c r="A441" s="348" t="s">
        <v>975</v>
      </c>
      <c r="B441" s="349">
        <v>28</v>
      </c>
      <c r="C441" s="423">
        <v>45170</v>
      </c>
      <c r="D441" s="351">
        <v>45198</v>
      </c>
      <c r="E441" s="352"/>
      <c r="F441" s="352">
        <v>6</v>
      </c>
      <c r="G441" s="352" t="s">
        <v>308</v>
      </c>
      <c r="H441" s="424" t="s">
        <v>978</v>
      </c>
      <c r="I441" s="350" t="s">
        <v>393</v>
      </c>
      <c r="J441" s="560">
        <v>344893</v>
      </c>
      <c r="K441" s="350" t="s">
        <v>394</v>
      </c>
      <c r="L441" s="354">
        <v>2803.6597999999999</v>
      </c>
      <c r="M441" s="560">
        <f t="shared" si="458"/>
        <v>123.01528166862471</v>
      </c>
      <c r="N441" s="354" t="s">
        <v>395</v>
      </c>
      <c r="O441" s="354">
        <v>0</v>
      </c>
      <c r="P441" s="374">
        <f t="shared" si="459"/>
        <v>7.7509634556137295</v>
      </c>
      <c r="Q441" s="354">
        <f t="shared" si="460"/>
        <v>0.7310340965054275</v>
      </c>
      <c r="R441" s="354">
        <f t="shared" si="461"/>
        <v>1.23231086711173</v>
      </c>
      <c r="S441" s="354">
        <f t="shared" si="462"/>
        <v>1.0977260196225813</v>
      </c>
      <c r="T441" s="354">
        <f t="shared" si="463"/>
        <v>4.68441632286667</v>
      </c>
      <c r="U441" s="374">
        <f t="shared" si="464"/>
        <v>31.107979470339242</v>
      </c>
      <c r="V441" s="354">
        <f t="shared" si="465"/>
        <v>0.82345049454014618</v>
      </c>
      <c r="W441" s="354">
        <f t="shared" si="466"/>
        <v>28.089601863435416</v>
      </c>
      <c r="X441" s="354">
        <f t="shared" si="467"/>
        <v>2.1949271123636813</v>
      </c>
      <c r="Y441" s="374">
        <f t="shared" si="468"/>
        <v>4.5603822179748938</v>
      </c>
      <c r="Z441" s="354">
        <f t="shared" si="469"/>
        <v>2.3525188918070161</v>
      </c>
      <c r="AA441" s="354">
        <f t="shared" si="470"/>
        <v>2.2078633261678773</v>
      </c>
      <c r="AB441" s="374">
        <f t="shared" si="471"/>
        <v>24.915173153518467</v>
      </c>
      <c r="AC441" s="354">
        <f t="shared" si="472"/>
        <v>7.0707412389211717</v>
      </c>
      <c r="AD441" s="354">
        <f t="shared" si="473"/>
        <v>15.391433035279125</v>
      </c>
      <c r="AE441" s="354">
        <f t="shared" si="474"/>
        <v>2.452998879318169</v>
      </c>
      <c r="AF441" s="374">
        <f t="shared" si="475"/>
        <v>19.940839353885767</v>
      </c>
      <c r="AG441" s="354">
        <f t="shared" si="476"/>
        <v>1.2815319847163074</v>
      </c>
      <c r="AH441" s="354">
        <f t="shared" si="477"/>
        <v>6.4479025946323567</v>
      </c>
      <c r="AI441" s="354">
        <f t="shared" si="478"/>
        <v>0</v>
      </c>
      <c r="AJ441" s="354">
        <f t="shared" si="479"/>
        <v>12.211404774537105</v>
      </c>
      <c r="AK441" s="374">
        <f t="shared" si="480"/>
        <v>13.170785620435023</v>
      </c>
      <c r="AL441" s="354">
        <f t="shared" si="481"/>
        <v>3.7735175079784113</v>
      </c>
      <c r="AM441" s="354">
        <f t="shared" si="482"/>
        <v>8.9000763277153521</v>
      </c>
      <c r="AN441" s="354">
        <f t="shared" si="483"/>
        <v>0.49719178474125936</v>
      </c>
      <c r="AO441" s="374">
        <f t="shared" si="484"/>
        <v>7.6370165719017011</v>
      </c>
      <c r="AP441" s="354">
        <f t="shared" si="485"/>
        <v>1.7512482288984856</v>
      </c>
      <c r="AQ441" s="354">
        <f t="shared" si="486"/>
        <v>5.8857683430032157</v>
      </c>
      <c r="AR441" s="374">
        <f t="shared" si="487"/>
        <v>13.932141824955883</v>
      </c>
      <c r="AS441" s="354">
        <f t="shared" si="488"/>
        <v>6.0372700229210405</v>
      </c>
      <c r="AT441" s="354">
        <f t="shared" si="489"/>
        <v>7.8948718020348432</v>
      </c>
      <c r="AU441" s="355" t="s">
        <v>396</v>
      </c>
      <c r="AV441" s="354" t="s">
        <v>346</v>
      </c>
      <c r="AW441" s="353">
        <v>0</v>
      </c>
      <c r="AX441" s="353">
        <v>0</v>
      </c>
      <c r="AY441" s="353">
        <v>0</v>
      </c>
      <c r="AZ441" s="353">
        <v>0</v>
      </c>
      <c r="BA441" s="353">
        <v>0</v>
      </c>
      <c r="BB441" s="353">
        <v>0</v>
      </c>
    </row>
    <row r="442" spans="1:54" x14ac:dyDescent="0.25">
      <c r="A442" s="348" t="s">
        <v>975</v>
      </c>
      <c r="B442" s="349">
        <v>28</v>
      </c>
      <c r="C442" s="423">
        <v>45170</v>
      </c>
      <c r="D442" s="351">
        <v>45198</v>
      </c>
      <c r="E442" s="352"/>
      <c r="F442" s="352">
        <v>6</v>
      </c>
      <c r="G442" s="352" t="s">
        <v>309</v>
      </c>
      <c r="H442" s="424" t="s">
        <v>979</v>
      </c>
      <c r="I442" s="350" t="s">
        <v>393</v>
      </c>
      <c r="J442" s="560">
        <v>1288541</v>
      </c>
      <c r="K442" s="350" t="s">
        <v>394</v>
      </c>
      <c r="L442" s="354">
        <v>2803.6597999999999</v>
      </c>
      <c r="M442" s="560">
        <f t="shared" si="458"/>
        <v>459.59249406793225</v>
      </c>
      <c r="N442" s="354" t="s">
        <v>395</v>
      </c>
      <c r="O442" s="354">
        <v>0</v>
      </c>
      <c r="P442" s="374">
        <f t="shared" si="459"/>
        <v>28.958065840883901</v>
      </c>
      <c r="Q442" s="354">
        <f t="shared" si="460"/>
        <v>2.7311873704169121</v>
      </c>
      <c r="R442" s="354">
        <f t="shared" si="461"/>
        <v>4.6039875469174953</v>
      </c>
      <c r="S442" s="354">
        <f t="shared" si="462"/>
        <v>4.1011704588104152</v>
      </c>
      <c r="T442" s="354">
        <f t="shared" si="463"/>
        <v>17.501261240683174</v>
      </c>
      <c r="U442" s="374">
        <f t="shared" si="464"/>
        <v>116.22128304920771</v>
      </c>
      <c r="V442" s="354">
        <f t="shared" si="465"/>
        <v>3.0764605941125347</v>
      </c>
      <c r="W442" s="354">
        <f t="shared" si="466"/>
        <v>104.9444426958881</v>
      </c>
      <c r="X442" s="354">
        <f t="shared" si="467"/>
        <v>8.2003797592070882</v>
      </c>
      <c r="Y442" s="374">
        <f t="shared" si="468"/>
        <v>17.037862361751582</v>
      </c>
      <c r="Z442" s="354">
        <f t="shared" si="469"/>
        <v>8.7891521294079755</v>
      </c>
      <c r="AA442" s="354">
        <f t="shared" si="470"/>
        <v>8.2487102323436066</v>
      </c>
      <c r="AB442" s="374">
        <f t="shared" si="471"/>
        <v>93.084586032212414</v>
      </c>
      <c r="AC442" s="354">
        <f t="shared" si="472"/>
        <v>26.416714710767469</v>
      </c>
      <c r="AD442" s="354">
        <f t="shared" si="473"/>
        <v>57.503319912876165</v>
      </c>
      <c r="AE442" s="354">
        <f t="shared" si="474"/>
        <v>9.16455140856878</v>
      </c>
      <c r="AF442" s="374">
        <f t="shared" si="475"/>
        <v>74.500175654174825</v>
      </c>
      <c r="AG442" s="354">
        <f t="shared" si="476"/>
        <v>4.7878806038926136</v>
      </c>
      <c r="AH442" s="354">
        <f t="shared" si="477"/>
        <v>24.089752059885736</v>
      </c>
      <c r="AI442" s="354">
        <f t="shared" si="478"/>
        <v>0</v>
      </c>
      <c r="AJ442" s="354">
        <f t="shared" si="479"/>
        <v>45.622542990396482</v>
      </c>
      <c r="AK442" s="374">
        <f t="shared" si="480"/>
        <v>49.206847556027419</v>
      </c>
      <c r="AL442" s="354">
        <f t="shared" si="481"/>
        <v>14.09808846003836</v>
      </c>
      <c r="AM442" s="354">
        <f t="shared" si="482"/>
        <v>33.251220672471369</v>
      </c>
      <c r="AN442" s="354">
        <f t="shared" si="483"/>
        <v>1.8575384235176913</v>
      </c>
      <c r="AO442" s="374">
        <f t="shared" si="484"/>
        <v>28.53235342722175</v>
      </c>
      <c r="AP442" s="354">
        <f t="shared" si="485"/>
        <v>6.542768754695178</v>
      </c>
      <c r="AQ442" s="354">
        <f t="shared" si="486"/>
        <v>21.989584672526572</v>
      </c>
      <c r="AR442" s="374">
        <f t="shared" si="487"/>
        <v>52.051320146452611</v>
      </c>
      <c r="AS442" s="354">
        <f t="shared" si="488"/>
        <v>22.555604064462607</v>
      </c>
      <c r="AT442" s="354">
        <f t="shared" si="489"/>
        <v>29.495716081990007</v>
      </c>
      <c r="AU442" s="355" t="s">
        <v>396</v>
      </c>
      <c r="AV442" s="354" t="s">
        <v>346</v>
      </c>
      <c r="AW442" s="353">
        <v>0</v>
      </c>
      <c r="AX442" s="353">
        <v>0</v>
      </c>
      <c r="AY442" s="353">
        <v>0</v>
      </c>
      <c r="AZ442" s="353">
        <v>0</v>
      </c>
      <c r="BA442" s="353">
        <v>0</v>
      </c>
      <c r="BB442" s="353">
        <v>0</v>
      </c>
    </row>
    <row r="443" spans="1:54" ht="30" x14ac:dyDescent="0.25">
      <c r="A443" s="348" t="s">
        <v>975</v>
      </c>
      <c r="B443" s="349">
        <v>28</v>
      </c>
      <c r="C443" s="423">
        <v>45170</v>
      </c>
      <c r="D443" s="351">
        <v>45198</v>
      </c>
      <c r="E443" s="352"/>
      <c r="F443" s="352">
        <v>6</v>
      </c>
      <c r="G443" s="352" t="s">
        <v>310</v>
      </c>
      <c r="H443" s="424" t="s">
        <v>980</v>
      </c>
      <c r="I443" s="350" t="s">
        <v>393</v>
      </c>
      <c r="J443" s="560">
        <v>454657</v>
      </c>
      <c r="K443" s="350" t="s">
        <v>394</v>
      </c>
      <c r="L443" s="354">
        <v>2803.6597999999999</v>
      </c>
      <c r="M443" s="560">
        <f t="shared" si="458"/>
        <v>162.16553805850481</v>
      </c>
      <c r="N443" s="354" t="s">
        <v>395</v>
      </c>
      <c r="O443" s="354">
        <v>0</v>
      </c>
      <c r="P443" s="374">
        <f t="shared" si="459"/>
        <v>10.217748089520434</v>
      </c>
      <c r="Q443" s="354">
        <f t="shared" si="460"/>
        <v>0.96368951882139708</v>
      </c>
      <c r="R443" s="354">
        <f t="shared" si="461"/>
        <v>1.6245002418385348</v>
      </c>
      <c r="S443" s="354">
        <f t="shared" si="462"/>
        <v>1.4470830631631952</v>
      </c>
      <c r="T443" s="354">
        <f t="shared" si="463"/>
        <v>6.1752563029855381</v>
      </c>
      <c r="U443" s="374">
        <f t="shared" si="464"/>
        <v>41.008256537668281</v>
      </c>
      <c r="V443" s="354">
        <f t="shared" si="465"/>
        <v>1.0855179185896471</v>
      </c>
      <c r="W443" s="354">
        <f t="shared" si="466"/>
        <v>37.02926448035754</v>
      </c>
      <c r="X443" s="354">
        <f t="shared" si="467"/>
        <v>2.8934741387210932</v>
      </c>
      <c r="Y443" s="374">
        <f t="shared" si="468"/>
        <v>6.0117476958877427</v>
      </c>
      <c r="Z443" s="354">
        <f t="shared" si="469"/>
        <v>3.1012203257018918</v>
      </c>
      <c r="AA443" s="354">
        <f t="shared" si="470"/>
        <v>2.9105273701858505</v>
      </c>
      <c r="AB443" s="374">
        <f t="shared" si="471"/>
        <v>32.844557240823221</v>
      </c>
      <c r="AC443" s="354">
        <f t="shared" si="472"/>
        <v>9.3210415968552063</v>
      </c>
      <c r="AD443" s="354">
        <f t="shared" si="473"/>
        <v>20.289837049522315</v>
      </c>
      <c r="AE443" s="354">
        <f t="shared" si="474"/>
        <v>3.2336785944456992</v>
      </c>
      <c r="AF443" s="374">
        <f t="shared" si="475"/>
        <v>26.287115708697016</v>
      </c>
      <c r="AG443" s="354">
        <f t="shared" si="476"/>
        <v>1.6893862373987354</v>
      </c>
      <c r="AH443" s="354">
        <f t="shared" si="477"/>
        <v>8.4999812984541965</v>
      </c>
      <c r="AI443" s="354">
        <f t="shared" si="478"/>
        <v>0</v>
      </c>
      <c r="AJ443" s="354">
        <f t="shared" si="479"/>
        <v>16.097748172844085</v>
      </c>
      <c r="AK443" s="374">
        <f t="shared" si="480"/>
        <v>17.362456987616813</v>
      </c>
      <c r="AL443" s="354">
        <f t="shared" si="481"/>
        <v>4.974459179006069</v>
      </c>
      <c r="AM443" s="354">
        <f t="shared" si="482"/>
        <v>11.732572139562354</v>
      </c>
      <c r="AN443" s="354">
        <f t="shared" si="483"/>
        <v>0.65542566904839106</v>
      </c>
      <c r="AO443" s="374">
        <f t="shared" si="484"/>
        <v>10.067537014468579</v>
      </c>
      <c r="AP443" s="354">
        <f t="shared" si="485"/>
        <v>2.3085921314909226</v>
      </c>
      <c r="AQ443" s="354">
        <f t="shared" si="486"/>
        <v>7.7589448829776568</v>
      </c>
      <c r="AR443" s="374">
        <f t="shared" si="487"/>
        <v>18.36611878382271</v>
      </c>
      <c r="AS443" s="354">
        <f t="shared" si="488"/>
        <v>7.9586627644261014</v>
      </c>
      <c r="AT443" s="354">
        <f t="shared" si="489"/>
        <v>10.40745601939661</v>
      </c>
      <c r="AU443" s="355" t="s">
        <v>396</v>
      </c>
      <c r="AV443" s="354" t="s">
        <v>346</v>
      </c>
      <c r="AW443" s="353">
        <v>0</v>
      </c>
      <c r="AX443" s="353">
        <v>0</v>
      </c>
      <c r="AY443" s="353">
        <v>0</v>
      </c>
      <c r="AZ443" s="353">
        <v>0</v>
      </c>
      <c r="BA443" s="353">
        <v>0</v>
      </c>
      <c r="BB443" s="353">
        <v>0</v>
      </c>
    </row>
    <row r="444" spans="1:54" x14ac:dyDescent="0.25">
      <c r="A444" s="348" t="s">
        <v>975</v>
      </c>
      <c r="B444" s="349">
        <v>28</v>
      </c>
      <c r="C444" s="423">
        <v>45170</v>
      </c>
      <c r="D444" s="351">
        <v>45198</v>
      </c>
      <c r="E444" s="352"/>
      <c r="F444" s="352">
        <v>6</v>
      </c>
      <c r="G444" s="352" t="s">
        <v>311</v>
      </c>
      <c r="H444" s="424" t="s">
        <v>981</v>
      </c>
      <c r="I444" s="350" t="s">
        <v>393</v>
      </c>
      <c r="J444" s="560">
        <v>147836</v>
      </c>
      <c r="K444" s="350" t="s">
        <v>394</v>
      </c>
      <c r="L444" s="354">
        <v>2803.6597999999999</v>
      </c>
      <c r="M444" s="560">
        <f t="shared" si="458"/>
        <v>52.729650009605301</v>
      </c>
      <c r="N444" s="354" t="s">
        <v>395</v>
      </c>
      <c r="O444" s="354">
        <v>0</v>
      </c>
      <c r="P444" s="374">
        <f t="shared" si="459"/>
        <v>3.3223968982383267</v>
      </c>
      <c r="Q444" s="354">
        <f t="shared" si="460"/>
        <v>0.31335271139447995</v>
      </c>
      <c r="R444" s="354">
        <f t="shared" si="461"/>
        <v>0.52822153349105283</v>
      </c>
      <c r="S444" s="354">
        <f t="shared" si="462"/>
        <v>0.47053266907975488</v>
      </c>
      <c r="T444" s="354">
        <f t="shared" si="463"/>
        <v>2.0079426706465977</v>
      </c>
      <c r="U444" s="374">
        <f t="shared" si="464"/>
        <v>13.334220332036521</v>
      </c>
      <c r="V444" s="354">
        <f t="shared" si="465"/>
        <v>0.35296636148265415</v>
      </c>
      <c r="W444" s="354">
        <f t="shared" si="466"/>
        <v>12.040413638672973</v>
      </c>
      <c r="X444" s="354">
        <f t="shared" si="467"/>
        <v>0.94084033188089389</v>
      </c>
      <c r="Y444" s="374">
        <f t="shared" si="468"/>
        <v>1.9547763091061181</v>
      </c>
      <c r="Z444" s="354">
        <f t="shared" si="469"/>
        <v>1.0083909586137789</v>
      </c>
      <c r="AA444" s="354">
        <f t="shared" si="470"/>
        <v>0.94638535049233907</v>
      </c>
      <c r="AB444" s="374">
        <f t="shared" si="471"/>
        <v>10.67971671887674</v>
      </c>
      <c r="AC444" s="354">
        <f t="shared" si="472"/>
        <v>3.0308243478329517</v>
      </c>
      <c r="AD444" s="354">
        <f t="shared" si="473"/>
        <v>6.5974313604611421</v>
      </c>
      <c r="AE444" s="354">
        <f t="shared" si="474"/>
        <v>1.0514610105826467</v>
      </c>
      <c r="AF444" s="374">
        <f t="shared" si="475"/>
        <v>8.547502926185965</v>
      </c>
      <c r="AG444" s="354">
        <f t="shared" si="476"/>
        <v>0.5493198252574566</v>
      </c>
      <c r="AH444" s="354">
        <f t="shared" si="477"/>
        <v>2.7638488690117486</v>
      </c>
      <c r="AI444" s="354">
        <f t="shared" si="478"/>
        <v>0</v>
      </c>
      <c r="AJ444" s="354">
        <f t="shared" si="479"/>
        <v>5.2343342319167601</v>
      </c>
      <c r="AK444" s="374">
        <f t="shared" si="480"/>
        <v>5.6455661987417312</v>
      </c>
      <c r="AL444" s="354">
        <f t="shared" si="481"/>
        <v>1.6174921912288633</v>
      </c>
      <c r="AM444" s="354">
        <f t="shared" si="482"/>
        <v>3.8149561863654142</v>
      </c>
      <c r="AN444" s="354">
        <f t="shared" si="483"/>
        <v>0.2131178211474539</v>
      </c>
      <c r="AO444" s="374">
        <f t="shared" si="484"/>
        <v>3.2735543543175996</v>
      </c>
      <c r="AP444" s="354">
        <f t="shared" si="485"/>
        <v>0.75066044589897896</v>
      </c>
      <c r="AQ444" s="354">
        <f t="shared" si="486"/>
        <v>2.5228939084186206</v>
      </c>
      <c r="AR444" s="374">
        <f t="shared" si="487"/>
        <v>5.9719162721022983</v>
      </c>
      <c r="AS444" s="354">
        <f t="shared" si="488"/>
        <v>2.5878340560943687</v>
      </c>
      <c r="AT444" s="354">
        <f t="shared" si="489"/>
        <v>3.38408221600793</v>
      </c>
      <c r="AU444" s="355" t="s">
        <v>396</v>
      </c>
      <c r="AV444" s="354" t="s">
        <v>346</v>
      </c>
      <c r="AW444" s="353">
        <v>0</v>
      </c>
      <c r="AX444" s="353">
        <v>0</v>
      </c>
      <c r="AY444" s="353">
        <v>0</v>
      </c>
      <c r="AZ444" s="353">
        <v>0</v>
      </c>
      <c r="BA444" s="353">
        <v>0</v>
      </c>
      <c r="BB444" s="353">
        <v>0</v>
      </c>
    </row>
    <row r="445" spans="1:54" x14ac:dyDescent="0.25">
      <c r="A445" s="348" t="s">
        <v>982</v>
      </c>
      <c r="B445" s="349">
        <v>29</v>
      </c>
      <c r="C445" s="423">
        <v>45170</v>
      </c>
      <c r="D445" s="427" t="s">
        <v>983</v>
      </c>
      <c r="E445" s="352"/>
      <c r="F445" s="352">
        <v>6</v>
      </c>
      <c r="G445" s="352" t="s">
        <v>306</v>
      </c>
      <c r="H445" s="424" t="s">
        <v>984</v>
      </c>
      <c r="I445" s="350" t="s">
        <v>393</v>
      </c>
      <c r="J445" s="560">
        <v>14123</v>
      </c>
      <c r="K445" s="350" t="s">
        <v>394</v>
      </c>
      <c r="L445" s="354">
        <v>2803.6597999999999</v>
      </c>
      <c r="M445" s="560">
        <f t="shared" si="458"/>
        <v>5.0373444024842104</v>
      </c>
      <c r="N445" s="354" t="s">
        <v>395</v>
      </c>
      <c r="O445" s="354">
        <v>0</v>
      </c>
      <c r="P445" s="374">
        <f t="shared" si="459"/>
        <v>0.31739367538231483</v>
      </c>
      <c r="Q445" s="354">
        <f t="shared" si="460"/>
        <v>2.9935065498418793E-2</v>
      </c>
      <c r="R445" s="354">
        <f t="shared" si="461"/>
        <v>5.0461813884941024E-2</v>
      </c>
      <c r="S445" s="354">
        <f t="shared" si="462"/>
        <v>4.4950708118546089E-2</v>
      </c>
      <c r="T445" s="354">
        <f t="shared" si="463"/>
        <v>0.19182184540667971</v>
      </c>
      <c r="U445" s="374">
        <f t="shared" si="464"/>
        <v>1.2738385356026394</v>
      </c>
      <c r="V445" s="354">
        <f t="shared" si="465"/>
        <v>3.3719418296081639E-2</v>
      </c>
      <c r="W445" s="354">
        <f t="shared" si="466"/>
        <v>1.1502391962646339</v>
      </c>
      <c r="X445" s="354">
        <f t="shared" si="467"/>
        <v>8.9879921041923924E-2</v>
      </c>
      <c r="Y445" s="374">
        <f t="shared" si="468"/>
        <v>0.18674278128132329</v>
      </c>
      <c r="Z445" s="354">
        <f t="shared" si="469"/>
        <v>9.6333136100154232E-2</v>
      </c>
      <c r="AA445" s="354">
        <f t="shared" si="470"/>
        <v>9.0409645181169049E-2</v>
      </c>
      <c r="AB445" s="374">
        <f t="shared" si="471"/>
        <v>1.0202497309227536</v>
      </c>
      <c r="AC445" s="354">
        <f t="shared" si="472"/>
        <v>0.28953930209451539</v>
      </c>
      <c r="AD445" s="354">
        <f t="shared" si="473"/>
        <v>0.63026274455337472</v>
      </c>
      <c r="AE445" s="354">
        <f t="shared" si="474"/>
        <v>0.1004476842748635</v>
      </c>
      <c r="AF445" s="374">
        <f t="shared" si="475"/>
        <v>0.81655607447796474</v>
      </c>
      <c r="AG445" s="354">
        <f t="shared" si="476"/>
        <v>5.2477366082084614E-2</v>
      </c>
      <c r="AH445" s="354">
        <f t="shared" si="477"/>
        <v>0.26403472481028256</v>
      </c>
      <c r="AI445" s="354">
        <f t="shared" si="478"/>
        <v>0</v>
      </c>
      <c r="AJ445" s="354">
        <f t="shared" si="479"/>
        <v>0.50004398358559765</v>
      </c>
      <c r="AK445" s="374">
        <f t="shared" si="480"/>
        <v>0.53932960459447954</v>
      </c>
      <c r="AL445" s="354">
        <f t="shared" si="481"/>
        <v>0.15452151178823317</v>
      </c>
      <c r="AM445" s="354">
        <f t="shared" si="482"/>
        <v>0.36444862022808211</v>
      </c>
      <c r="AN445" s="354">
        <f t="shared" si="483"/>
        <v>2.035947257816426E-2</v>
      </c>
      <c r="AO445" s="374">
        <f t="shared" si="484"/>
        <v>0.31272767219099179</v>
      </c>
      <c r="AP445" s="354">
        <f t="shared" si="485"/>
        <v>7.1711744618572479E-2</v>
      </c>
      <c r="AQ445" s="354">
        <f t="shared" si="486"/>
        <v>0.24101592757241933</v>
      </c>
      <c r="AR445" s="374">
        <f t="shared" si="487"/>
        <v>0.57050632803174306</v>
      </c>
      <c r="AS445" s="354">
        <f t="shared" si="488"/>
        <v>0.2472197595593818</v>
      </c>
      <c r="AT445" s="354">
        <f t="shared" si="489"/>
        <v>0.32328656847236126</v>
      </c>
      <c r="AU445" s="355" t="s">
        <v>396</v>
      </c>
      <c r="AV445" s="354" t="s">
        <v>346</v>
      </c>
      <c r="AW445" s="353">
        <v>0</v>
      </c>
      <c r="AX445" s="353">
        <v>0</v>
      </c>
      <c r="AY445" s="353">
        <v>0</v>
      </c>
      <c r="AZ445" s="353">
        <v>0</v>
      </c>
      <c r="BA445" s="353">
        <v>0</v>
      </c>
      <c r="BB445" s="353">
        <v>0</v>
      </c>
    </row>
    <row r="446" spans="1:54" x14ac:dyDescent="0.25">
      <c r="A446" s="348" t="s">
        <v>982</v>
      </c>
      <c r="B446" s="349">
        <v>29</v>
      </c>
      <c r="C446" s="423">
        <v>45170</v>
      </c>
      <c r="D446" s="427" t="s">
        <v>983</v>
      </c>
      <c r="E446" s="352"/>
      <c r="F446" s="352">
        <v>6</v>
      </c>
      <c r="G446" s="352" t="s">
        <v>308</v>
      </c>
      <c r="H446" s="424" t="s">
        <v>985</v>
      </c>
      <c r="I446" s="350" t="s">
        <v>393</v>
      </c>
      <c r="J446" s="560">
        <v>13780</v>
      </c>
      <c r="K446" s="350" t="s">
        <v>394</v>
      </c>
      <c r="L446" s="354">
        <v>2803.6597999999999</v>
      </c>
      <c r="M446" s="560">
        <f t="shared" si="458"/>
        <v>4.9150043097240257</v>
      </c>
      <c r="N446" s="354" t="s">
        <v>395</v>
      </c>
      <c r="O446" s="354">
        <v>0</v>
      </c>
      <c r="P446" s="374">
        <f t="shared" si="459"/>
        <v>0.30968525432049127</v>
      </c>
      <c r="Q446" s="354">
        <f t="shared" si="460"/>
        <v>2.9208043798641291E-2</v>
      </c>
      <c r="R446" s="354">
        <f t="shared" si="461"/>
        <v>4.9236266751716155E-2</v>
      </c>
      <c r="S446" s="354">
        <f t="shared" si="462"/>
        <v>4.3859007142502661E-2</v>
      </c>
      <c r="T446" s="354">
        <f t="shared" si="463"/>
        <v>0.18716314024669306</v>
      </c>
      <c r="U446" s="374">
        <f t="shared" si="464"/>
        <v>1.2429012972176146</v>
      </c>
      <c r="V446" s="354">
        <f t="shared" si="465"/>
        <v>3.2900487440345884E-2</v>
      </c>
      <c r="W446" s="354">
        <f t="shared" si="466"/>
        <v>1.1223037686416948</v>
      </c>
      <c r="X446" s="354">
        <f t="shared" si="467"/>
        <v>8.7697041135574E-2</v>
      </c>
      <c r="Y446" s="374">
        <f t="shared" si="468"/>
        <v>0.18220742944534693</v>
      </c>
      <c r="Z446" s="354">
        <f t="shared" si="469"/>
        <v>9.3993529381868238E-2</v>
      </c>
      <c r="AA446" s="354">
        <f t="shared" si="470"/>
        <v>8.8213900063478679E-2</v>
      </c>
      <c r="AB446" s="374">
        <f t="shared" si="471"/>
        <v>0.9954713086536533</v>
      </c>
      <c r="AC446" s="354">
        <f t="shared" si="472"/>
        <v>0.28250736974172785</v>
      </c>
      <c r="AD446" s="354">
        <f t="shared" si="473"/>
        <v>0.61495578984249122</v>
      </c>
      <c r="AE446" s="354">
        <f t="shared" si="474"/>
        <v>9.8008149069434183E-2</v>
      </c>
      <c r="AF446" s="374">
        <f t="shared" si="475"/>
        <v>0.79672468358750637</v>
      </c>
      <c r="AG446" s="354">
        <f t="shared" si="476"/>
        <v>5.1202867989175518E-2</v>
      </c>
      <c r="AH446" s="354">
        <f t="shared" si="477"/>
        <v>0.2576222125529769</v>
      </c>
      <c r="AI446" s="354">
        <f t="shared" si="478"/>
        <v>0</v>
      </c>
      <c r="AJ446" s="354">
        <f t="shared" si="479"/>
        <v>0.48789960304535401</v>
      </c>
      <c r="AK446" s="374">
        <f t="shared" si="480"/>
        <v>0.52623110892246172</v>
      </c>
      <c r="AL446" s="354">
        <f t="shared" si="481"/>
        <v>0.15076870583033722</v>
      </c>
      <c r="AM446" s="354">
        <f t="shared" si="482"/>
        <v>0.35559739338263618</v>
      </c>
      <c r="AN446" s="354">
        <f t="shared" si="483"/>
        <v>1.9865009709488315E-2</v>
      </c>
      <c r="AO446" s="374">
        <f t="shared" si="484"/>
        <v>0.30513257259731408</v>
      </c>
      <c r="AP446" s="354">
        <f t="shared" si="485"/>
        <v>6.9970108393679009E-2</v>
      </c>
      <c r="AQ446" s="354">
        <f t="shared" si="486"/>
        <v>0.23516246420363507</v>
      </c>
      <c r="AR446" s="374">
        <f t="shared" si="487"/>
        <v>0.55665065497963739</v>
      </c>
      <c r="AS446" s="354">
        <f t="shared" si="488"/>
        <v>0.24121562605170865</v>
      </c>
      <c r="AT446" s="354">
        <f t="shared" si="489"/>
        <v>0.3154350289279288</v>
      </c>
      <c r="AU446" s="355" t="s">
        <v>396</v>
      </c>
      <c r="AV446" s="354" t="s">
        <v>346</v>
      </c>
      <c r="AW446" s="353">
        <v>0</v>
      </c>
      <c r="AX446" s="353">
        <v>0</v>
      </c>
      <c r="AY446" s="353">
        <v>0</v>
      </c>
      <c r="AZ446" s="353">
        <v>0</v>
      </c>
      <c r="BA446" s="353">
        <v>0</v>
      </c>
      <c r="BB446" s="353">
        <v>0</v>
      </c>
    </row>
    <row r="447" spans="1:54" x14ac:dyDescent="0.25">
      <c r="A447" s="348" t="s">
        <v>982</v>
      </c>
      <c r="B447" s="349">
        <v>29</v>
      </c>
      <c r="C447" s="423">
        <v>45170</v>
      </c>
      <c r="D447" s="427" t="s">
        <v>983</v>
      </c>
      <c r="E447" s="352"/>
      <c r="F447" s="352">
        <v>6</v>
      </c>
      <c r="G447" s="352" t="s">
        <v>309</v>
      </c>
      <c r="H447" s="424" t="s">
        <v>986</v>
      </c>
      <c r="I447" s="350" t="s">
        <v>393</v>
      </c>
      <c r="J447" s="560">
        <v>162843</v>
      </c>
      <c r="K447" s="350" t="s">
        <v>394</v>
      </c>
      <c r="L447" s="354">
        <v>2803.6597999999999</v>
      </c>
      <c r="M447" s="560">
        <f t="shared" si="458"/>
        <v>58.082296575354832</v>
      </c>
      <c r="N447" s="354" t="s">
        <v>395</v>
      </c>
      <c r="O447" s="354">
        <v>0</v>
      </c>
      <c r="P447" s="374">
        <f t="shared" si="459"/>
        <v>3.6596571748412017</v>
      </c>
      <c r="Q447" s="354">
        <f t="shared" si="460"/>
        <v>0.3451615004573399</v>
      </c>
      <c r="R447" s="354">
        <f t="shared" si="461"/>
        <v>0.58184190033742478</v>
      </c>
      <c r="S447" s="354">
        <f t="shared" si="462"/>
        <v>0.5182969738829144</v>
      </c>
      <c r="T447" s="354">
        <f t="shared" si="463"/>
        <v>2.211771208069103</v>
      </c>
      <c r="U447" s="374">
        <f t="shared" si="464"/>
        <v>14.687792158404065</v>
      </c>
      <c r="V447" s="354">
        <f t="shared" si="465"/>
        <v>0.38879637708622972</v>
      </c>
      <c r="W447" s="354">
        <f t="shared" si="466"/>
        <v>13.262649680473114</v>
      </c>
      <c r="X447" s="354">
        <f t="shared" si="467"/>
        <v>1.0363461008447226</v>
      </c>
      <c r="Y447" s="374">
        <f t="shared" si="468"/>
        <v>2.1532078688801621</v>
      </c>
      <c r="Z447" s="354">
        <f t="shared" si="469"/>
        <v>1.1107538682969211</v>
      </c>
      <c r="AA447" s="354">
        <f t="shared" si="470"/>
        <v>1.042454000583241</v>
      </c>
      <c r="AB447" s="374">
        <f t="shared" si="471"/>
        <v>11.763826873373503</v>
      </c>
      <c r="AC447" s="354">
        <f t="shared" si="472"/>
        <v>3.338486764212786</v>
      </c>
      <c r="AD447" s="354">
        <f t="shared" si="473"/>
        <v>7.2671440990798848</v>
      </c>
      <c r="AE447" s="354">
        <f t="shared" si="474"/>
        <v>1.1581960100808326</v>
      </c>
      <c r="AF447" s="374">
        <f t="shared" si="475"/>
        <v>9.4151696407431285</v>
      </c>
      <c r="AG447" s="354">
        <f t="shared" si="476"/>
        <v>0.60508190362563929</v>
      </c>
      <c r="AH447" s="354">
        <f t="shared" si="477"/>
        <v>3.0444103017971278</v>
      </c>
      <c r="AI447" s="354">
        <f t="shared" si="478"/>
        <v>0</v>
      </c>
      <c r="AJ447" s="354">
        <f t="shared" si="479"/>
        <v>5.7656774353203621</v>
      </c>
      <c r="AK447" s="374">
        <f t="shared" si="480"/>
        <v>6.2186540254180294</v>
      </c>
      <c r="AL447" s="354">
        <f t="shared" si="481"/>
        <v>1.7816856577307409</v>
      </c>
      <c r="AM447" s="354">
        <f t="shared" si="482"/>
        <v>4.2022167148482312</v>
      </c>
      <c r="AN447" s="354">
        <f t="shared" si="483"/>
        <v>0.23475165283905705</v>
      </c>
      <c r="AO447" s="374">
        <f t="shared" si="484"/>
        <v>3.6058565689016269</v>
      </c>
      <c r="AP447" s="354">
        <f t="shared" si="485"/>
        <v>0.82686083898054219</v>
      </c>
      <c r="AQ447" s="354">
        <f t="shared" si="486"/>
        <v>2.778995729921085</v>
      </c>
      <c r="AR447" s="374">
        <f t="shared" si="487"/>
        <v>6.5781322647931129</v>
      </c>
      <c r="AS447" s="354">
        <f t="shared" si="488"/>
        <v>2.850528025626879</v>
      </c>
      <c r="AT447" s="354">
        <f t="shared" si="489"/>
        <v>3.7276042391662343</v>
      </c>
      <c r="AU447" s="355" t="s">
        <v>396</v>
      </c>
      <c r="AV447" s="354" t="s">
        <v>346</v>
      </c>
      <c r="AW447" s="353">
        <v>0</v>
      </c>
      <c r="AX447" s="353">
        <v>0</v>
      </c>
      <c r="AY447" s="353">
        <v>0</v>
      </c>
      <c r="AZ447" s="353">
        <v>0</v>
      </c>
      <c r="BA447" s="353">
        <v>0</v>
      </c>
      <c r="BB447" s="353">
        <v>0</v>
      </c>
    </row>
    <row r="448" spans="1:54" x14ac:dyDescent="0.25">
      <c r="A448" s="348" t="s">
        <v>982</v>
      </c>
      <c r="B448" s="349">
        <v>29</v>
      </c>
      <c r="C448" s="423">
        <v>45170</v>
      </c>
      <c r="D448" s="427" t="s">
        <v>983</v>
      </c>
      <c r="E448" s="352"/>
      <c r="F448" s="352">
        <v>6</v>
      </c>
      <c r="G448" s="352" t="s">
        <v>310</v>
      </c>
      <c r="H448" s="424" t="s">
        <v>987</v>
      </c>
      <c r="I448" s="350" t="s">
        <v>393</v>
      </c>
      <c r="J448" s="560">
        <v>29574</v>
      </c>
      <c r="K448" s="350" t="s">
        <v>394</v>
      </c>
      <c r="L448" s="354">
        <v>2803.6597999999999</v>
      </c>
      <c r="M448" s="560">
        <f t="shared" si="458"/>
        <v>10.548355403176949</v>
      </c>
      <c r="N448" s="354" t="s">
        <v>395</v>
      </c>
      <c r="O448" s="354">
        <v>0</v>
      </c>
      <c r="P448" s="374">
        <f t="shared" si="459"/>
        <v>0.66463219965705433</v>
      </c>
      <c r="Q448" s="354">
        <f t="shared" si="460"/>
        <v>6.2684955537084003E-2</v>
      </c>
      <c r="R448" s="354">
        <f t="shared" si="461"/>
        <v>0.10566860325945236</v>
      </c>
      <c r="S448" s="354">
        <f t="shared" si="462"/>
        <v>9.4128176867371086E-2</v>
      </c>
      <c r="T448" s="354">
        <f t="shared" si="463"/>
        <v>0.40168089329867207</v>
      </c>
      <c r="U448" s="374">
        <f t="shared" si="464"/>
        <v>2.6674573994131885</v>
      </c>
      <c r="V448" s="354">
        <f t="shared" si="465"/>
        <v>7.0609507660434639E-2</v>
      </c>
      <c r="W448" s="354">
        <f t="shared" si="466"/>
        <v>2.40863654962333</v>
      </c>
      <c r="X448" s="354">
        <f t="shared" si="467"/>
        <v>0.18821134212942423</v>
      </c>
      <c r="Y448" s="374">
        <f t="shared" si="468"/>
        <v>0.3910451755019369</v>
      </c>
      <c r="Z448" s="354">
        <f t="shared" si="469"/>
        <v>0.20172457459647108</v>
      </c>
      <c r="AA448" s="354">
        <f t="shared" si="470"/>
        <v>0.18932060090546579</v>
      </c>
      <c r="AB448" s="374">
        <f t="shared" si="471"/>
        <v>2.1364345778028406</v>
      </c>
      <c r="AC448" s="354">
        <f t="shared" si="472"/>
        <v>0.60630427813801591</v>
      </c>
      <c r="AD448" s="354">
        <f t="shared" si="473"/>
        <v>1.319789733585039</v>
      </c>
      <c r="AE448" s="354">
        <f t="shared" si="474"/>
        <v>0.21034056607978568</v>
      </c>
      <c r="AF448" s="374">
        <f t="shared" si="475"/>
        <v>1.7098937440070332</v>
      </c>
      <c r="AG448" s="354">
        <f t="shared" si="476"/>
        <v>0.10988923206907671</v>
      </c>
      <c r="AH448" s="354">
        <f t="shared" si="477"/>
        <v>0.55289690232523514</v>
      </c>
      <c r="AI448" s="354">
        <f t="shared" si="478"/>
        <v>0</v>
      </c>
      <c r="AJ448" s="354">
        <f t="shared" si="479"/>
        <v>1.0471076096127214</v>
      </c>
      <c r="AK448" s="374">
        <f t="shared" si="480"/>
        <v>1.129372918379745</v>
      </c>
      <c r="AL448" s="354">
        <f t="shared" si="481"/>
        <v>0.32357283789741609</v>
      </c>
      <c r="AM448" s="354">
        <f t="shared" si="482"/>
        <v>0.76316671349042697</v>
      </c>
      <c r="AN448" s="354">
        <f t="shared" si="483"/>
        <v>4.2633366991901851E-2</v>
      </c>
      <c r="AO448" s="374">
        <f t="shared" si="484"/>
        <v>0.65486144426654336</v>
      </c>
      <c r="AP448" s="354">
        <f t="shared" si="485"/>
        <v>0.15016661724489574</v>
      </c>
      <c r="AQ448" s="354">
        <f t="shared" si="486"/>
        <v>0.5046948270216477</v>
      </c>
      <c r="AR448" s="374">
        <f t="shared" si="487"/>
        <v>1.1946579441486065</v>
      </c>
      <c r="AS448" s="354">
        <f t="shared" si="488"/>
        <v>0.5176858436032824</v>
      </c>
      <c r="AT448" s="354">
        <f t="shared" si="489"/>
        <v>0.67697210054532408</v>
      </c>
      <c r="AU448" s="355" t="s">
        <v>396</v>
      </c>
      <c r="AV448" s="354" t="s">
        <v>346</v>
      </c>
      <c r="AW448" s="353">
        <v>0</v>
      </c>
      <c r="AX448" s="353">
        <v>0</v>
      </c>
      <c r="AY448" s="353">
        <v>0</v>
      </c>
      <c r="AZ448" s="353">
        <v>0</v>
      </c>
      <c r="BA448" s="353">
        <v>0</v>
      </c>
      <c r="BB448" s="353">
        <v>0</v>
      </c>
    </row>
    <row r="449" spans="1:54" x14ac:dyDescent="0.25">
      <c r="A449" s="348" t="s">
        <v>988</v>
      </c>
      <c r="B449" s="349">
        <v>32</v>
      </c>
      <c r="C449" s="423">
        <v>45170</v>
      </c>
      <c r="D449" s="427" t="s">
        <v>989</v>
      </c>
      <c r="E449" s="352"/>
      <c r="F449" s="352">
        <v>6</v>
      </c>
      <c r="G449" s="352" t="s">
        <v>306</v>
      </c>
      <c r="H449" s="424" t="s">
        <v>990</v>
      </c>
      <c r="I449" s="350" t="s">
        <v>476</v>
      </c>
      <c r="J449" s="556">
        <v>-134545.31818181821</v>
      </c>
      <c r="K449" s="350" t="s">
        <v>394</v>
      </c>
      <c r="L449" s="354">
        <v>2803.6597999999999</v>
      </c>
      <c r="M449" s="560">
        <f t="shared" si="458"/>
        <v>-47.989174072338663</v>
      </c>
      <c r="N449" s="354" t="s">
        <v>395</v>
      </c>
      <c r="O449" s="354">
        <v>0</v>
      </c>
      <c r="P449" s="374">
        <f t="shared" si="459"/>
        <v>-3.0237083511442515</v>
      </c>
      <c r="Q449" s="354">
        <f t="shared" si="460"/>
        <v>-0.28518182484446114</v>
      </c>
      <c r="R449" s="354">
        <f t="shared" si="461"/>
        <v>-0.48073361220569855</v>
      </c>
      <c r="S449" s="354">
        <f t="shared" si="462"/>
        <v>-0.42823106466811733</v>
      </c>
      <c r="T449" s="354">
        <f t="shared" si="463"/>
        <v>-1.8274255628736997</v>
      </c>
      <c r="U449" s="374">
        <f t="shared" si="464"/>
        <v>-12.135453592361287</v>
      </c>
      <c r="V449" s="354">
        <f t="shared" si="465"/>
        <v>-0.3212341473873912</v>
      </c>
      <c r="W449" s="354">
        <f t="shared" si="466"/>
        <v>-10.957962093508744</v>
      </c>
      <c r="X449" s="354">
        <f t="shared" si="467"/>
        <v>-0.85625735146515269</v>
      </c>
      <c r="Y449" s="374">
        <f t="shared" si="468"/>
        <v>-1.7790389383030039</v>
      </c>
      <c r="Z449" s="354">
        <f t="shared" si="469"/>
        <v>-0.91773507385453845</v>
      </c>
      <c r="AA449" s="354">
        <f t="shared" si="470"/>
        <v>-0.8613038644484653</v>
      </c>
      <c r="AB449" s="374">
        <f t="shared" si="471"/>
        <v>-9.7195939015730577</v>
      </c>
      <c r="AC449" s="354">
        <f t="shared" si="472"/>
        <v>-2.7583486176059022</v>
      </c>
      <c r="AD449" s="354">
        <f t="shared" si="473"/>
        <v>-6.0043122214883384</v>
      </c>
      <c r="AE449" s="354">
        <f t="shared" si="474"/>
        <v>-0.9569330624788166</v>
      </c>
      <c r="AF449" s="374">
        <f t="shared" si="475"/>
        <v>-7.77906938001375</v>
      </c>
      <c r="AG449" s="354">
        <f t="shared" si="476"/>
        <v>-0.49993513537193429</v>
      </c>
      <c r="AH449" s="354">
        <f t="shared" si="477"/>
        <v>-2.5153746414110505</v>
      </c>
      <c r="AI449" s="354">
        <f t="shared" si="478"/>
        <v>0</v>
      </c>
      <c r="AJ449" s="354">
        <f t="shared" si="479"/>
        <v>-4.7637596032307661</v>
      </c>
      <c r="AK449" s="374">
        <f t="shared" si="480"/>
        <v>-5.1380211891976524</v>
      </c>
      <c r="AL449" s="354">
        <f t="shared" si="481"/>
        <v>-1.4720771769088297</v>
      </c>
      <c r="AM449" s="354">
        <f t="shared" si="482"/>
        <v>-3.4719858082214778</v>
      </c>
      <c r="AN449" s="354">
        <f t="shared" si="483"/>
        <v>-0.19395820406734496</v>
      </c>
      <c r="AO449" s="374">
        <f t="shared" si="484"/>
        <v>-2.9792568263963979</v>
      </c>
      <c r="AP449" s="354">
        <f t="shared" si="485"/>
        <v>-0.68317492721653483</v>
      </c>
      <c r="AQ449" s="354">
        <f t="shared" si="486"/>
        <v>-2.2960818991798631</v>
      </c>
      <c r="AR449" s="374">
        <f t="shared" si="487"/>
        <v>-5.4350318933492607</v>
      </c>
      <c r="AS449" s="354">
        <f t="shared" si="488"/>
        <v>-2.3551838285597686</v>
      </c>
      <c r="AT449" s="354">
        <f t="shared" si="489"/>
        <v>-3.0798480647894921</v>
      </c>
      <c r="AU449" s="355" t="s">
        <v>396</v>
      </c>
      <c r="AV449" s="354" t="s">
        <v>346</v>
      </c>
      <c r="AW449" s="353">
        <v>0</v>
      </c>
      <c r="AX449" s="353">
        <v>0</v>
      </c>
      <c r="AY449" s="353">
        <v>0</v>
      </c>
      <c r="AZ449" s="353">
        <v>0</v>
      </c>
      <c r="BA449" s="353">
        <v>0</v>
      </c>
      <c r="BB449" s="353">
        <v>0</v>
      </c>
    </row>
    <row r="450" spans="1:54" ht="30" x14ac:dyDescent="0.25">
      <c r="A450" s="348" t="s">
        <v>988</v>
      </c>
      <c r="B450" s="349">
        <v>32</v>
      </c>
      <c r="C450" s="423">
        <v>45170</v>
      </c>
      <c r="D450" s="427" t="s">
        <v>989</v>
      </c>
      <c r="E450" s="352"/>
      <c r="F450" s="352">
        <v>6</v>
      </c>
      <c r="G450" s="352" t="s">
        <v>307</v>
      </c>
      <c r="H450" s="424" t="s">
        <v>991</v>
      </c>
      <c r="I450" s="350" t="s">
        <v>476</v>
      </c>
      <c r="J450" s="556">
        <v>-77272.590909090912</v>
      </c>
      <c r="K450" s="350" t="s">
        <v>394</v>
      </c>
      <c r="L450" s="354">
        <v>2803.6597999999999</v>
      </c>
      <c r="M450" s="560">
        <f t="shared" si="458"/>
        <v>-27.561329270081526</v>
      </c>
      <c r="N450" s="354" t="s">
        <v>395</v>
      </c>
      <c r="O450" s="354">
        <v>0</v>
      </c>
      <c r="P450" s="374">
        <f t="shared" si="459"/>
        <v>-1.73658795121082</v>
      </c>
      <c r="Q450" s="354">
        <f t="shared" si="460"/>
        <v>-0.16378673582780973</v>
      </c>
      <c r="R450" s="354">
        <f t="shared" si="461"/>
        <v>-0.2760967996078546</v>
      </c>
      <c r="S450" s="354">
        <f t="shared" si="462"/>
        <v>-0.24594333211912223</v>
      </c>
      <c r="T450" s="354">
        <f t="shared" si="463"/>
        <v>-1.0495341632469899</v>
      </c>
      <c r="U450" s="374">
        <f t="shared" si="464"/>
        <v>-6.9696809492217087</v>
      </c>
      <c r="V450" s="354">
        <f t="shared" si="465"/>
        <v>-0.18449244605860168</v>
      </c>
      <c r="W450" s="354">
        <f t="shared" si="466"/>
        <v>-6.2934194477489616</v>
      </c>
      <c r="X450" s="354">
        <f t="shared" si="467"/>
        <v>-0.49176905541414567</v>
      </c>
      <c r="Y450" s="374">
        <f t="shared" si="468"/>
        <v>-1.0217445686594586</v>
      </c>
      <c r="Z450" s="354">
        <f t="shared" si="469"/>
        <v>-0.52707718026318739</v>
      </c>
      <c r="AA450" s="354">
        <f t="shared" si="470"/>
        <v>-0.49466738839627117</v>
      </c>
      <c r="AB450" s="374">
        <f t="shared" si="471"/>
        <v>-5.582195006918079</v>
      </c>
      <c r="AC450" s="354">
        <f t="shared" si="472"/>
        <v>-1.5841855160272733</v>
      </c>
      <c r="AD450" s="354">
        <f t="shared" si="473"/>
        <v>-3.4484199692072361</v>
      </c>
      <c r="AE450" s="354">
        <f t="shared" si="474"/>
        <v>-0.54958952168356956</v>
      </c>
      <c r="AF450" s="374">
        <f t="shared" si="475"/>
        <v>-4.4677054094363049</v>
      </c>
      <c r="AG450" s="354">
        <f t="shared" si="476"/>
        <v>-0.28712469314221672</v>
      </c>
      <c r="AH450" s="354">
        <f t="shared" si="477"/>
        <v>-1.4446397561466655</v>
      </c>
      <c r="AI450" s="354">
        <f t="shared" si="478"/>
        <v>0</v>
      </c>
      <c r="AJ450" s="354">
        <f t="shared" si="479"/>
        <v>-2.7359409601474232</v>
      </c>
      <c r="AK450" s="374">
        <f t="shared" si="480"/>
        <v>-2.9508883311612952</v>
      </c>
      <c r="AL450" s="354">
        <f t="shared" si="481"/>
        <v>-0.84544909488539333</v>
      </c>
      <c r="AM450" s="354">
        <f t="shared" si="482"/>
        <v>-1.9940444054568591</v>
      </c>
      <c r="AN450" s="354">
        <f t="shared" si="483"/>
        <v>-0.11139483081904278</v>
      </c>
      <c r="AO450" s="374">
        <f t="shared" si="484"/>
        <v>-1.7110583784724771</v>
      </c>
      <c r="AP450" s="354">
        <f t="shared" si="485"/>
        <v>-0.39236368372783065</v>
      </c>
      <c r="AQ450" s="354">
        <f t="shared" si="486"/>
        <v>-1.3186946947446465</v>
      </c>
      <c r="AR450" s="374">
        <f t="shared" si="487"/>
        <v>-3.1214686750013811</v>
      </c>
      <c r="AS450" s="354">
        <f t="shared" si="488"/>
        <v>-1.3526383449037689</v>
      </c>
      <c r="AT450" s="354">
        <f t="shared" si="489"/>
        <v>-1.7688303300976125</v>
      </c>
      <c r="AU450" s="355" t="s">
        <v>396</v>
      </c>
      <c r="AV450" s="354" t="s">
        <v>346</v>
      </c>
      <c r="AW450" s="353">
        <v>0</v>
      </c>
      <c r="AX450" s="353">
        <v>0</v>
      </c>
      <c r="AY450" s="353">
        <v>0</v>
      </c>
      <c r="AZ450" s="353">
        <v>0</v>
      </c>
      <c r="BA450" s="353">
        <v>0</v>
      </c>
      <c r="BB450" s="353">
        <v>0</v>
      </c>
    </row>
    <row r="451" spans="1:54" ht="30" x14ac:dyDescent="0.25">
      <c r="A451" s="348" t="s">
        <v>988</v>
      </c>
      <c r="B451" s="349">
        <v>32</v>
      </c>
      <c r="C451" s="423">
        <v>45170</v>
      </c>
      <c r="D451" s="427" t="s">
        <v>989</v>
      </c>
      <c r="E451" s="352"/>
      <c r="F451" s="352">
        <v>6</v>
      </c>
      <c r="G451" s="352" t="s">
        <v>308</v>
      </c>
      <c r="H451" s="424" t="s">
        <v>992</v>
      </c>
      <c r="I451" s="350" t="s">
        <v>476</v>
      </c>
      <c r="J451" s="556">
        <v>-136363.70454545456</v>
      </c>
      <c r="K451" s="350" t="s">
        <v>394</v>
      </c>
      <c r="L451" s="354">
        <v>2803.6597999999999</v>
      </c>
      <c r="M451" s="560">
        <f t="shared" si="458"/>
        <v>-48.637750038522704</v>
      </c>
      <c r="N451" s="354" t="s">
        <v>395</v>
      </c>
      <c r="O451" s="354">
        <v>0</v>
      </c>
      <c r="P451" s="374">
        <f t="shared" si="459"/>
        <v>-3.064573913080074</v>
      </c>
      <c r="Q451" s="354">
        <f t="shared" si="460"/>
        <v>-0.28903607074808541</v>
      </c>
      <c r="R451" s="354">
        <f t="shared" si="461"/>
        <v>-0.48723074980059566</v>
      </c>
      <c r="S451" s="354">
        <f t="shared" si="462"/>
        <v>-0.43401862784014605</v>
      </c>
      <c r="T451" s="354">
        <f t="shared" si="463"/>
        <v>-1.8521233061247842</v>
      </c>
      <c r="U451" s="374">
        <f t="shared" si="464"/>
        <v>-12.299464823871189</v>
      </c>
      <c r="V451" s="354">
        <f t="shared" si="465"/>
        <v>-0.3255756421420003</v>
      </c>
      <c r="W451" s="354">
        <f t="shared" si="466"/>
        <v>-11.106059471502629</v>
      </c>
      <c r="X451" s="354">
        <f t="shared" si="467"/>
        <v>-0.8678297102265593</v>
      </c>
      <c r="Y451" s="374">
        <f t="shared" si="468"/>
        <v>-1.8030827340255475</v>
      </c>
      <c r="Z451" s="354">
        <f t="shared" si="469"/>
        <v>-0.93013830695309019</v>
      </c>
      <c r="AA451" s="354">
        <f t="shared" si="470"/>
        <v>-0.87294442707245723</v>
      </c>
      <c r="AB451" s="374">
        <f t="shared" si="471"/>
        <v>-9.8509546746533942</v>
      </c>
      <c r="AC451" s="354">
        <f t="shared" si="472"/>
        <v>-2.7956278301432849</v>
      </c>
      <c r="AD451" s="354">
        <f t="shared" si="473"/>
        <v>-6.0854607862553065</v>
      </c>
      <c r="AE451" s="354">
        <f t="shared" si="474"/>
        <v>-0.96986605825480332</v>
      </c>
      <c r="AF451" s="374">
        <f t="shared" si="475"/>
        <v>-7.8842038720462622</v>
      </c>
      <c r="AG451" s="354">
        <f t="shared" si="476"/>
        <v>-0.5066917824641396</v>
      </c>
      <c r="AH451" s="354">
        <f t="shared" si="477"/>
        <v>-2.5493700491233988</v>
      </c>
      <c r="AI451" s="354">
        <f t="shared" si="478"/>
        <v>0</v>
      </c>
      <c r="AJ451" s="354">
        <f t="shared" si="479"/>
        <v>-4.8281420404587241</v>
      </c>
      <c r="AK451" s="374">
        <f t="shared" si="480"/>
        <v>-5.2074617895304423</v>
      </c>
      <c r="AL451" s="354">
        <f t="shared" si="481"/>
        <v>-1.4919723698511365</v>
      </c>
      <c r="AM451" s="354">
        <f t="shared" si="482"/>
        <v>-3.5189098612745706</v>
      </c>
      <c r="AN451" s="354">
        <f t="shared" si="483"/>
        <v>-0.19657955840473518</v>
      </c>
      <c r="AO451" s="374">
        <f t="shared" si="484"/>
        <v>-3.0195216238646299</v>
      </c>
      <c r="AP451" s="354">
        <f t="shared" si="485"/>
        <v>-0.69240806879601413</v>
      </c>
      <c r="AQ451" s="354">
        <f t="shared" si="486"/>
        <v>-2.3271135550686157</v>
      </c>
      <c r="AR451" s="374">
        <f t="shared" si="487"/>
        <v>-5.5084866074511636</v>
      </c>
      <c r="AS451" s="354">
        <f t="shared" si="488"/>
        <v>-2.3870142498303375</v>
      </c>
      <c r="AT451" s="354">
        <f t="shared" si="489"/>
        <v>-3.1214723576208265</v>
      </c>
      <c r="AU451" s="355" t="s">
        <v>396</v>
      </c>
      <c r="AV451" s="354" t="s">
        <v>346</v>
      </c>
      <c r="AW451" s="353">
        <v>0</v>
      </c>
      <c r="AX451" s="353">
        <v>0</v>
      </c>
      <c r="AY451" s="353">
        <v>0</v>
      </c>
      <c r="AZ451" s="353">
        <v>0</v>
      </c>
      <c r="BA451" s="353">
        <v>0</v>
      </c>
      <c r="BB451" s="353">
        <v>0</v>
      </c>
    </row>
    <row r="452" spans="1:54" x14ac:dyDescent="0.25">
      <c r="A452" s="348" t="s">
        <v>988</v>
      </c>
      <c r="B452" s="349">
        <v>32</v>
      </c>
      <c r="C452" s="423">
        <v>45170</v>
      </c>
      <c r="D452" s="427" t="s">
        <v>989</v>
      </c>
      <c r="E452" s="352"/>
      <c r="F452" s="352">
        <v>6</v>
      </c>
      <c r="G452" s="352" t="s">
        <v>309</v>
      </c>
      <c r="H452" s="424" t="s">
        <v>993</v>
      </c>
      <c r="I452" s="350" t="s">
        <v>476</v>
      </c>
      <c r="J452" s="556">
        <v>-597500.125</v>
      </c>
      <c r="K452" s="350" t="s">
        <v>394</v>
      </c>
      <c r="L452" s="354">
        <v>2803.6597999999999</v>
      </c>
      <c r="M452" s="560">
        <f t="shared" si="458"/>
        <v>-213.11434611289144</v>
      </c>
      <c r="N452" s="354" t="s">
        <v>395</v>
      </c>
      <c r="O452" s="354">
        <v>0</v>
      </c>
      <c r="P452" s="374">
        <f t="shared" si="459"/>
        <v>-13.427937457703216</v>
      </c>
      <c r="Q452" s="354">
        <f t="shared" si="460"/>
        <v>-1.2664593483812514</v>
      </c>
      <c r="R452" s="354">
        <f t="shared" si="461"/>
        <v>-2.1348821145634069</v>
      </c>
      <c r="S452" s="354">
        <f t="shared" si="462"/>
        <v>-1.9017244013077816</v>
      </c>
      <c r="T452" s="354">
        <f t="shared" si="463"/>
        <v>-8.1153845930908304</v>
      </c>
      <c r="U452" s="374">
        <f t="shared" si="464"/>
        <v>-53.892139365035327</v>
      </c>
      <c r="V452" s="354">
        <f t="shared" si="465"/>
        <v>-1.4265635238147747</v>
      </c>
      <c r="W452" s="354">
        <f t="shared" si="466"/>
        <v>-48.663036433336984</v>
      </c>
      <c r="X452" s="354">
        <f t="shared" si="467"/>
        <v>-3.8025394078835708</v>
      </c>
      <c r="Y452" s="374">
        <f t="shared" si="468"/>
        <v>-7.9005052154951718</v>
      </c>
      <c r="Z452" s="354">
        <f t="shared" si="469"/>
        <v>-4.0755548298154896</v>
      </c>
      <c r="AA452" s="354">
        <f t="shared" si="470"/>
        <v>-3.8249503856796818</v>
      </c>
      <c r="AB452" s="374">
        <f t="shared" si="471"/>
        <v>-43.16358718102115</v>
      </c>
      <c r="AC452" s="354">
        <f t="shared" si="472"/>
        <v>-12.24950571365048</v>
      </c>
      <c r="AD452" s="354">
        <f t="shared" si="473"/>
        <v>-26.664452924554592</v>
      </c>
      <c r="AE452" s="354">
        <f t="shared" si="474"/>
        <v>-4.2496285428160787</v>
      </c>
      <c r="AF452" s="374">
        <f t="shared" si="475"/>
        <v>-34.545943253564623</v>
      </c>
      <c r="AG452" s="354">
        <f t="shared" si="476"/>
        <v>-2.2201538478875813</v>
      </c>
      <c r="AH452" s="354">
        <f t="shared" si="477"/>
        <v>-11.170486516921645</v>
      </c>
      <c r="AI452" s="354">
        <f t="shared" si="478"/>
        <v>0</v>
      </c>
      <c r="AJ452" s="354">
        <f t="shared" si="479"/>
        <v>-21.155302888755401</v>
      </c>
      <c r="AK452" s="374">
        <f t="shared" si="480"/>
        <v>-22.81735510595497</v>
      </c>
      <c r="AL452" s="354">
        <f t="shared" si="481"/>
        <v>-6.5373236995438839</v>
      </c>
      <c r="AM452" s="354">
        <f t="shared" si="482"/>
        <v>-15.418685558476001</v>
      </c>
      <c r="AN452" s="354">
        <f t="shared" si="483"/>
        <v>-0.86134584793508573</v>
      </c>
      <c r="AO452" s="374">
        <f t="shared" si="484"/>
        <v>-13.230533401194974</v>
      </c>
      <c r="AP452" s="354">
        <f t="shared" si="485"/>
        <v>-3.0339004725316951</v>
      </c>
      <c r="AQ452" s="354">
        <f t="shared" si="486"/>
        <v>-10.196632928663279</v>
      </c>
      <c r="AR452" s="374">
        <f t="shared" si="487"/>
        <v>-24.136345132922003</v>
      </c>
      <c r="AS452" s="354">
        <f t="shared" si="488"/>
        <v>-10.459097729887457</v>
      </c>
      <c r="AT452" s="354">
        <f t="shared" si="489"/>
        <v>-13.677247403034547</v>
      </c>
      <c r="AU452" s="355" t="s">
        <v>396</v>
      </c>
      <c r="AV452" s="354" t="s">
        <v>346</v>
      </c>
      <c r="AW452" s="353">
        <v>0</v>
      </c>
      <c r="AX452" s="353">
        <v>0</v>
      </c>
      <c r="AY452" s="353">
        <v>0</v>
      </c>
      <c r="AZ452" s="353">
        <v>0</v>
      </c>
      <c r="BA452" s="353">
        <v>0</v>
      </c>
      <c r="BB452" s="353">
        <v>0</v>
      </c>
    </row>
    <row r="453" spans="1:54" x14ac:dyDescent="0.25">
      <c r="A453" s="348" t="s">
        <v>988</v>
      </c>
      <c r="B453" s="349">
        <v>32</v>
      </c>
      <c r="C453" s="423">
        <v>45170</v>
      </c>
      <c r="D453" s="427" t="s">
        <v>989</v>
      </c>
      <c r="E453" s="352"/>
      <c r="F453" s="352">
        <v>6</v>
      </c>
      <c r="G453" s="352" t="s">
        <v>310</v>
      </c>
      <c r="H453" s="424" t="s">
        <v>994</v>
      </c>
      <c r="I453" s="350" t="s">
        <v>476</v>
      </c>
      <c r="J453" s="556">
        <v>-181818.11363636365</v>
      </c>
      <c r="K453" s="350" t="s">
        <v>394</v>
      </c>
      <c r="L453" s="354">
        <v>2803.6597999999999</v>
      </c>
      <c r="M453" s="560">
        <f t="shared" si="458"/>
        <v>-64.850276640683603</v>
      </c>
      <c r="N453" s="354" t="s">
        <v>395</v>
      </c>
      <c r="O453" s="354">
        <v>0</v>
      </c>
      <c r="P453" s="374">
        <f t="shared" si="459"/>
        <v>-4.0860949754389884</v>
      </c>
      <c r="Q453" s="354">
        <f t="shared" si="460"/>
        <v>-0.38538109045553331</v>
      </c>
      <c r="R453" s="354">
        <f t="shared" si="461"/>
        <v>-0.6496404312985371</v>
      </c>
      <c r="S453" s="354">
        <f t="shared" si="462"/>
        <v>-0.57869099743204888</v>
      </c>
      <c r="T453" s="354">
        <f t="shared" si="463"/>
        <v>-2.469495580690269</v>
      </c>
      <c r="U453" s="374">
        <f t="shared" si="464"/>
        <v>-16.399272082459799</v>
      </c>
      <c r="V453" s="354">
        <f t="shared" si="465"/>
        <v>-0.43410047635127452</v>
      </c>
      <c r="W453" s="354">
        <f t="shared" si="466"/>
        <v>-14.808066338273935</v>
      </c>
      <c r="X453" s="354">
        <f t="shared" si="467"/>
        <v>-1.1571052678345901</v>
      </c>
      <c r="Y453" s="374">
        <f t="shared" si="468"/>
        <v>-2.4041082084385925</v>
      </c>
      <c r="Z453" s="354">
        <f t="shared" si="469"/>
        <v>-1.2401833241099716</v>
      </c>
      <c r="AA453" s="354">
        <f t="shared" si="470"/>
        <v>-1.1639248843286207</v>
      </c>
      <c r="AB453" s="374">
        <f t="shared" si="471"/>
        <v>-13.134594740096485</v>
      </c>
      <c r="AC453" s="354">
        <f t="shared" si="472"/>
        <v>-3.7275005119602085</v>
      </c>
      <c r="AD453" s="354">
        <f t="shared" si="473"/>
        <v>-8.1139406153063742</v>
      </c>
      <c r="AE453" s="354">
        <f t="shared" si="474"/>
        <v>-1.2931536128299024</v>
      </c>
      <c r="AF453" s="374">
        <f t="shared" si="475"/>
        <v>-10.512262631161764</v>
      </c>
      <c r="AG453" s="354">
        <f t="shared" si="476"/>
        <v>-0.6755884521454022</v>
      </c>
      <c r="AH453" s="354">
        <f t="shared" si="477"/>
        <v>-3.399157091234295</v>
      </c>
      <c r="AI453" s="354">
        <f t="shared" si="478"/>
        <v>0</v>
      </c>
      <c r="AJ453" s="354">
        <f t="shared" si="479"/>
        <v>-6.4375170877820675</v>
      </c>
      <c r="AK453" s="374">
        <f t="shared" si="480"/>
        <v>-6.9432763106715392</v>
      </c>
      <c r="AL453" s="354">
        <f t="shared" si="481"/>
        <v>-1.9892947525012874</v>
      </c>
      <c r="AM453" s="354">
        <f t="shared" si="482"/>
        <v>-4.6918757096399748</v>
      </c>
      <c r="AN453" s="354">
        <f t="shared" si="483"/>
        <v>-0.26210584853027674</v>
      </c>
      <c r="AO453" s="374">
        <f t="shared" si="484"/>
        <v>-4.0260253090460401</v>
      </c>
      <c r="AP453" s="354">
        <f t="shared" si="485"/>
        <v>-0.92320995058567579</v>
      </c>
      <c r="AQ453" s="354">
        <f t="shared" si="486"/>
        <v>-3.1028153584603646</v>
      </c>
      <c r="AR453" s="374">
        <f t="shared" si="487"/>
        <v>-7.3446423833703891</v>
      </c>
      <c r="AS453" s="354">
        <f t="shared" si="488"/>
        <v>-3.1826828815918837</v>
      </c>
      <c r="AT453" s="354">
        <f t="shared" si="489"/>
        <v>-4.1619595017785054</v>
      </c>
      <c r="AU453" s="355" t="s">
        <v>396</v>
      </c>
      <c r="AV453" s="354" t="s">
        <v>346</v>
      </c>
      <c r="AW453" s="353">
        <v>0</v>
      </c>
      <c r="AX453" s="353">
        <v>0</v>
      </c>
      <c r="AY453" s="353">
        <v>0</v>
      </c>
      <c r="AZ453" s="353">
        <v>0</v>
      </c>
      <c r="BA453" s="353">
        <v>0</v>
      </c>
      <c r="BB453" s="353">
        <v>0</v>
      </c>
    </row>
    <row r="454" spans="1:54" x14ac:dyDescent="0.25">
      <c r="A454" s="348" t="s">
        <v>988</v>
      </c>
      <c r="B454" s="349">
        <v>32</v>
      </c>
      <c r="C454" s="423">
        <v>45170</v>
      </c>
      <c r="D454" s="427" t="s">
        <v>989</v>
      </c>
      <c r="E454" s="352"/>
      <c r="F454" s="352">
        <v>6</v>
      </c>
      <c r="G454" s="352" t="s">
        <v>311</v>
      </c>
      <c r="H454" s="424" t="s">
        <v>995</v>
      </c>
      <c r="I454" s="350" t="s">
        <v>476</v>
      </c>
      <c r="J454" s="556">
        <v>-54545.511363636368</v>
      </c>
      <c r="K454" s="350" t="s">
        <v>394</v>
      </c>
      <c r="L454" s="354">
        <v>2803.6597999999999</v>
      </c>
      <c r="M454" s="560">
        <f t="shared" si="458"/>
        <v>-19.455110553582987</v>
      </c>
      <c r="N454" s="354" t="s">
        <v>395</v>
      </c>
      <c r="O454" s="354">
        <v>0</v>
      </c>
      <c r="P454" s="374">
        <f t="shared" si="459"/>
        <v>-1.2258302292227121</v>
      </c>
      <c r="Q454" s="354">
        <f t="shared" si="460"/>
        <v>-0.11561449092368484</v>
      </c>
      <c r="R454" s="354">
        <f t="shared" si="461"/>
        <v>-0.19489240548684794</v>
      </c>
      <c r="S454" s="354">
        <f t="shared" si="462"/>
        <v>-0.17360754517338078</v>
      </c>
      <c r="T454" s="354">
        <f t="shared" si="463"/>
        <v>-0.74084972374309599</v>
      </c>
      <c r="U454" s="374">
        <f t="shared" si="464"/>
        <v>-4.9197885944311883</v>
      </c>
      <c r="V454" s="354">
        <f t="shared" si="465"/>
        <v>-0.13023032739815399</v>
      </c>
      <c r="W454" s="354">
        <f t="shared" si="466"/>
        <v>-4.4424261949127342</v>
      </c>
      <c r="X454" s="354">
        <f t="shared" si="467"/>
        <v>-0.34713207212030028</v>
      </c>
      <c r="Y454" s="374">
        <f t="shared" si="468"/>
        <v>-0.72123348427794942</v>
      </c>
      <c r="Z454" s="354">
        <f t="shared" si="469"/>
        <v>-0.37205552431110184</v>
      </c>
      <c r="AA454" s="354">
        <f t="shared" si="470"/>
        <v>-0.34917795996684753</v>
      </c>
      <c r="AB454" s="374">
        <f t="shared" si="471"/>
        <v>-3.9403840042338034</v>
      </c>
      <c r="AC454" s="354">
        <f t="shared" si="472"/>
        <v>-1.1182517377763743</v>
      </c>
      <c r="AD454" s="354">
        <f t="shared" si="473"/>
        <v>-2.4341856330179668</v>
      </c>
      <c r="AE454" s="354">
        <f t="shared" si="474"/>
        <v>-0.38794663343946223</v>
      </c>
      <c r="AF454" s="374">
        <f t="shared" si="475"/>
        <v>-3.153683257061823</v>
      </c>
      <c r="AG454" s="354">
        <f t="shared" si="476"/>
        <v>-0.20267682276882049</v>
      </c>
      <c r="AH454" s="354">
        <f t="shared" si="477"/>
        <v>-1.0197485720125941</v>
      </c>
      <c r="AI454" s="354">
        <f t="shared" si="478"/>
        <v>0</v>
      </c>
      <c r="AJ454" s="354">
        <f t="shared" si="479"/>
        <v>-1.9312578622804086</v>
      </c>
      <c r="AK454" s="374">
        <f t="shared" si="480"/>
        <v>-2.0829858440950004</v>
      </c>
      <c r="AL454" s="354">
        <f t="shared" si="481"/>
        <v>-0.59678927120097303</v>
      </c>
      <c r="AM454" s="354">
        <f t="shared" si="482"/>
        <v>-1.4075647069399169</v>
      </c>
      <c r="AN454" s="354">
        <f t="shared" si="483"/>
        <v>-7.8631865954110425E-2</v>
      </c>
      <c r="AO454" s="374">
        <f t="shared" si="484"/>
        <v>-1.20780930377521</v>
      </c>
      <c r="AP454" s="354">
        <f t="shared" si="485"/>
        <v>-0.27696337754007888</v>
      </c>
      <c r="AQ454" s="354">
        <f t="shared" si="486"/>
        <v>-0.93084592623513118</v>
      </c>
      <c r="AR454" s="374">
        <f t="shared" si="487"/>
        <v>-2.2033958364853001</v>
      </c>
      <c r="AS454" s="354">
        <f t="shared" si="488"/>
        <v>-0.95480621711829705</v>
      </c>
      <c r="AT454" s="354">
        <f t="shared" si="489"/>
        <v>-1.2485896193670032</v>
      </c>
      <c r="AU454" s="355" t="s">
        <v>396</v>
      </c>
      <c r="AV454" s="354" t="s">
        <v>346</v>
      </c>
      <c r="AW454" s="353">
        <v>0</v>
      </c>
      <c r="AX454" s="353">
        <v>0</v>
      </c>
      <c r="AY454" s="353">
        <v>0</v>
      </c>
      <c r="AZ454" s="353">
        <v>0</v>
      </c>
      <c r="BA454" s="353">
        <v>0</v>
      </c>
      <c r="BB454" s="353">
        <v>0</v>
      </c>
    </row>
    <row r="455" spans="1:54" x14ac:dyDescent="0.25">
      <c r="A455" s="348" t="s">
        <v>706</v>
      </c>
      <c r="B455" s="436">
        <v>18</v>
      </c>
      <c r="C455" s="380">
        <v>45111</v>
      </c>
      <c r="D455" s="351">
        <v>45111</v>
      </c>
      <c r="E455" s="352"/>
      <c r="F455" s="352">
        <v>6</v>
      </c>
      <c r="G455" s="429" t="s">
        <v>321</v>
      </c>
      <c r="H455" s="350" t="s">
        <v>1059</v>
      </c>
      <c r="I455" s="350" t="s">
        <v>476</v>
      </c>
      <c r="J455" s="556">
        <f>-80000*10%</f>
        <v>-8000</v>
      </c>
      <c r="K455" s="350" t="s">
        <v>394</v>
      </c>
      <c r="L455" s="353">
        <v>2801.6</v>
      </c>
      <c r="M455" s="560">
        <f t="shared" ref="M455:M456" si="494">+J455/L455</f>
        <v>-2.8555111364934325</v>
      </c>
      <c r="N455" s="354" t="s">
        <v>395</v>
      </c>
      <c r="O455" s="354">
        <v>0</v>
      </c>
      <c r="P455" s="374">
        <f t="shared" ref="P455:P517" si="495">M455*$P$2</f>
        <v>-0.17992043074518016</v>
      </c>
      <c r="Q455" s="354">
        <f t="shared" ref="Q455:Q517" si="496">P455*$Q$2</f>
        <v>-1.6969241344753003E-2</v>
      </c>
      <c r="R455" s="354">
        <f t="shared" ref="R455:R517" si="497">P455*$R$2</f>
        <v>-2.8605205442186293E-2</v>
      </c>
      <c r="S455" s="354">
        <f t="shared" ref="S455:S517" si="498">P455*$S$2</f>
        <v>-2.5481133980530216E-2</v>
      </c>
      <c r="T455" s="354">
        <f t="shared" ref="T455:T517" si="499">P455*$T$2</f>
        <v>-0.10873773401544036</v>
      </c>
      <c r="U455" s="374">
        <f t="shared" ref="U455:U517" si="500">M455*$U$2</f>
        <v>-0.72209875558915071</v>
      </c>
      <c r="V455" s="354">
        <f t="shared" ref="V455:V517" si="501">U455*$V$2</f>
        <v>-1.9114471191022227E-2</v>
      </c>
      <c r="W455" s="354">
        <f t="shared" ref="W455:W517" si="502">U455*$W$2</f>
        <v>-0.65203420138299983</v>
      </c>
      <c r="X455" s="354">
        <f t="shared" ref="X455:X517" si="503">U455*$X$2</f>
        <v>-5.0950083015128649E-2</v>
      </c>
      <c r="Y455" s="374">
        <f t="shared" ref="Y455:Y517" si="504">M455*$Y$2</f>
        <v>-0.10585857328825898</v>
      </c>
      <c r="Z455" s="354">
        <f t="shared" ref="Z455:Z517" si="505">Y455*$Z$2</f>
        <v>-5.4608206421556095E-2</v>
      </c>
      <c r="AA455" s="354">
        <f t="shared" ref="AA455:AA517" si="506">Y455*$AA$2</f>
        <v>-5.1250366866702882E-2</v>
      </c>
      <c r="AB455" s="374">
        <f t="shared" ref="AB455:AB517" si="507">M455*$AB$2</f>
        <v>-0.57834728695890136</v>
      </c>
      <c r="AC455" s="354">
        <f t="shared" ref="AC455:AC517" si="508">AB455*$AC$2</f>
        <v>-0.16413066797173723</v>
      </c>
      <c r="AD455" s="354">
        <f t="shared" ref="AD455:AD517" si="509">AB455*$AD$2</f>
        <v>-0.35727600540902632</v>
      </c>
      <c r="AE455" s="354">
        <f t="shared" ref="AE455:AE517" si="510">AB455*$AE$2</f>
        <v>-5.6940613578137823E-2</v>
      </c>
      <c r="AF455" s="374">
        <f t="shared" ref="AF455:AF517" si="511">M455*$AF$2</f>
        <v>-0.46287979894590847</v>
      </c>
      <c r="AG455" s="354">
        <f t="shared" ref="AG455:AG517" si="512">AF455*$AG$2</f>
        <v>-2.9747758201193398E-2</v>
      </c>
      <c r="AH455" s="354">
        <f t="shared" ref="AH455:AH517" si="513">AF455*$AH$2</f>
        <v>-0.14967293019411607</v>
      </c>
      <c r="AI455" s="354">
        <f t="shared" ref="AI455:AI517" si="514">AF455*$AI$2</f>
        <v>0</v>
      </c>
      <c r="AJ455" s="354">
        <f t="shared" ref="AJ455:AJ517" si="515">AF455*$AJ$2</f>
        <v>-0.28345911055059902</v>
      </c>
      <c r="AK455" s="374">
        <f t="shared" ref="AK455:AK517" si="516">M455*$AK$2</f>
        <v>-0.30572888591866798</v>
      </c>
      <c r="AL455" s="354">
        <f t="shared" ref="AL455:AL517" si="517">AK455*$AL$2</f>
        <v>-8.7593355245176543E-2</v>
      </c>
      <c r="AM455" s="354">
        <f t="shared" ref="AM455:AM517" si="518">AK455*$AM$2</f>
        <v>-0.20659438993842277</v>
      </c>
      <c r="AN455" s="354">
        <f t="shared" ref="AN455:AN517" si="519">AK455*$AN$2</f>
        <v>-1.1541140735068676E-2</v>
      </c>
      <c r="AO455" s="374">
        <f t="shared" ref="AO455:AO517" si="520">M455*$AO$2</f>
        <v>-0.17727542119031112</v>
      </c>
      <c r="AP455" s="354">
        <f t="shared" ref="AP455:AP517" si="521">AO455*$AP$2</f>
        <v>-4.0651118727304154E-2</v>
      </c>
      <c r="AQ455" s="354">
        <f t="shared" ref="AQ455:AQ517" si="522">AO455*$AQ$2</f>
        <v>-0.13662430246300697</v>
      </c>
      <c r="AR455" s="374">
        <f t="shared" ref="AR455:AR517" si="523">M455*$AR$2</f>
        <v>-0.32340198385705349</v>
      </c>
      <c r="AS455" s="354">
        <f t="shared" ref="AS455:AS517" si="524">AR455*$AS$2</f>
        <v>-0.14014105849798625</v>
      </c>
      <c r="AT455" s="354">
        <f t="shared" ref="AT455:AT517" si="525">AR455*$AT$2</f>
        <v>-0.18326092535906724</v>
      </c>
      <c r="AU455" s="355" t="s">
        <v>396</v>
      </c>
      <c r="AV455" s="354" t="s">
        <v>345</v>
      </c>
      <c r="AW455" s="353">
        <v>0</v>
      </c>
      <c r="AX455" s="353">
        <v>0</v>
      </c>
      <c r="AY455" s="353">
        <v>0</v>
      </c>
      <c r="AZ455" s="353">
        <v>0</v>
      </c>
      <c r="BA455" s="353">
        <v>0</v>
      </c>
      <c r="BB455" s="353">
        <v>0</v>
      </c>
    </row>
    <row r="456" spans="1:54" x14ac:dyDescent="0.25">
      <c r="A456" s="348" t="s">
        <v>706</v>
      </c>
      <c r="B456" s="436">
        <v>19</v>
      </c>
      <c r="C456" s="380">
        <v>45111</v>
      </c>
      <c r="D456" s="351">
        <v>45111</v>
      </c>
      <c r="E456" s="352"/>
      <c r="F456" s="352">
        <v>6</v>
      </c>
      <c r="G456" s="429" t="s">
        <v>321</v>
      </c>
      <c r="H456" s="350" t="s">
        <v>707</v>
      </c>
      <c r="I456" s="350" t="s">
        <v>393</v>
      </c>
      <c r="J456" s="556">
        <v>80000</v>
      </c>
      <c r="K456" s="350" t="s">
        <v>394</v>
      </c>
      <c r="L456" s="353">
        <v>2801.6</v>
      </c>
      <c r="M456" s="560">
        <f t="shared" si="494"/>
        <v>28.555111364934323</v>
      </c>
      <c r="N456" s="354" t="s">
        <v>395</v>
      </c>
      <c r="O456" s="354">
        <v>0</v>
      </c>
      <c r="P456" s="374">
        <f t="shared" si="495"/>
        <v>1.7992043074518016</v>
      </c>
      <c r="Q456" s="354">
        <f t="shared" si="496"/>
        <v>0.16969241344753005</v>
      </c>
      <c r="R456" s="354">
        <f t="shared" si="497"/>
        <v>0.28605205442186293</v>
      </c>
      <c r="S456" s="354">
        <f t="shared" si="498"/>
        <v>0.25481133980530213</v>
      </c>
      <c r="T456" s="354">
        <f t="shared" si="499"/>
        <v>1.0873773401544036</v>
      </c>
      <c r="U456" s="374">
        <f t="shared" si="500"/>
        <v>7.2209875558915071</v>
      </c>
      <c r="V456" s="354">
        <f t="shared" si="501"/>
        <v>0.19114471191022225</v>
      </c>
      <c r="W456" s="354">
        <f t="shared" si="502"/>
        <v>6.5203420138299988</v>
      </c>
      <c r="X456" s="354">
        <f t="shared" si="503"/>
        <v>0.50950083015128644</v>
      </c>
      <c r="Y456" s="374">
        <f t="shared" si="504"/>
        <v>1.0585857328825898</v>
      </c>
      <c r="Z456" s="354">
        <f t="shared" si="505"/>
        <v>0.54608206421556094</v>
      </c>
      <c r="AA456" s="354">
        <f t="shared" si="506"/>
        <v>0.51250366866702879</v>
      </c>
      <c r="AB456" s="374">
        <f t="shared" si="507"/>
        <v>5.783472869589013</v>
      </c>
      <c r="AC456" s="354">
        <f t="shared" si="508"/>
        <v>1.6413066797173721</v>
      </c>
      <c r="AD456" s="354">
        <f t="shared" si="509"/>
        <v>3.5727600540902626</v>
      </c>
      <c r="AE456" s="354">
        <f t="shared" si="510"/>
        <v>0.56940613578137811</v>
      </c>
      <c r="AF456" s="374">
        <f t="shared" si="511"/>
        <v>4.6287979894590849</v>
      </c>
      <c r="AG456" s="354">
        <f t="shared" si="512"/>
        <v>0.29747758201193397</v>
      </c>
      <c r="AH456" s="354">
        <f t="shared" si="513"/>
        <v>1.4967293019411607</v>
      </c>
      <c r="AI456" s="354">
        <f t="shared" si="514"/>
        <v>0</v>
      </c>
      <c r="AJ456" s="354">
        <f t="shared" si="515"/>
        <v>2.8345911055059907</v>
      </c>
      <c r="AK456" s="374">
        <f t="shared" si="516"/>
        <v>3.0572888591866794</v>
      </c>
      <c r="AL456" s="354">
        <f t="shared" si="517"/>
        <v>0.87593355245176541</v>
      </c>
      <c r="AM456" s="354">
        <f t="shared" si="518"/>
        <v>2.0659438993842274</v>
      </c>
      <c r="AN456" s="354">
        <f t="shared" si="519"/>
        <v>0.11541140735068675</v>
      </c>
      <c r="AO456" s="374">
        <f t="shared" si="520"/>
        <v>1.7727542119031112</v>
      </c>
      <c r="AP456" s="354">
        <f t="shared" si="521"/>
        <v>0.40651118727304159</v>
      </c>
      <c r="AQ456" s="354">
        <f t="shared" si="522"/>
        <v>1.3662430246300696</v>
      </c>
      <c r="AR456" s="374">
        <f t="shared" si="523"/>
        <v>3.2340198385705348</v>
      </c>
      <c r="AS456" s="354">
        <f t="shared" si="524"/>
        <v>1.4014105849798626</v>
      </c>
      <c r="AT456" s="354">
        <f t="shared" si="525"/>
        <v>1.8326092535906724</v>
      </c>
      <c r="AU456" s="355" t="s">
        <v>396</v>
      </c>
      <c r="AV456" s="354" t="s">
        <v>345</v>
      </c>
      <c r="AW456" s="353">
        <v>0</v>
      </c>
      <c r="AX456" s="353">
        <v>0</v>
      </c>
      <c r="AY456" s="353">
        <v>0</v>
      </c>
      <c r="AZ456" s="353">
        <v>0</v>
      </c>
      <c r="BA456" s="353">
        <v>0</v>
      </c>
      <c r="BB456" s="353">
        <v>0</v>
      </c>
    </row>
    <row r="457" spans="1:54" x14ac:dyDescent="0.25">
      <c r="A457" s="348" t="s">
        <v>638</v>
      </c>
      <c r="B457" s="436">
        <v>20</v>
      </c>
      <c r="C457" s="380">
        <v>45111</v>
      </c>
      <c r="D457" s="351">
        <v>45111</v>
      </c>
      <c r="E457" s="352"/>
      <c r="F457" s="352">
        <v>6</v>
      </c>
      <c r="G457" s="429" t="s">
        <v>321</v>
      </c>
      <c r="H457" s="350" t="s">
        <v>1060</v>
      </c>
      <c r="I457" s="350" t="s">
        <v>476</v>
      </c>
      <c r="J457" s="556">
        <f>-400000*10/100</f>
        <v>-40000</v>
      </c>
      <c r="K457" s="350" t="s">
        <v>394</v>
      </c>
      <c r="L457" s="353">
        <v>2801.6</v>
      </c>
      <c r="M457" s="560">
        <f>+J457/L457</f>
        <v>-14.277555682467161</v>
      </c>
      <c r="N457" s="354" t="s">
        <v>395</v>
      </c>
      <c r="O457" s="354">
        <v>0</v>
      </c>
      <c r="P457" s="374">
        <f t="shared" si="495"/>
        <v>-0.8996021537259008</v>
      </c>
      <c r="Q457" s="354">
        <f t="shared" si="496"/>
        <v>-8.4846206723765027E-2</v>
      </c>
      <c r="R457" s="354">
        <f t="shared" si="497"/>
        <v>-0.14302602721093147</v>
      </c>
      <c r="S457" s="354">
        <f t="shared" si="498"/>
        <v>-0.12740566990265106</v>
      </c>
      <c r="T457" s="354">
        <f t="shared" si="499"/>
        <v>-0.54368867007720179</v>
      </c>
      <c r="U457" s="374">
        <f t="shared" si="500"/>
        <v>-3.6104937779457535</v>
      </c>
      <c r="V457" s="354">
        <f t="shared" si="501"/>
        <v>-9.5572355955111127E-2</v>
      </c>
      <c r="W457" s="354">
        <f t="shared" si="502"/>
        <v>-3.2601710069149994</v>
      </c>
      <c r="X457" s="354">
        <f t="shared" si="503"/>
        <v>-0.25475041507564322</v>
      </c>
      <c r="Y457" s="374">
        <f t="shared" si="504"/>
        <v>-0.52929286644129492</v>
      </c>
      <c r="Z457" s="354">
        <f t="shared" si="505"/>
        <v>-0.27304103210778047</v>
      </c>
      <c r="AA457" s="354">
        <f t="shared" si="506"/>
        <v>-0.25625183433351439</v>
      </c>
      <c r="AB457" s="374">
        <f t="shared" si="507"/>
        <v>-2.8917364347945065</v>
      </c>
      <c r="AC457" s="354">
        <f t="shared" si="508"/>
        <v>-0.82065333985868605</v>
      </c>
      <c r="AD457" s="354">
        <f t="shared" si="509"/>
        <v>-1.7863800270451313</v>
      </c>
      <c r="AE457" s="354">
        <f t="shared" si="510"/>
        <v>-0.28470306789068905</v>
      </c>
      <c r="AF457" s="374">
        <f t="shared" si="511"/>
        <v>-2.3143989947295425</v>
      </c>
      <c r="AG457" s="354">
        <f t="shared" si="512"/>
        <v>-0.14873879100596699</v>
      </c>
      <c r="AH457" s="354">
        <f t="shared" si="513"/>
        <v>-0.74836465097058036</v>
      </c>
      <c r="AI457" s="354">
        <f t="shared" si="514"/>
        <v>0</v>
      </c>
      <c r="AJ457" s="354">
        <f t="shared" si="515"/>
        <v>-1.4172955527529953</v>
      </c>
      <c r="AK457" s="374">
        <f t="shared" si="516"/>
        <v>-1.5286444295933397</v>
      </c>
      <c r="AL457" s="354">
        <f t="shared" si="517"/>
        <v>-0.4379667762258827</v>
      </c>
      <c r="AM457" s="354">
        <f t="shared" si="518"/>
        <v>-1.0329719496921137</v>
      </c>
      <c r="AN457" s="354">
        <f t="shared" si="519"/>
        <v>-5.7705703675343376E-2</v>
      </c>
      <c r="AO457" s="374">
        <f t="shared" si="520"/>
        <v>-0.88637710595155561</v>
      </c>
      <c r="AP457" s="354">
        <f t="shared" si="521"/>
        <v>-0.20325559363652079</v>
      </c>
      <c r="AQ457" s="354">
        <f t="shared" si="522"/>
        <v>-0.68312151231503482</v>
      </c>
      <c r="AR457" s="374">
        <f t="shared" si="523"/>
        <v>-1.6170099192852674</v>
      </c>
      <c r="AS457" s="354">
        <f t="shared" si="524"/>
        <v>-0.7007052924899313</v>
      </c>
      <c r="AT457" s="354">
        <f t="shared" si="525"/>
        <v>-0.9163046267953362</v>
      </c>
      <c r="AU457" s="355" t="s">
        <v>396</v>
      </c>
      <c r="AV457" s="354" t="s">
        <v>345</v>
      </c>
      <c r="AW457" s="353">
        <v>0</v>
      </c>
      <c r="AX457" s="353">
        <v>0</v>
      </c>
      <c r="AY457" s="353">
        <v>0</v>
      </c>
      <c r="AZ457" s="353">
        <v>0</v>
      </c>
      <c r="BA457" s="353">
        <v>0</v>
      </c>
      <c r="BB457" s="353">
        <v>0</v>
      </c>
    </row>
    <row r="458" spans="1:54" x14ac:dyDescent="0.25">
      <c r="A458" s="348" t="s">
        <v>638</v>
      </c>
      <c r="B458" s="436">
        <v>21</v>
      </c>
      <c r="C458" s="380">
        <v>45111</v>
      </c>
      <c r="D458" s="351">
        <v>45111</v>
      </c>
      <c r="E458" s="352"/>
      <c r="F458" s="352">
        <v>6</v>
      </c>
      <c r="G458" s="429" t="s">
        <v>321</v>
      </c>
      <c r="H458" s="350" t="s">
        <v>1061</v>
      </c>
      <c r="I458" s="350" t="s">
        <v>393</v>
      </c>
      <c r="J458" s="556">
        <f>400000</f>
        <v>400000</v>
      </c>
      <c r="K458" s="350" t="s">
        <v>394</v>
      </c>
      <c r="L458" s="353">
        <v>2801.6</v>
      </c>
      <c r="M458" s="560">
        <f>+J458/L458</f>
        <v>142.77555682467161</v>
      </c>
      <c r="N458" s="354" t="s">
        <v>395</v>
      </c>
      <c r="O458" s="354">
        <v>0</v>
      </c>
      <c r="P458" s="374">
        <f t="shared" si="495"/>
        <v>8.9960215372590078</v>
      </c>
      <c r="Q458" s="354">
        <f t="shared" si="496"/>
        <v>0.84846206723765016</v>
      </c>
      <c r="R458" s="354">
        <f t="shared" si="497"/>
        <v>1.4302602721093145</v>
      </c>
      <c r="S458" s="354">
        <f t="shared" si="498"/>
        <v>1.2740566990265108</v>
      </c>
      <c r="T458" s="354">
        <f t="shared" si="499"/>
        <v>5.4368867007720176</v>
      </c>
      <c r="U458" s="374">
        <f t="shared" si="500"/>
        <v>36.104937779457536</v>
      </c>
      <c r="V458" s="354">
        <f t="shared" si="501"/>
        <v>0.95572355955111132</v>
      </c>
      <c r="W458" s="354">
        <f t="shared" si="502"/>
        <v>32.601710069149995</v>
      </c>
      <c r="X458" s="354">
        <f t="shared" si="503"/>
        <v>2.5475041507564327</v>
      </c>
      <c r="Y458" s="374">
        <f t="shared" si="504"/>
        <v>5.2929286644129485</v>
      </c>
      <c r="Z458" s="354">
        <f t="shared" si="505"/>
        <v>2.7304103210778043</v>
      </c>
      <c r="AA458" s="354">
        <f t="shared" si="506"/>
        <v>2.5625183433351437</v>
      </c>
      <c r="AB458" s="374">
        <f t="shared" si="507"/>
        <v>28.917364347945064</v>
      </c>
      <c r="AC458" s="354">
        <f t="shared" si="508"/>
        <v>8.2065333985868598</v>
      </c>
      <c r="AD458" s="354">
        <f t="shared" si="509"/>
        <v>17.863800270451314</v>
      </c>
      <c r="AE458" s="354">
        <f t="shared" si="510"/>
        <v>2.8470306789068904</v>
      </c>
      <c r="AF458" s="374">
        <f t="shared" si="511"/>
        <v>23.143989947295424</v>
      </c>
      <c r="AG458" s="354">
        <f t="shared" si="512"/>
        <v>1.4873879100596699</v>
      </c>
      <c r="AH458" s="354">
        <f t="shared" si="513"/>
        <v>7.4836465097058031</v>
      </c>
      <c r="AI458" s="354">
        <f t="shared" si="514"/>
        <v>0</v>
      </c>
      <c r="AJ458" s="354">
        <f t="shared" si="515"/>
        <v>14.172955527529952</v>
      </c>
      <c r="AK458" s="374">
        <f t="shared" si="516"/>
        <v>15.286444295933396</v>
      </c>
      <c r="AL458" s="354">
        <f t="shared" si="517"/>
        <v>4.3796677622588263</v>
      </c>
      <c r="AM458" s="354">
        <f t="shared" si="518"/>
        <v>10.329719496921136</v>
      </c>
      <c r="AN458" s="354">
        <f t="shared" si="519"/>
        <v>0.57705703675343367</v>
      </c>
      <c r="AO458" s="374">
        <f t="shared" si="520"/>
        <v>8.863771059515555</v>
      </c>
      <c r="AP458" s="354">
        <f t="shared" si="521"/>
        <v>2.0325559363652075</v>
      </c>
      <c r="AQ458" s="354">
        <f t="shared" si="522"/>
        <v>6.831215123150348</v>
      </c>
      <c r="AR458" s="374">
        <f t="shared" si="523"/>
        <v>16.170099192852675</v>
      </c>
      <c r="AS458" s="354">
        <f t="shared" si="524"/>
        <v>7.0070529248993134</v>
      </c>
      <c r="AT458" s="354">
        <f t="shared" si="525"/>
        <v>9.1630462679533622</v>
      </c>
      <c r="AU458" s="355" t="s">
        <v>396</v>
      </c>
      <c r="AV458" s="354" t="s">
        <v>345</v>
      </c>
      <c r="AW458" s="353">
        <v>0</v>
      </c>
      <c r="AX458" s="353">
        <v>0</v>
      </c>
      <c r="AY458" s="353">
        <v>0</v>
      </c>
      <c r="AZ458" s="353">
        <v>0</v>
      </c>
      <c r="BA458" s="353">
        <v>0</v>
      </c>
      <c r="BB458" s="353">
        <v>0</v>
      </c>
    </row>
    <row r="459" spans="1:54" x14ac:dyDescent="0.25">
      <c r="A459" s="564" t="s">
        <v>1062</v>
      </c>
      <c r="B459" s="565">
        <v>24</v>
      </c>
      <c r="C459" s="380">
        <v>45111</v>
      </c>
      <c r="D459" s="566" t="s">
        <v>1064</v>
      </c>
      <c r="E459" s="567">
        <v>421</v>
      </c>
      <c r="F459" s="567">
        <v>6</v>
      </c>
      <c r="G459" s="429" t="s">
        <v>301</v>
      </c>
      <c r="H459" s="381" t="s">
        <v>1065</v>
      </c>
      <c r="I459" s="381" t="s">
        <v>393</v>
      </c>
      <c r="J459" s="568">
        <v>1265383</v>
      </c>
      <c r="K459" s="353" t="s">
        <v>394</v>
      </c>
      <c r="L459" s="353">
        <v>2801.6</v>
      </c>
      <c r="M459" s="560">
        <f t="shared" ref="M459:M522" si="526">+J459/L459</f>
        <v>451.66440605368365</v>
      </c>
      <c r="N459" s="354" t="s">
        <v>395</v>
      </c>
      <c r="O459" s="354">
        <v>0</v>
      </c>
      <c r="P459" s="374">
        <f t="shared" si="495"/>
        <v>28.458531802203542</v>
      </c>
      <c r="Q459" s="354">
        <f t="shared" si="496"/>
        <v>2.6840736900684492</v>
      </c>
      <c r="R459" s="354">
        <f t="shared" si="497"/>
        <v>4.5245675847562525</v>
      </c>
      <c r="S459" s="354">
        <f t="shared" si="498"/>
        <v>4.0304242199606586</v>
      </c>
      <c r="T459" s="354">
        <f t="shared" si="499"/>
        <v>17.199360010207499</v>
      </c>
      <c r="U459" s="374">
        <f t="shared" si="500"/>
        <v>114.21643620545829</v>
      </c>
      <c r="V459" s="354">
        <f t="shared" si="501"/>
        <v>3.0233908623886596</v>
      </c>
      <c r="W459" s="354">
        <f t="shared" si="502"/>
        <v>103.13412423107808</v>
      </c>
      <c r="X459" s="354">
        <f t="shared" si="503"/>
        <v>8.0589211119915678</v>
      </c>
      <c r="Y459" s="374">
        <f t="shared" si="504"/>
        <v>16.743954880402129</v>
      </c>
      <c r="Z459" s="354">
        <f t="shared" si="505"/>
        <v>8.637537008290991</v>
      </c>
      <c r="AA459" s="354">
        <f t="shared" si="506"/>
        <v>8.1064178721111375</v>
      </c>
      <c r="AB459" s="374">
        <f t="shared" si="507"/>
        <v>91.478853126739438</v>
      </c>
      <c r="AC459" s="354">
        <f t="shared" si="508"/>
        <v>25.961019628760098</v>
      </c>
      <c r="AD459" s="354">
        <f t="shared" si="509"/>
        <v>56.511372944061243</v>
      </c>
      <c r="AE459" s="354">
        <f t="shared" si="510"/>
        <v>9.006460553918096</v>
      </c>
      <c r="AF459" s="374">
        <f t="shared" si="511"/>
        <v>73.21502857869632</v>
      </c>
      <c r="AG459" s="354">
        <f t="shared" si="512"/>
        <v>4.7052884394875889</v>
      </c>
      <c r="AH459" s="354">
        <f t="shared" si="513"/>
        <v>23.674197678477647</v>
      </c>
      <c r="AI459" s="354">
        <f t="shared" si="514"/>
        <v>0</v>
      </c>
      <c r="AJ459" s="354">
        <f t="shared" si="515"/>
        <v>44.835542460731091</v>
      </c>
      <c r="AK459" s="374">
        <f t="shared" si="516"/>
        <v>48.358016856302726</v>
      </c>
      <c r="AL459" s="354">
        <f t="shared" si="517"/>
        <v>13.854892830025904</v>
      </c>
      <c r="AM459" s="354">
        <f t="shared" si="518"/>
        <v>32.677628615431395</v>
      </c>
      <c r="AN459" s="354">
        <f t="shared" si="519"/>
        <v>1.8254954108454258</v>
      </c>
      <c r="AO459" s="374">
        <f t="shared" si="520"/>
        <v>28.040163036507433</v>
      </c>
      <c r="AP459" s="354">
        <f t="shared" si="521"/>
        <v>6.4299043210640399</v>
      </c>
      <c r="AQ459" s="354">
        <f t="shared" si="522"/>
        <v>21.610258715443393</v>
      </c>
      <c r="AR459" s="374">
        <f t="shared" si="523"/>
        <v>51.153421567373748</v>
      </c>
      <c r="AS459" s="354">
        <f t="shared" si="524"/>
        <v>22.166514128169673</v>
      </c>
      <c r="AT459" s="354">
        <f t="shared" si="525"/>
        <v>28.986907439204078</v>
      </c>
      <c r="AU459" s="355" t="s">
        <v>396</v>
      </c>
      <c r="AV459" s="354" t="s">
        <v>345</v>
      </c>
      <c r="AW459" s="353">
        <v>0</v>
      </c>
      <c r="AX459" s="353">
        <v>0</v>
      </c>
      <c r="AY459" s="353">
        <v>0</v>
      </c>
      <c r="AZ459" s="353">
        <v>0</v>
      </c>
      <c r="BA459" s="353">
        <v>0</v>
      </c>
      <c r="BB459" s="353">
        <v>0</v>
      </c>
    </row>
    <row r="460" spans="1:54" x14ac:dyDescent="0.25">
      <c r="A460" s="564" t="s">
        <v>1062</v>
      </c>
      <c r="B460" s="565">
        <v>24</v>
      </c>
      <c r="C460" s="380">
        <v>45111</v>
      </c>
      <c r="D460" s="566" t="s">
        <v>1064</v>
      </c>
      <c r="E460" s="567">
        <v>421</v>
      </c>
      <c r="F460" s="567">
        <v>6</v>
      </c>
      <c r="G460" s="429" t="s">
        <v>323</v>
      </c>
      <c r="H460" s="381" t="s">
        <v>1066</v>
      </c>
      <c r="I460" s="381" t="s">
        <v>393</v>
      </c>
      <c r="J460" s="568">
        <v>133677</v>
      </c>
      <c r="K460" s="353" t="s">
        <v>394</v>
      </c>
      <c r="L460" s="353">
        <v>2801.6</v>
      </c>
      <c r="M460" s="560">
        <f t="shared" si="526"/>
        <v>47.714520274129072</v>
      </c>
      <c r="N460" s="354" t="s">
        <v>395</v>
      </c>
      <c r="O460" s="354">
        <v>0</v>
      </c>
      <c r="P460" s="374">
        <f t="shared" si="495"/>
        <v>3.0064029275904312</v>
      </c>
      <c r="Q460" s="354">
        <f t="shared" si="496"/>
        <v>0.28354965940531845</v>
      </c>
      <c r="R460" s="354">
        <f t="shared" si="497"/>
        <v>0.47798225598689215</v>
      </c>
      <c r="S460" s="354">
        <f t="shared" si="498"/>
        <v>0.42578019338941719</v>
      </c>
      <c r="T460" s="354">
        <f t="shared" si="499"/>
        <v>1.8169667587477527</v>
      </c>
      <c r="U460" s="374">
        <f t="shared" si="500"/>
        <v>12.065999418861363</v>
      </c>
      <c r="V460" s="354">
        <f t="shared" si="501"/>
        <v>0.31939564567528478</v>
      </c>
      <c r="W460" s="354">
        <f t="shared" si="502"/>
        <v>10.89524699228441</v>
      </c>
      <c r="X460" s="354">
        <f t="shared" si="503"/>
        <v>0.85135678090166911</v>
      </c>
      <c r="Y460" s="374">
        <f t="shared" si="504"/>
        <v>1.7688570626818245</v>
      </c>
      <c r="Z460" s="354">
        <f t="shared" si="505"/>
        <v>0.91248265122679428</v>
      </c>
      <c r="AA460" s="354">
        <f t="shared" si="506"/>
        <v>0.85637441145503013</v>
      </c>
      <c r="AB460" s="374">
        <f t="shared" si="507"/>
        <v>9.6639662848506322</v>
      </c>
      <c r="AC460" s="354">
        <f t="shared" si="508"/>
        <v>2.7425619128072398</v>
      </c>
      <c r="AD460" s="354">
        <f t="shared" si="509"/>
        <v>5.9699480718828015</v>
      </c>
      <c r="AE460" s="354">
        <f t="shared" si="510"/>
        <v>0.95145630016059124</v>
      </c>
      <c r="AF460" s="374">
        <f t="shared" si="511"/>
        <v>7.7345478604615261</v>
      </c>
      <c r="AG460" s="354">
        <f t="shared" si="512"/>
        <v>0.49707388413261622</v>
      </c>
      <c r="AH460" s="354">
        <f t="shared" si="513"/>
        <v>2.5009785361948564</v>
      </c>
      <c r="AI460" s="354">
        <f t="shared" si="514"/>
        <v>0</v>
      </c>
      <c r="AJ460" s="354">
        <f t="shared" si="515"/>
        <v>4.7364954401340533</v>
      </c>
      <c r="AK460" s="374">
        <f t="shared" si="516"/>
        <v>5.1086150353687216</v>
      </c>
      <c r="AL460" s="354">
        <f t="shared" si="517"/>
        <v>1.4636521186386828</v>
      </c>
      <c r="AM460" s="354">
        <f t="shared" si="518"/>
        <v>3.4521147829748169</v>
      </c>
      <c r="AN460" s="354">
        <f t="shared" si="519"/>
        <v>0.19284813375522189</v>
      </c>
      <c r="AO460" s="374">
        <f t="shared" si="520"/>
        <v>2.9622058098071524</v>
      </c>
      <c r="AP460" s="354">
        <f t="shared" si="521"/>
        <v>0.67926494976372975</v>
      </c>
      <c r="AQ460" s="354">
        <f t="shared" si="522"/>
        <v>2.2829408600434227</v>
      </c>
      <c r="AR460" s="374">
        <f t="shared" si="523"/>
        <v>5.4039258745074177</v>
      </c>
      <c r="AS460" s="354">
        <f t="shared" si="524"/>
        <v>2.3417045346044136</v>
      </c>
      <c r="AT460" s="354">
        <f t="shared" si="525"/>
        <v>3.062221339903004</v>
      </c>
      <c r="AU460" s="355" t="s">
        <v>396</v>
      </c>
      <c r="AV460" s="354" t="s">
        <v>345</v>
      </c>
      <c r="AW460" s="353">
        <v>0</v>
      </c>
      <c r="AX460" s="353">
        <v>0</v>
      </c>
      <c r="AY460" s="353">
        <v>0</v>
      </c>
      <c r="AZ460" s="353">
        <v>0</v>
      </c>
      <c r="BA460" s="353">
        <v>0</v>
      </c>
      <c r="BB460" s="353">
        <v>0</v>
      </c>
    </row>
    <row r="461" spans="1:54" x14ac:dyDescent="0.25">
      <c r="A461" s="564" t="s">
        <v>1062</v>
      </c>
      <c r="B461" s="565">
        <v>24</v>
      </c>
      <c r="C461" s="380">
        <v>45111</v>
      </c>
      <c r="D461" s="566" t="s">
        <v>1064</v>
      </c>
      <c r="E461" s="567">
        <v>421</v>
      </c>
      <c r="F461" s="567">
        <v>6</v>
      </c>
      <c r="G461" s="429" t="s">
        <v>300</v>
      </c>
      <c r="H461" s="381" t="s">
        <v>1067</v>
      </c>
      <c r="I461" s="381" t="s">
        <v>393</v>
      </c>
      <c r="J461" s="568">
        <v>295714</v>
      </c>
      <c r="K461" s="353" t="s">
        <v>394</v>
      </c>
      <c r="L461" s="353">
        <v>2801.6</v>
      </c>
      <c r="M461" s="560">
        <f t="shared" si="526"/>
        <v>105.55182752712736</v>
      </c>
      <c r="N461" s="354" t="s">
        <v>395</v>
      </c>
      <c r="O461" s="354">
        <v>0</v>
      </c>
      <c r="P461" s="374">
        <f t="shared" si="495"/>
        <v>6.6506237821725254</v>
      </c>
      <c r="Q461" s="354">
        <f t="shared" si="496"/>
        <v>0.62725527937778625</v>
      </c>
      <c r="R461" s="354">
        <f t="shared" si="497"/>
        <v>1.0573699652663346</v>
      </c>
      <c r="S461" s="354">
        <f t="shared" si="498"/>
        <v>0.94189100673981396</v>
      </c>
      <c r="T461" s="354">
        <f t="shared" si="499"/>
        <v>4.0194087845802411</v>
      </c>
      <c r="U461" s="374">
        <f t="shared" si="500"/>
        <v>26.691838926286266</v>
      </c>
      <c r="V461" s="354">
        <f t="shared" si="501"/>
        <v>0.70655209172274336</v>
      </c>
      <c r="W461" s="354">
        <f t="shared" si="502"/>
        <v>24.101955228471557</v>
      </c>
      <c r="X461" s="354">
        <f t="shared" si="503"/>
        <v>1.8833316060919694</v>
      </c>
      <c r="Y461" s="374">
        <f t="shared" si="504"/>
        <v>3.9129827676705271</v>
      </c>
      <c r="Z461" s="354">
        <f t="shared" si="505"/>
        <v>2.0185513942180049</v>
      </c>
      <c r="AA461" s="354">
        <f t="shared" si="506"/>
        <v>1.894431373452522</v>
      </c>
      <c r="AB461" s="374">
        <f t="shared" si="507"/>
        <v>21.378173701970567</v>
      </c>
      <c r="AC461" s="354">
        <f t="shared" si="508"/>
        <v>6.0669670435742873</v>
      </c>
      <c r="AD461" s="354">
        <f t="shared" si="509"/>
        <v>13.206439582940598</v>
      </c>
      <c r="AE461" s="354">
        <f t="shared" si="510"/>
        <v>2.1047670754556806</v>
      </c>
      <c r="AF461" s="374">
        <f t="shared" si="511"/>
        <v>17.110004608186298</v>
      </c>
      <c r="AG461" s="354">
        <f t="shared" si="512"/>
        <v>1.0996035710884631</v>
      </c>
      <c r="AH461" s="354">
        <f t="shared" si="513"/>
        <v>5.532547609927855</v>
      </c>
      <c r="AI461" s="354">
        <f t="shared" si="514"/>
        <v>0</v>
      </c>
      <c r="AJ461" s="354">
        <f t="shared" si="515"/>
        <v>10.477853427169981</v>
      </c>
      <c r="AK461" s="374">
        <f t="shared" si="516"/>
        <v>11.301038971319121</v>
      </c>
      <c r="AL461" s="354">
        <f t="shared" si="517"/>
        <v>3.2378226816215165</v>
      </c>
      <c r="AM461" s="354">
        <f t="shared" si="518"/>
        <v>7.6366066782813427</v>
      </c>
      <c r="AN461" s="354">
        <f t="shared" si="519"/>
        <v>0.42660961141626225</v>
      </c>
      <c r="AO461" s="374">
        <f t="shared" si="520"/>
        <v>6.5528529877339583</v>
      </c>
      <c r="AP461" s="354">
        <f t="shared" si="521"/>
        <v>1.5026381154157529</v>
      </c>
      <c r="AQ461" s="354">
        <f t="shared" si="522"/>
        <v>5.0502148723182057</v>
      </c>
      <c r="AR461" s="374">
        <f t="shared" si="523"/>
        <v>11.954311781788089</v>
      </c>
      <c r="AS461" s="354">
        <f t="shared" si="524"/>
        <v>5.1802091215841886</v>
      </c>
      <c r="AT461" s="354">
        <f t="shared" si="525"/>
        <v>6.7741026602039014</v>
      </c>
      <c r="AU461" s="355" t="s">
        <v>396</v>
      </c>
      <c r="AV461" s="354" t="s">
        <v>345</v>
      </c>
      <c r="AW461" s="353">
        <v>0</v>
      </c>
      <c r="AX461" s="353">
        <v>0</v>
      </c>
      <c r="AY461" s="353">
        <v>0</v>
      </c>
      <c r="AZ461" s="353">
        <v>0</v>
      </c>
      <c r="BA461" s="353">
        <v>0</v>
      </c>
      <c r="BB461" s="353">
        <v>0</v>
      </c>
    </row>
    <row r="462" spans="1:54" x14ac:dyDescent="0.25">
      <c r="A462" s="564" t="s">
        <v>1062</v>
      </c>
      <c r="B462" s="565">
        <v>24</v>
      </c>
      <c r="C462" s="380">
        <v>45111</v>
      </c>
      <c r="D462" s="566" t="s">
        <v>1064</v>
      </c>
      <c r="E462" s="567">
        <v>421</v>
      </c>
      <c r="F462" s="567">
        <v>6</v>
      </c>
      <c r="G462" s="429" t="s">
        <v>305</v>
      </c>
      <c r="H462" s="381" t="s">
        <v>1068</v>
      </c>
      <c r="I462" s="381" t="s">
        <v>393</v>
      </c>
      <c r="J462" s="568">
        <v>26424</v>
      </c>
      <c r="K462" s="353" t="s">
        <v>394</v>
      </c>
      <c r="L462" s="353">
        <v>2801.6</v>
      </c>
      <c r="M462" s="560">
        <f t="shared" si="526"/>
        <v>9.4317532838378071</v>
      </c>
      <c r="N462" s="354" t="s">
        <v>395</v>
      </c>
      <c r="O462" s="354">
        <v>0</v>
      </c>
      <c r="P462" s="374">
        <f t="shared" si="495"/>
        <v>0.59427718275133001</v>
      </c>
      <c r="Q462" s="354">
        <f t="shared" si="496"/>
        <v>5.604940416171917E-2</v>
      </c>
      <c r="R462" s="354">
        <f t="shared" si="497"/>
        <v>9.448299357554131E-2</v>
      </c>
      <c r="S462" s="354">
        <f t="shared" si="498"/>
        <v>8.4164185537691297E-2</v>
      </c>
      <c r="T462" s="354">
        <f t="shared" si="499"/>
        <v>0.35916073545299948</v>
      </c>
      <c r="U462" s="374">
        <f t="shared" si="500"/>
        <v>2.3850921897109649</v>
      </c>
      <c r="V462" s="354">
        <f t="shared" si="501"/>
        <v>6.3135098343946414E-2</v>
      </c>
      <c r="W462" s="354">
        <f t="shared" si="502"/>
        <v>2.1536689671680489</v>
      </c>
      <c r="X462" s="354">
        <f t="shared" si="503"/>
        <v>0.16828812419896994</v>
      </c>
      <c r="Y462" s="374">
        <f t="shared" si="504"/>
        <v>0.34965086757111941</v>
      </c>
      <c r="Z462" s="354">
        <f t="shared" si="505"/>
        <v>0.18037090581039977</v>
      </c>
      <c r="AA462" s="354">
        <f t="shared" si="506"/>
        <v>0.1692799617607196</v>
      </c>
      <c r="AB462" s="374">
        <f t="shared" si="507"/>
        <v>1.9102810888252511</v>
      </c>
      <c r="AC462" s="354">
        <f t="shared" si="508"/>
        <v>0.54212359631064799</v>
      </c>
      <c r="AD462" s="354">
        <f t="shared" si="509"/>
        <v>1.1800826458660139</v>
      </c>
      <c r="AE462" s="354">
        <f t="shared" si="510"/>
        <v>0.1880748466485892</v>
      </c>
      <c r="AF462" s="374">
        <f t="shared" si="511"/>
        <v>1.5288919759183357</v>
      </c>
      <c r="AG462" s="354">
        <f t="shared" si="512"/>
        <v>9.8256845338541787E-2</v>
      </c>
      <c r="AH462" s="354">
        <f t="shared" si="513"/>
        <v>0.49436968843116535</v>
      </c>
      <c r="AI462" s="354">
        <f t="shared" si="514"/>
        <v>0</v>
      </c>
      <c r="AJ462" s="354">
        <f t="shared" si="515"/>
        <v>0.93626544214862861</v>
      </c>
      <c r="AK462" s="374">
        <f t="shared" si="516"/>
        <v>1.0098225101893603</v>
      </c>
      <c r="AL462" s="354">
        <f t="shared" si="517"/>
        <v>0.28932085237481814</v>
      </c>
      <c r="AM462" s="354">
        <f t="shared" si="518"/>
        <v>0.68238126996661042</v>
      </c>
      <c r="AN462" s="354">
        <f t="shared" si="519"/>
        <v>3.8120387847931834E-2</v>
      </c>
      <c r="AO462" s="374">
        <f t="shared" si="520"/>
        <v>0.58554071619159764</v>
      </c>
      <c r="AP462" s="354">
        <f t="shared" si="521"/>
        <v>0.13427064515628565</v>
      </c>
      <c r="AQ462" s="354">
        <f t="shared" si="522"/>
        <v>0.45127007103531203</v>
      </c>
      <c r="AR462" s="374">
        <f t="shared" si="523"/>
        <v>1.0681967526798477</v>
      </c>
      <c r="AS462" s="354">
        <f t="shared" si="524"/>
        <v>0.46288591621884861</v>
      </c>
      <c r="AT462" s="354">
        <f t="shared" si="525"/>
        <v>0.60531083646099915</v>
      </c>
      <c r="AU462" s="355" t="s">
        <v>396</v>
      </c>
      <c r="AV462" s="354" t="s">
        <v>345</v>
      </c>
      <c r="AW462" s="353">
        <v>0</v>
      </c>
      <c r="AX462" s="353">
        <v>0</v>
      </c>
      <c r="AY462" s="353">
        <v>0</v>
      </c>
      <c r="AZ462" s="353">
        <v>0</v>
      </c>
      <c r="BA462" s="353">
        <v>0</v>
      </c>
      <c r="BB462" s="353">
        <v>0</v>
      </c>
    </row>
    <row r="463" spans="1:54" x14ac:dyDescent="0.25">
      <c r="A463" s="564" t="s">
        <v>1062</v>
      </c>
      <c r="B463" s="565">
        <v>24</v>
      </c>
      <c r="C463" s="380">
        <v>45111</v>
      </c>
      <c r="D463" s="566" t="s">
        <v>1064</v>
      </c>
      <c r="E463" s="567">
        <v>421</v>
      </c>
      <c r="F463" s="567">
        <v>6</v>
      </c>
      <c r="G463" s="429" t="s">
        <v>304</v>
      </c>
      <c r="H463" s="381" t="s">
        <v>1069</v>
      </c>
      <c r="I463" s="381" t="s">
        <v>393</v>
      </c>
      <c r="J463" s="568">
        <v>124619</v>
      </c>
      <c r="K463" s="353" t="s">
        <v>394</v>
      </c>
      <c r="L463" s="353">
        <v>2801.6</v>
      </c>
      <c r="M463" s="560">
        <f t="shared" si="526"/>
        <v>44.48136778983438</v>
      </c>
      <c r="N463" s="354" t="s">
        <v>395</v>
      </c>
      <c r="O463" s="354">
        <v>0</v>
      </c>
      <c r="P463" s="374">
        <f t="shared" si="495"/>
        <v>2.8026880198792008</v>
      </c>
      <c r="Q463" s="354">
        <f t="shared" si="496"/>
        <v>0.26433623589272182</v>
      </c>
      <c r="R463" s="354">
        <f t="shared" si="497"/>
        <v>0.44559401212497668</v>
      </c>
      <c r="S463" s="354">
        <f t="shared" si="498"/>
        <v>0.39692917943996187</v>
      </c>
      <c r="T463" s="354">
        <f t="shared" si="499"/>
        <v>1.6938484594087702</v>
      </c>
      <c r="U463" s="374">
        <f t="shared" si="500"/>
        <v>11.248403102845547</v>
      </c>
      <c r="V463" s="354">
        <f t="shared" si="501"/>
        <v>0.29775328566924986</v>
      </c>
      <c r="W463" s="354">
        <f t="shared" si="502"/>
        <v>10.156981267768508</v>
      </c>
      <c r="X463" s="354">
        <f t="shared" si="503"/>
        <v>0.79366854940778964</v>
      </c>
      <c r="Y463" s="374">
        <f t="shared" si="504"/>
        <v>1.6489986930761931</v>
      </c>
      <c r="Z463" s="354">
        <f t="shared" si="505"/>
        <v>0.85065250950598725</v>
      </c>
      <c r="AA463" s="354">
        <f t="shared" si="506"/>
        <v>0.7983461835702057</v>
      </c>
      <c r="AB463" s="374">
        <f t="shared" si="507"/>
        <v>9.009132569191415</v>
      </c>
      <c r="AC463" s="354">
        <f t="shared" si="508"/>
        <v>2.5567249639962402</v>
      </c>
      <c r="AD463" s="354">
        <f t="shared" si="509"/>
        <v>5.5654223147584307</v>
      </c>
      <c r="AE463" s="354">
        <f t="shared" si="510"/>
        <v>0.88698529043674457</v>
      </c>
      <c r="AF463" s="374">
        <f t="shared" si="511"/>
        <v>7.2104522081050213</v>
      </c>
      <c r="AG463" s="354">
        <f t="shared" si="512"/>
        <v>0.46339198490931505</v>
      </c>
      <c r="AH463" s="354">
        <f t="shared" si="513"/>
        <v>2.3315113609825686</v>
      </c>
      <c r="AI463" s="354">
        <f t="shared" si="514"/>
        <v>0</v>
      </c>
      <c r="AJ463" s="354">
        <f t="shared" si="515"/>
        <v>4.4155488622131376</v>
      </c>
      <c r="AK463" s="374">
        <f t="shared" si="516"/>
        <v>4.7624535042873095</v>
      </c>
      <c r="AL463" s="354">
        <f t="shared" si="517"/>
        <v>1.3644745421623317</v>
      </c>
      <c r="AM463" s="354">
        <f t="shared" si="518"/>
        <v>3.2181982849670376</v>
      </c>
      <c r="AN463" s="354">
        <f t="shared" si="519"/>
        <v>0.17978067715794038</v>
      </c>
      <c r="AO463" s="374">
        <f t="shared" si="520"/>
        <v>2.7614857141644227</v>
      </c>
      <c r="AP463" s="354">
        <f t="shared" si="521"/>
        <v>0.63323772058473959</v>
      </c>
      <c r="AQ463" s="354">
        <f t="shared" si="522"/>
        <v>2.128247993579683</v>
      </c>
      <c r="AR463" s="374">
        <f t="shared" si="523"/>
        <v>5.0377539782852683</v>
      </c>
      <c r="AS463" s="354">
        <f t="shared" si="524"/>
        <v>2.1830298211200687</v>
      </c>
      <c r="AT463" s="354">
        <f t="shared" si="525"/>
        <v>2.8547241571652</v>
      </c>
      <c r="AU463" s="355" t="s">
        <v>396</v>
      </c>
      <c r="AV463" s="354" t="s">
        <v>345</v>
      </c>
      <c r="AW463" s="353">
        <v>0</v>
      </c>
      <c r="AX463" s="353">
        <v>0</v>
      </c>
      <c r="AY463" s="353">
        <v>0</v>
      </c>
      <c r="AZ463" s="353">
        <v>0</v>
      </c>
      <c r="BA463" s="353">
        <v>0</v>
      </c>
      <c r="BB463" s="353">
        <v>0</v>
      </c>
    </row>
    <row r="464" spans="1:54" x14ac:dyDescent="0.25">
      <c r="A464" s="564" t="s">
        <v>1062</v>
      </c>
      <c r="B464" s="565">
        <v>24</v>
      </c>
      <c r="C464" s="380">
        <v>45111</v>
      </c>
      <c r="D464" s="566" t="s">
        <v>1064</v>
      </c>
      <c r="E464" s="567">
        <v>421</v>
      </c>
      <c r="F464" s="567">
        <v>6</v>
      </c>
      <c r="G464" s="429" t="s">
        <v>303</v>
      </c>
      <c r="H464" s="381" t="s">
        <v>1070</v>
      </c>
      <c r="I464" s="381" t="s">
        <v>393</v>
      </c>
      <c r="J464" s="568">
        <v>70816</v>
      </c>
      <c r="K464" s="353" t="s">
        <v>394</v>
      </c>
      <c r="L464" s="353">
        <v>2801.6</v>
      </c>
      <c r="M464" s="560">
        <f t="shared" si="526"/>
        <v>25.276984580239862</v>
      </c>
      <c r="N464" s="354" t="s">
        <v>395</v>
      </c>
      <c r="O464" s="354">
        <v>0</v>
      </c>
      <c r="P464" s="374">
        <f t="shared" si="495"/>
        <v>1.5926556529563347</v>
      </c>
      <c r="Q464" s="354">
        <f t="shared" si="496"/>
        <v>0.15021172438375358</v>
      </c>
      <c r="R464" s="354">
        <f t="shared" si="497"/>
        <v>0.25321327857423304</v>
      </c>
      <c r="S464" s="354">
        <f t="shared" si="498"/>
        <v>0.22555899799565346</v>
      </c>
      <c r="T464" s="354">
        <f t="shared" si="499"/>
        <v>0.96254642150467806</v>
      </c>
      <c r="U464" s="374">
        <f t="shared" si="500"/>
        <v>6.3920181844751616</v>
      </c>
      <c r="V464" s="354">
        <f t="shared" si="501"/>
        <v>0.16920129898292874</v>
      </c>
      <c r="W464" s="354">
        <f t="shared" si="502"/>
        <v>5.7718067506423143</v>
      </c>
      <c r="X464" s="354">
        <f t="shared" si="503"/>
        <v>0.45101013484991875</v>
      </c>
      <c r="Y464" s="374">
        <f t="shared" si="504"/>
        <v>0.93706009074766838</v>
      </c>
      <c r="Z464" s="354">
        <f t="shared" si="505"/>
        <v>0.48339184324361451</v>
      </c>
      <c r="AA464" s="354">
        <f t="shared" si="506"/>
        <v>0.45366824750405382</v>
      </c>
      <c r="AB464" s="374">
        <f t="shared" si="507"/>
        <v>5.1195301841601939</v>
      </c>
      <c r="AC464" s="354">
        <f t="shared" si="508"/>
        <v>1.4528846728858178</v>
      </c>
      <c r="AD464" s="354">
        <f t="shared" si="509"/>
        <v>3.1626071998807004</v>
      </c>
      <c r="AE464" s="354">
        <f t="shared" si="510"/>
        <v>0.50403831139367594</v>
      </c>
      <c r="AF464" s="374">
        <f t="shared" si="511"/>
        <v>4.0974119802691815</v>
      </c>
      <c r="AG464" s="354">
        <f t="shared" si="512"/>
        <v>0.26332715559696396</v>
      </c>
      <c r="AH464" s="354">
        <f t="shared" si="513"/>
        <v>1.3249047780783152</v>
      </c>
      <c r="AI464" s="354">
        <f t="shared" si="514"/>
        <v>0</v>
      </c>
      <c r="AJ464" s="354">
        <f t="shared" si="515"/>
        <v>2.5091800465939027</v>
      </c>
      <c r="AK464" s="374">
        <f t="shared" si="516"/>
        <v>2.7063120981520483</v>
      </c>
      <c r="AL464" s="354">
        <f t="shared" si="517"/>
        <v>0.77537638063030256</v>
      </c>
      <c r="AM464" s="354">
        <f t="shared" si="518"/>
        <v>1.8287735397349179</v>
      </c>
      <c r="AN464" s="354">
        <f t="shared" si="519"/>
        <v>0.1021621777868279</v>
      </c>
      <c r="AO464" s="374">
        <f t="shared" si="520"/>
        <v>1.569242028376634</v>
      </c>
      <c r="AP464" s="354">
        <f t="shared" si="521"/>
        <v>0.3598437029740964</v>
      </c>
      <c r="AQ464" s="354">
        <f t="shared" si="522"/>
        <v>1.2093983254025376</v>
      </c>
      <c r="AR464" s="374">
        <f t="shared" si="523"/>
        <v>2.8627543611026374</v>
      </c>
      <c r="AS464" s="354">
        <f t="shared" si="524"/>
        <v>1.2405286498241743</v>
      </c>
      <c r="AT464" s="354">
        <f t="shared" si="525"/>
        <v>1.6222257112784633</v>
      </c>
      <c r="AU464" s="355" t="s">
        <v>396</v>
      </c>
      <c r="AV464" s="354" t="s">
        <v>345</v>
      </c>
      <c r="AW464" s="353">
        <v>0</v>
      </c>
      <c r="AX464" s="353">
        <v>0</v>
      </c>
      <c r="AY464" s="353">
        <v>0</v>
      </c>
      <c r="AZ464" s="353">
        <v>0</v>
      </c>
      <c r="BA464" s="353">
        <v>0</v>
      </c>
      <c r="BB464" s="353">
        <v>0</v>
      </c>
    </row>
    <row r="465" spans="1:54" x14ac:dyDescent="0.25">
      <c r="A465" s="564" t="s">
        <v>1062</v>
      </c>
      <c r="B465" s="565">
        <v>24</v>
      </c>
      <c r="C465" s="380">
        <v>45111</v>
      </c>
      <c r="D465" s="566" t="s">
        <v>1064</v>
      </c>
      <c r="E465" s="567">
        <v>421</v>
      </c>
      <c r="F465" s="567">
        <v>6</v>
      </c>
      <c r="G465" s="429" t="s">
        <v>302</v>
      </c>
      <c r="H465" s="381" t="s">
        <v>1071</v>
      </c>
      <c r="I465" s="381" t="s">
        <v>393</v>
      </c>
      <c r="J465" s="568">
        <v>295714</v>
      </c>
      <c r="K465" s="353" t="s">
        <v>394</v>
      </c>
      <c r="L465" s="353">
        <v>2801.6</v>
      </c>
      <c r="M465" s="560">
        <f t="shared" si="526"/>
        <v>105.55182752712736</v>
      </c>
      <c r="N465" s="354" t="s">
        <v>395</v>
      </c>
      <c r="O465" s="354">
        <v>0</v>
      </c>
      <c r="P465" s="374">
        <f t="shared" si="495"/>
        <v>6.6506237821725254</v>
      </c>
      <c r="Q465" s="354">
        <f t="shared" si="496"/>
        <v>0.62725527937778625</v>
      </c>
      <c r="R465" s="354">
        <f t="shared" si="497"/>
        <v>1.0573699652663346</v>
      </c>
      <c r="S465" s="354">
        <f t="shared" si="498"/>
        <v>0.94189100673981396</v>
      </c>
      <c r="T465" s="354">
        <f t="shared" si="499"/>
        <v>4.0194087845802411</v>
      </c>
      <c r="U465" s="374">
        <f t="shared" si="500"/>
        <v>26.691838926286266</v>
      </c>
      <c r="V465" s="354">
        <f t="shared" si="501"/>
        <v>0.70655209172274336</v>
      </c>
      <c r="W465" s="354">
        <f t="shared" si="502"/>
        <v>24.101955228471557</v>
      </c>
      <c r="X465" s="354">
        <f t="shared" si="503"/>
        <v>1.8833316060919694</v>
      </c>
      <c r="Y465" s="374">
        <f t="shared" si="504"/>
        <v>3.9129827676705271</v>
      </c>
      <c r="Z465" s="354">
        <f t="shared" si="505"/>
        <v>2.0185513942180049</v>
      </c>
      <c r="AA465" s="354">
        <f t="shared" si="506"/>
        <v>1.894431373452522</v>
      </c>
      <c r="AB465" s="374">
        <f t="shared" si="507"/>
        <v>21.378173701970567</v>
      </c>
      <c r="AC465" s="354">
        <f t="shared" si="508"/>
        <v>6.0669670435742873</v>
      </c>
      <c r="AD465" s="354">
        <f t="shared" si="509"/>
        <v>13.206439582940598</v>
      </c>
      <c r="AE465" s="354">
        <f t="shared" si="510"/>
        <v>2.1047670754556806</v>
      </c>
      <c r="AF465" s="374">
        <f t="shared" si="511"/>
        <v>17.110004608186298</v>
      </c>
      <c r="AG465" s="354">
        <f t="shared" si="512"/>
        <v>1.0996035710884631</v>
      </c>
      <c r="AH465" s="354">
        <f t="shared" si="513"/>
        <v>5.532547609927855</v>
      </c>
      <c r="AI465" s="354">
        <f t="shared" si="514"/>
        <v>0</v>
      </c>
      <c r="AJ465" s="354">
        <f t="shared" si="515"/>
        <v>10.477853427169981</v>
      </c>
      <c r="AK465" s="374">
        <f t="shared" si="516"/>
        <v>11.301038971319121</v>
      </c>
      <c r="AL465" s="354">
        <f t="shared" si="517"/>
        <v>3.2378226816215165</v>
      </c>
      <c r="AM465" s="354">
        <f t="shared" si="518"/>
        <v>7.6366066782813427</v>
      </c>
      <c r="AN465" s="354">
        <f t="shared" si="519"/>
        <v>0.42660961141626225</v>
      </c>
      <c r="AO465" s="374">
        <f t="shared" si="520"/>
        <v>6.5528529877339583</v>
      </c>
      <c r="AP465" s="354">
        <f t="shared" si="521"/>
        <v>1.5026381154157529</v>
      </c>
      <c r="AQ465" s="354">
        <f t="shared" si="522"/>
        <v>5.0502148723182057</v>
      </c>
      <c r="AR465" s="374">
        <f t="shared" si="523"/>
        <v>11.954311781788089</v>
      </c>
      <c r="AS465" s="354">
        <f t="shared" si="524"/>
        <v>5.1802091215841886</v>
      </c>
      <c r="AT465" s="354">
        <f t="shared" si="525"/>
        <v>6.7741026602039014</v>
      </c>
      <c r="AU465" s="355" t="s">
        <v>396</v>
      </c>
      <c r="AV465" s="354" t="s">
        <v>345</v>
      </c>
      <c r="AW465" s="353">
        <v>0</v>
      </c>
      <c r="AX465" s="353">
        <v>0</v>
      </c>
      <c r="AY465" s="353">
        <v>0</v>
      </c>
      <c r="AZ465" s="353">
        <v>0</v>
      </c>
      <c r="BA465" s="353">
        <v>0</v>
      </c>
      <c r="BB465" s="353">
        <v>0</v>
      </c>
    </row>
    <row r="466" spans="1:54" x14ac:dyDescent="0.25">
      <c r="A466" s="353" t="s">
        <v>1072</v>
      </c>
      <c r="B466" s="565">
        <v>25</v>
      </c>
      <c r="C466" s="380">
        <v>45111</v>
      </c>
      <c r="D466" s="429" t="s">
        <v>1073</v>
      </c>
      <c r="E466" s="353">
        <v>6176</v>
      </c>
      <c r="F466" s="353">
        <v>6</v>
      </c>
      <c r="G466" s="429" t="s">
        <v>325</v>
      </c>
      <c r="H466" s="353" t="s">
        <v>326</v>
      </c>
      <c r="I466" s="353" t="s">
        <v>393</v>
      </c>
      <c r="J466" s="563">
        <v>97000</v>
      </c>
      <c r="K466" s="353" t="s">
        <v>394</v>
      </c>
      <c r="L466" s="353">
        <v>2801.6</v>
      </c>
      <c r="M466" s="560">
        <f t="shared" si="526"/>
        <v>34.623072529982871</v>
      </c>
      <c r="N466" s="354" t="s">
        <v>395</v>
      </c>
      <c r="O466" s="354">
        <v>0</v>
      </c>
      <c r="P466" s="374">
        <f t="shared" si="495"/>
        <v>2.1815352227853095</v>
      </c>
      <c r="Q466" s="354">
        <f t="shared" si="496"/>
        <v>0.20575205130513019</v>
      </c>
      <c r="R466" s="354">
        <f t="shared" si="497"/>
        <v>0.34683811598650882</v>
      </c>
      <c r="S466" s="354">
        <f t="shared" si="498"/>
        <v>0.30895874951392888</v>
      </c>
      <c r="T466" s="354">
        <f t="shared" si="499"/>
        <v>1.3184450249372144</v>
      </c>
      <c r="U466" s="374">
        <f t="shared" si="500"/>
        <v>8.7554474115184533</v>
      </c>
      <c r="V466" s="354">
        <f t="shared" si="501"/>
        <v>0.23176296319114451</v>
      </c>
      <c r="W466" s="354">
        <f t="shared" si="502"/>
        <v>7.9059146917688743</v>
      </c>
      <c r="X466" s="354">
        <f t="shared" si="503"/>
        <v>0.61776975655843491</v>
      </c>
      <c r="Y466" s="374">
        <f t="shared" si="504"/>
        <v>1.2835352011201402</v>
      </c>
      <c r="Z466" s="354">
        <f t="shared" si="505"/>
        <v>0.6621245028613677</v>
      </c>
      <c r="AA466" s="354">
        <f t="shared" si="506"/>
        <v>0.62141069825877249</v>
      </c>
      <c r="AB466" s="374">
        <f t="shared" si="507"/>
        <v>7.0124608543766795</v>
      </c>
      <c r="AC466" s="354">
        <f t="shared" si="508"/>
        <v>1.9900843491573141</v>
      </c>
      <c r="AD466" s="354">
        <f t="shared" si="509"/>
        <v>4.3319715655844444</v>
      </c>
      <c r="AE466" s="354">
        <f t="shared" si="510"/>
        <v>0.69040493963492111</v>
      </c>
      <c r="AF466" s="374">
        <f t="shared" si="511"/>
        <v>5.6124175622191412</v>
      </c>
      <c r="AG466" s="354">
        <f t="shared" si="512"/>
        <v>0.36069156818947001</v>
      </c>
      <c r="AH466" s="354">
        <f t="shared" si="513"/>
        <v>1.8147842786036577</v>
      </c>
      <c r="AI466" s="354">
        <f t="shared" si="514"/>
        <v>0</v>
      </c>
      <c r="AJ466" s="354">
        <f t="shared" si="515"/>
        <v>3.436941715426014</v>
      </c>
      <c r="AK466" s="374">
        <f t="shared" si="516"/>
        <v>3.7069627417638493</v>
      </c>
      <c r="AL466" s="354">
        <f t="shared" si="517"/>
        <v>1.0620694323477657</v>
      </c>
      <c r="AM466" s="354">
        <f t="shared" si="518"/>
        <v>2.504956978003376</v>
      </c>
      <c r="AN466" s="354">
        <f t="shared" si="519"/>
        <v>0.1399363314127077</v>
      </c>
      <c r="AO466" s="374">
        <f t="shared" si="520"/>
        <v>2.1494644819325224</v>
      </c>
      <c r="AP466" s="354">
        <f t="shared" si="521"/>
        <v>0.49289481456856293</v>
      </c>
      <c r="AQ466" s="354">
        <f t="shared" si="522"/>
        <v>1.6565696673639596</v>
      </c>
      <c r="AR466" s="374">
        <f t="shared" si="523"/>
        <v>3.9212490542667742</v>
      </c>
      <c r="AS466" s="354">
        <f t="shared" si="524"/>
        <v>1.6992103342880835</v>
      </c>
      <c r="AT466" s="354">
        <f t="shared" si="525"/>
        <v>2.2220387199786908</v>
      </c>
      <c r="AU466" s="355" t="s">
        <v>396</v>
      </c>
      <c r="AV466" s="354" t="s">
        <v>345</v>
      </c>
      <c r="AW466" s="353">
        <v>0</v>
      </c>
      <c r="AX466" s="353">
        <v>0</v>
      </c>
      <c r="AY466" s="353">
        <v>0</v>
      </c>
      <c r="AZ466" s="353">
        <v>0</v>
      </c>
      <c r="BA466" s="353">
        <v>0</v>
      </c>
      <c r="BB466" s="353">
        <v>0</v>
      </c>
    </row>
    <row r="467" spans="1:54" x14ac:dyDescent="0.25">
      <c r="A467" s="353" t="s">
        <v>1074</v>
      </c>
      <c r="B467" s="429">
        <v>26</v>
      </c>
      <c r="C467" s="380">
        <v>45111</v>
      </c>
      <c r="D467" s="429" t="s">
        <v>1073</v>
      </c>
      <c r="E467" s="353">
        <v>6324</v>
      </c>
      <c r="F467" s="353">
        <v>6</v>
      </c>
      <c r="G467" s="429" t="s">
        <v>1075</v>
      </c>
      <c r="H467" s="353" t="s">
        <v>1076</v>
      </c>
      <c r="I467" s="353" t="s">
        <v>393</v>
      </c>
      <c r="J467" s="563">
        <v>370000</v>
      </c>
      <c r="K467" s="353" t="s">
        <v>394</v>
      </c>
      <c r="L467" s="353">
        <v>2801.6</v>
      </c>
      <c r="M467" s="560">
        <f t="shared" si="526"/>
        <v>132.06739006282126</v>
      </c>
      <c r="N467" s="354" t="s">
        <v>395</v>
      </c>
      <c r="O467" s="354">
        <v>0</v>
      </c>
      <c r="P467" s="374">
        <f t="shared" si="495"/>
        <v>8.3213199219645837</v>
      </c>
      <c r="Q467" s="354">
        <f t="shared" si="496"/>
        <v>0.78482741219482655</v>
      </c>
      <c r="R467" s="354">
        <f t="shared" si="497"/>
        <v>1.3229907517011164</v>
      </c>
      <c r="S467" s="354">
        <f t="shared" si="498"/>
        <v>1.1785024465995226</v>
      </c>
      <c r="T467" s="354">
        <f t="shared" si="499"/>
        <v>5.0291201982141169</v>
      </c>
      <c r="U467" s="374">
        <f t="shared" si="500"/>
        <v>33.397067445998225</v>
      </c>
      <c r="V467" s="354">
        <f t="shared" si="501"/>
        <v>0.88404429258477801</v>
      </c>
      <c r="W467" s="354">
        <f t="shared" si="502"/>
        <v>30.156581813963747</v>
      </c>
      <c r="X467" s="354">
        <f t="shared" si="503"/>
        <v>2.3564413394497006</v>
      </c>
      <c r="Y467" s="374">
        <f t="shared" si="504"/>
        <v>4.8959590145819778</v>
      </c>
      <c r="Z467" s="354">
        <f t="shared" si="505"/>
        <v>2.5256295469969694</v>
      </c>
      <c r="AA467" s="354">
        <f t="shared" si="506"/>
        <v>2.3703294675850084</v>
      </c>
      <c r="AB467" s="374">
        <f t="shared" si="507"/>
        <v>26.748562021849189</v>
      </c>
      <c r="AC467" s="354">
        <f t="shared" si="508"/>
        <v>7.5910433936928472</v>
      </c>
      <c r="AD467" s="354">
        <f t="shared" si="509"/>
        <v>16.524015250167466</v>
      </c>
      <c r="AE467" s="354">
        <f t="shared" si="510"/>
        <v>2.6335033779888741</v>
      </c>
      <c r="AF467" s="374">
        <f t="shared" si="511"/>
        <v>21.40819070124827</v>
      </c>
      <c r="AG467" s="354">
        <f t="shared" si="512"/>
        <v>1.3758338168051949</v>
      </c>
      <c r="AH467" s="354">
        <f t="shared" si="513"/>
        <v>6.9223730214778687</v>
      </c>
      <c r="AI467" s="354">
        <f t="shared" si="514"/>
        <v>0</v>
      </c>
      <c r="AJ467" s="354">
        <f t="shared" si="515"/>
        <v>13.109983862965208</v>
      </c>
      <c r="AK467" s="374">
        <f t="shared" si="516"/>
        <v>14.139960973738393</v>
      </c>
      <c r="AL467" s="354">
        <f t="shared" si="517"/>
        <v>4.0511926800894154</v>
      </c>
      <c r="AM467" s="354">
        <f t="shared" si="518"/>
        <v>9.5549905346520525</v>
      </c>
      <c r="AN467" s="354">
        <f t="shared" si="519"/>
        <v>0.53377775899692625</v>
      </c>
      <c r="AO467" s="374">
        <f t="shared" si="520"/>
        <v>8.1989882300518904</v>
      </c>
      <c r="AP467" s="354">
        <f t="shared" si="521"/>
        <v>1.8801142411378176</v>
      </c>
      <c r="AQ467" s="354">
        <f t="shared" si="522"/>
        <v>6.3188739889140733</v>
      </c>
      <c r="AR467" s="374">
        <f t="shared" si="523"/>
        <v>14.957341753388725</v>
      </c>
      <c r="AS467" s="354">
        <f t="shared" si="524"/>
        <v>6.4815239555318653</v>
      </c>
      <c r="AT467" s="354">
        <f t="shared" si="525"/>
        <v>8.4758177978568607</v>
      </c>
      <c r="AU467" s="355" t="s">
        <v>396</v>
      </c>
      <c r="AV467" s="354" t="s">
        <v>345</v>
      </c>
      <c r="AW467" s="353">
        <v>0</v>
      </c>
      <c r="AX467" s="353">
        <v>0</v>
      </c>
      <c r="AY467" s="353">
        <v>0</v>
      </c>
      <c r="AZ467" s="353">
        <v>0</v>
      </c>
      <c r="BA467" s="353">
        <v>0</v>
      </c>
      <c r="BB467" s="353">
        <v>0</v>
      </c>
    </row>
    <row r="468" spans="1:54" x14ac:dyDescent="0.25">
      <c r="A468" s="353" t="s">
        <v>1077</v>
      </c>
      <c r="B468" s="429">
        <v>33</v>
      </c>
      <c r="C468" s="380">
        <v>45111</v>
      </c>
      <c r="D468" s="429" t="s">
        <v>1078</v>
      </c>
      <c r="E468" s="353">
        <v>6324</v>
      </c>
      <c r="F468" s="353">
        <v>6</v>
      </c>
      <c r="G468" s="429" t="s">
        <v>301</v>
      </c>
      <c r="H468" s="353" t="s">
        <v>1079</v>
      </c>
      <c r="I468" s="353" t="s">
        <v>393</v>
      </c>
      <c r="J468" s="563">
        <v>134012</v>
      </c>
      <c r="K468" s="353" t="s">
        <v>394</v>
      </c>
      <c r="L468" s="353">
        <v>2801.6</v>
      </c>
      <c r="M468" s="560">
        <f t="shared" si="526"/>
        <v>47.83409480296973</v>
      </c>
      <c r="N468" s="354" t="s">
        <v>395</v>
      </c>
      <c r="O468" s="354">
        <v>0</v>
      </c>
      <c r="P468" s="374">
        <f t="shared" si="495"/>
        <v>3.0139370956278855</v>
      </c>
      <c r="Q468" s="354">
        <f t="shared" si="496"/>
        <v>0.28426024638662994</v>
      </c>
      <c r="R468" s="354">
        <f t="shared" si="497"/>
        <v>0.4791800989647837</v>
      </c>
      <c r="S468" s="354">
        <f t="shared" si="498"/>
        <v>0.42684721587485192</v>
      </c>
      <c r="T468" s="354">
        <f t="shared" si="499"/>
        <v>1.8215201513596493</v>
      </c>
      <c r="U468" s="374">
        <f t="shared" si="500"/>
        <v>12.096237304251657</v>
      </c>
      <c r="V468" s="354">
        <f t="shared" si="501"/>
        <v>0.32019606415640878</v>
      </c>
      <c r="W468" s="354">
        <f t="shared" si="502"/>
        <v>10.922550924467322</v>
      </c>
      <c r="X468" s="354">
        <f t="shared" si="503"/>
        <v>0.85349031562792754</v>
      </c>
      <c r="Y468" s="374">
        <f t="shared" si="504"/>
        <v>1.7732898904382701</v>
      </c>
      <c r="Z468" s="354">
        <f t="shared" si="505"/>
        <v>0.91476936987069679</v>
      </c>
      <c r="AA468" s="354">
        <f t="shared" si="506"/>
        <v>0.85852052056757322</v>
      </c>
      <c r="AB468" s="374">
        <f t="shared" si="507"/>
        <v>9.6881845774920343</v>
      </c>
      <c r="AC468" s="354">
        <f t="shared" si="508"/>
        <v>2.7494348845285557</v>
      </c>
      <c r="AD468" s="354">
        <f t="shared" si="509"/>
        <v>5.9849090046093032</v>
      </c>
      <c r="AE468" s="354">
        <f t="shared" si="510"/>
        <v>0.95384068835417557</v>
      </c>
      <c r="AF468" s="374">
        <f t="shared" si="511"/>
        <v>7.7539309520423858</v>
      </c>
      <c r="AG468" s="354">
        <f t="shared" si="512"/>
        <v>0.49831957150729123</v>
      </c>
      <c r="AH468" s="354">
        <f t="shared" si="513"/>
        <v>2.5072460901467353</v>
      </c>
      <c r="AI468" s="354">
        <f t="shared" si="514"/>
        <v>0</v>
      </c>
      <c r="AJ468" s="354">
        <f t="shared" si="515"/>
        <v>4.7483652903883602</v>
      </c>
      <c r="AK468" s="374">
        <f t="shared" si="516"/>
        <v>5.1214174324665658</v>
      </c>
      <c r="AL468" s="354">
        <f t="shared" si="517"/>
        <v>1.4673200903895747</v>
      </c>
      <c r="AM468" s="354">
        <f t="shared" si="518"/>
        <v>3.4607659230534882</v>
      </c>
      <c r="AN468" s="354">
        <f t="shared" si="519"/>
        <v>0.1933314190235029</v>
      </c>
      <c r="AO468" s="374">
        <f t="shared" si="520"/>
        <v>2.9696292180694965</v>
      </c>
      <c r="AP468" s="354">
        <f t="shared" si="521"/>
        <v>0.68096721536043558</v>
      </c>
      <c r="AQ468" s="354">
        <f t="shared" si="522"/>
        <v>2.2886620027090609</v>
      </c>
      <c r="AR468" s="374">
        <f t="shared" si="523"/>
        <v>5.4174683325814312</v>
      </c>
      <c r="AS468" s="354">
        <f t="shared" si="524"/>
        <v>2.3475729414290165</v>
      </c>
      <c r="AT468" s="354">
        <f t="shared" si="525"/>
        <v>3.0698953911524147</v>
      </c>
      <c r="AU468" s="355" t="s">
        <v>396</v>
      </c>
      <c r="AV468" s="354" t="s">
        <v>345</v>
      </c>
      <c r="AW468" s="353">
        <v>0</v>
      </c>
      <c r="AX468" s="353">
        <v>0</v>
      </c>
      <c r="AY468" s="353">
        <v>0</v>
      </c>
      <c r="AZ468" s="353">
        <v>0</v>
      </c>
      <c r="BA468" s="353">
        <v>0</v>
      </c>
      <c r="BB468" s="353">
        <v>0</v>
      </c>
    </row>
    <row r="469" spans="1:54" x14ac:dyDescent="0.25">
      <c r="A469" s="353" t="s">
        <v>1077</v>
      </c>
      <c r="B469" s="429">
        <v>33</v>
      </c>
      <c r="C469" s="380">
        <v>45111</v>
      </c>
      <c r="D469" s="429" t="s">
        <v>1078</v>
      </c>
      <c r="E469" s="353">
        <v>6324</v>
      </c>
      <c r="F469" s="353">
        <v>6</v>
      </c>
      <c r="G469" s="429" t="s">
        <v>300</v>
      </c>
      <c r="H469" s="353" t="s">
        <v>1080</v>
      </c>
      <c r="I469" s="353" t="s">
        <v>393</v>
      </c>
      <c r="J469" s="563">
        <v>4286</v>
      </c>
      <c r="K469" s="353" t="s">
        <v>394</v>
      </c>
      <c r="L469" s="353">
        <v>2801.6</v>
      </c>
      <c r="M469" s="560">
        <f t="shared" si="526"/>
        <v>1.5298400913763563</v>
      </c>
      <c r="N469" s="354" t="s">
        <v>395</v>
      </c>
      <c r="O469" s="354">
        <v>0</v>
      </c>
      <c r="P469" s="374">
        <f t="shared" si="495"/>
        <v>9.6392370771730268E-2</v>
      </c>
      <c r="Q469" s="354">
        <f t="shared" si="496"/>
        <v>9.0912710504514223E-3</v>
      </c>
      <c r="R469" s="354">
        <f t="shared" si="497"/>
        <v>1.5325238815651307E-2</v>
      </c>
      <c r="S469" s="354">
        <f t="shared" si="498"/>
        <v>1.3651517530069062E-2</v>
      </c>
      <c r="T469" s="354">
        <f t="shared" si="499"/>
        <v>5.825624099877217E-2</v>
      </c>
      <c r="U469" s="374">
        <f t="shared" si="500"/>
        <v>0.38686440830688751</v>
      </c>
      <c r="V469" s="354">
        <f t="shared" si="501"/>
        <v>1.0240577940590159E-2</v>
      </c>
      <c r="W469" s="354">
        <f t="shared" si="502"/>
        <v>0.34932732339094219</v>
      </c>
      <c r="X469" s="354">
        <f t="shared" si="503"/>
        <v>2.7296506975355177E-2</v>
      </c>
      <c r="Y469" s="374">
        <f t="shared" si="504"/>
        <v>5.6713730639184744E-2</v>
      </c>
      <c r="Z469" s="354">
        <f t="shared" si="505"/>
        <v>2.9256346590348675E-2</v>
      </c>
      <c r="AA469" s="354">
        <f t="shared" si="506"/>
        <v>2.7457384048836065E-2</v>
      </c>
      <c r="AB469" s="374">
        <f t="shared" si="507"/>
        <v>0.30984955898823136</v>
      </c>
      <c r="AC469" s="354">
        <f t="shared" si="508"/>
        <v>8.7933005365858213E-2</v>
      </c>
      <c r="AD469" s="354">
        <f t="shared" si="509"/>
        <v>0.1914106198978858</v>
      </c>
      <c r="AE469" s="354">
        <f t="shared" si="510"/>
        <v>3.0505933724487334E-2</v>
      </c>
      <c r="AF469" s="374">
        <f t="shared" si="511"/>
        <v>0.24798785228527045</v>
      </c>
      <c r="AG469" s="354">
        <f t="shared" si="512"/>
        <v>1.5937361456289361E-2</v>
      </c>
      <c r="AH469" s="354">
        <f t="shared" si="513"/>
        <v>8.0187272351497682E-2</v>
      </c>
      <c r="AI469" s="354">
        <f t="shared" si="514"/>
        <v>0</v>
      </c>
      <c r="AJ469" s="354">
        <f t="shared" si="515"/>
        <v>0.15186321847748344</v>
      </c>
      <c r="AK469" s="374">
        <f t="shared" si="516"/>
        <v>0.16379425063092634</v>
      </c>
      <c r="AL469" s="354">
        <f t="shared" si="517"/>
        <v>4.6928140072603326E-2</v>
      </c>
      <c r="AM469" s="354">
        <f t="shared" si="518"/>
        <v>0.11068294440950997</v>
      </c>
      <c r="AN469" s="354">
        <f t="shared" si="519"/>
        <v>6.1831661488130421E-3</v>
      </c>
      <c r="AO469" s="374">
        <f t="shared" si="520"/>
        <v>9.4975306902709181E-2</v>
      </c>
      <c r="AP469" s="354">
        <f t="shared" si="521"/>
        <v>2.1778836858153201E-2</v>
      </c>
      <c r="AQ469" s="354">
        <f t="shared" si="522"/>
        <v>7.3196470044555983E-2</v>
      </c>
      <c r="AR469" s="374">
        <f t="shared" si="523"/>
        <v>0.17326261285141642</v>
      </c>
      <c r="AS469" s="354">
        <f t="shared" si="524"/>
        <v>7.5080572090296144E-2</v>
      </c>
      <c r="AT469" s="354">
        <f t="shared" si="525"/>
        <v>9.818204076112029E-2</v>
      </c>
      <c r="AU469" s="355" t="s">
        <v>396</v>
      </c>
      <c r="AV469" s="354" t="s">
        <v>345</v>
      </c>
      <c r="AW469" s="353">
        <v>0</v>
      </c>
      <c r="AX469" s="353">
        <v>0</v>
      </c>
      <c r="AY469" s="353">
        <v>0</v>
      </c>
      <c r="AZ469" s="353">
        <v>0</v>
      </c>
      <c r="BA469" s="353">
        <v>0</v>
      </c>
      <c r="BB469" s="353">
        <v>0</v>
      </c>
    </row>
    <row r="470" spans="1:54" x14ac:dyDescent="0.25">
      <c r="A470" s="353" t="s">
        <v>1077</v>
      </c>
      <c r="B470" s="429">
        <v>33</v>
      </c>
      <c r="C470" s="380">
        <v>45111</v>
      </c>
      <c r="D470" s="429" t="s">
        <v>1078</v>
      </c>
      <c r="E470" s="353">
        <v>6324</v>
      </c>
      <c r="F470" s="353">
        <v>6</v>
      </c>
      <c r="G470" s="429" t="s">
        <v>302</v>
      </c>
      <c r="H470" s="353" t="s">
        <v>1081</v>
      </c>
      <c r="I470" s="353" t="s">
        <v>393</v>
      </c>
      <c r="J470" s="563">
        <v>4286</v>
      </c>
      <c r="K470" s="353" t="s">
        <v>394</v>
      </c>
      <c r="L470" s="353">
        <v>2801.6</v>
      </c>
      <c r="M470" s="560">
        <f t="shared" si="526"/>
        <v>1.5298400913763563</v>
      </c>
      <c r="N470" s="354" t="s">
        <v>395</v>
      </c>
      <c r="O470" s="354">
        <v>0</v>
      </c>
      <c r="P470" s="374">
        <f t="shared" si="495"/>
        <v>9.6392370771730268E-2</v>
      </c>
      <c r="Q470" s="354">
        <f t="shared" si="496"/>
        <v>9.0912710504514223E-3</v>
      </c>
      <c r="R470" s="354">
        <f t="shared" si="497"/>
        <v>1.5325238815651307E-2</v>
      </c>
      <c r="S470" s="354">
        <f t="shared" si="498"/>
        <v>1.3651517530069062E-2</v>
      </c>
      <c r="T470" s="354">
        <f t="shared" si="499"/>
        <v>5.825624099877217E-2</v>
      </c>
      <c r="U470" s="374">
        <f t="shared" si="500"/>
        <v>0.38686440830688751</v>
      </c>
      <c r="V470" s="354">
        <f t="shared" si="501"/>
        <v>1.0240577940590159E-2</v>
      </c>
      <c r="W470" s="354">
        <f t="shared" si="502"/>
        <v>0.34932732339094219</v>
      </c>
      <c r="X470" s="354">
        <f t="shared" si="503"/>
        <v>2.7296506975355177E-2</v>
      </c>
      <c r="Y470" s="374">
        <f t="shared" si="504"/>
        <v>5.6713730639184744E-2</v>
      </c>
      <c r="Z470" s="354">
        <f t="shared" si="505"/>
        <v>2.9256346590348675E-2</v>
      </c>
      <c r="AA470" s="354">
        <f t="shared" si="506"/>
        <v>2.7457384048836065E-2</v>
      </c>
      <c r="AB470" s="374">
        <f t="shared" si="507"/>
        <v>0.30984955898823136</v>
      </c>
      <c r="AC470" s="354">
        <f t="shared" si="508"/>
        <v>8.7933005365858213E-2</v>
      </c>
      <c r="AD470" s="354">
        <f t="shared" si="509"/>
        <v>0.1914106198978858</v>
      </c>
      <c r="AE470" s="354">
        <f t="shared" si="510"/>
        <v>3.0505933724487334E-2</v>
      </c>
      <c r="AF470" s="374">
        <f t="shared" si="511"/>
        <v>0.24798785228527045</v>
      </c>
      <c r="AG470" s="354">
        <f t="shared" si="512"/>
        <v>1.5937361456289361E-2</v>
      </c>
      <c r="AH470" s="354">
        <f t="shared" si="513"/>
        <v>8.0187272351497682E-2</v>
      </c>
      <c r="AI470" s="354">
        <f t="shared" si="514"/>
        <v>0</v>
      </c>
      <c r="AJ470" s="354">
        <f t="shared" si="515"/>
        <v>0.15186321847748344</v>
      </c>
      <c r="AK470" s="374">
        <f t="shared" si="516"/>
        <v>0.16379425063092634</v>
      </c>
      <c r="AL470" s="354">
        <f t="shared" si="517"/>
        <v>4.6928140072603326E-2</v>
      </c>
      <c r="AM470" s="354">
        <f t="shared" si="518"/>
        <v>0.11068294440950997</v>
      </c>
      <c r="AN470" s="354">
        <f t="shared" si="519"/>
        <v>6.1831661488130421E-3</v>
      </c>
      <c r="AO470" s="374">
        <f t="shared" si="520"/>
        <v>9.4975306902709181E-2</v>
      </c>
      <c r="AP470" s="354">
        <f t="shared" si="521"/>
        <v>2.1778836858153201E-2</v>
      </c>
      <c r="AQ470" s="354">
        <f t="shared" si="522"/>
        <v>7.3196470044555983E-2</v>
      </c>
      <c r="AR470" s="374">
        <f t="shared" si="523"/>
        <v>0.17326261285141642</v>
      </c>
      <c r="AS470" s="354">
        <f t="shared" si="524"/>
        <v>7.5080572090296144E-2</v>
      </c>
      <c r="AT470" s="354">
        <f t="shared" si="525"/>
        <v>9.818204076112029E-2</v>
      </c>
      <c r="AU470" s="355" t="s">
        <v>396</v>
      </c>
      <c r="AV470" s="354" t="s">
        <v>345</v>
      </c>
      <c r="AW470" s="353">
        <v>0</v>
      </c>
      <c r="AX470" s="353">
        <v>0</v>
      </c>
      <c r="AY470" s="353">
        <v>0</v>
      </c>
      <c r="AZ470" s="353">
        <v>0</v>
      </c>
      <c r="BA470" s="353">
        <v>0</v>
      </c>
      <c r="BB470" s="353">
        <v>0</v>
      </c>
    </row>
    <row r="471" spans="1:54" x14ac:dyDescent="0.25">
      <c r="A471" s="353" t="s">
        <v>1077</v>
      </c>
      <c r="B471" s="429">
        <v>33</v>
      </c>
      <c r="C471" s="380">
        <v>45111</v>
      </c>
      <c r="D471" s="429" t="s">
        <v>1078</v>
      </c>
      <c r="E471" s="353">
        <v>6324</v>
      </c>
      <c r="F471" s="353">
        <v>6</v>
      </c>
      <c r="G471" s="429" t="s">
        <v>301</v>
      </c>
      <c r="H471" s="353" t="s">
        <v>1082</v>
      </c>
      <c r="I471" s="353" t="s">
        <v>393</v>
      </c>
      <c r="J471" s="563">
        <v>134012</v>
      </c>
      <c r="K471" s="353" t="s">
        <v>394</v>
      </c>
      <c r="L471" s="353">
        <v>2801.6</v>
      </c>
      <c r="M471" s="560">
        <f t="shared" si="526"/>
        <v>47.83409480296973</v>
      </c>
      <c r="N471" s="354" t="s">
        <v>395</v>
      </c>
      <c r="O471" s="354">
        <v>0</v>
      </c>
      <c r="P471" s="374">
        <f t="shared" si="495"/>
        <v>3.0139370956278855</v>
      </c>
      <c r="Q471" s="354">
        <f t="shared" si="496"/>
        <v>0.28426024638662994</v>
      </c>
      <c r="R471" s="354">
        <f t="shared" si="497"/>
        <v>0.4791800989647837</v>
      </c>
      <c r="S471" s="354">
        <f t="shared" si="498"/>
        <v>0.42684721587485192</v>
      </c>
      <c r="T471" s="354">
        <f t="shared" si="499"/>
        <v>1.8215201513596493</v>
      </c>
      <c r="U471" s="374">
        <f t="shared" si="500"/>
        <v>12.096237304251657</v>
      </c>
      <c r="V471" s="354">
        <f t="shared" si="501"/>
        <v>0.32019606415640878</v>
      </c>
      <c r="W471" s="354">
        <f t="shared" si="502"/>
        <v>10.922550924467322</v>
      </c>
      <c r="X471" s="354">
        <f t="shared" si="503"/>
        <v>0.85349031562792754</v>
      </c>
      <c r="Y471" s="374">
        <f t="shared" si="504"/>
        <v>1.7732898904382701</v>
      </c>
      <c r="Z471" s="354">
        <f t="shared" si="505"/>
        <v>0.91476936987069679</v>
      </c>
      <c r="AA471" s="354">
        <f t="shared" si="506"/>
        <v>0.85852052056757322</v>
      </c>
      <c r="AB471" s="374">
        <f t="shared" si="507"/>
        <v>9.6881845774920343</v>
      </c>
      <c r="AC471" s="354">
        <f t="shared" si="508"/>
        <v>2.7494348845285557</v>
      </c>
      <c r="AD471" s="354">
        <f t="shared" si="509"/>
        <v>5.9849090046093032</v>
      </c>
      <c r="AE471" s="354">
        <f t="shared" si="510"/>
        <v>0.95384068835417557</v>
      </c>
      <c r="AF471" s="374">
        <f t="shared" si="511"/>
        <v>7.7539309520423858</v>
      </c>
      <c r="AG471" s="354">
        <f t="shared" si="512"/>
        <v>0.49831957150729123</v>
      </c>
      <c r="AH471" s="354">
        <f t="shared" si="513"/>
        <v>2.5072460901467353</v>
      </c>
      <c r="AI471" s="354">
        <f t="shared" si="514"/>
        <v>0</v>
      </c>
      <c r="AJ471" s="354">
        <f t="shared" si="515"/>
        <v>4.7483652903883602</v>
      </c>
      <c r="AK471" s="374">
        <f t="shared" si="516"/>
        <v>5.1214174324665658</v>
      </c>
      <c r="AL471" s="354">
        <f t="shared" si="517"/>
        <v>1.4673200903895747</v>
      </c>
      <c r="AM471" s="354">
        <f t="shared" si="518"/>
        <v>3.4607659230534882</v>
      </c>
      <c r="AN471" s="354">
        <f t="shared" si="519"/>
        <v>0.1933314190235029</v>
      </c>
      <c r="AO471" s="374">
        <f t="shared" si="520"/>
        <v>2.9696292180694965</v>
      </c>
      <c r="AP471" s="354">
        <f t="shared" si="521"/>
        <v>0.68096721536043558</v>
      </c>
      <c r="AQ471" s="354">
        <f t="shared" si="522"/>
        <v>2.2886620027090609</v>
      </c>
      <c r="AR471" s="374">
        <f t="shared" si="523"/>
        <v>5.4174683325814312</v>
      </c>
      <c r="AS471" s="354">
        <f t="shared" si="524"/>
        <v>2.3475729414290165</v>
      </c>
      <c r="AT471" s="354">
        <f t="shared" si="525"/>
        <v>3.0698953911524147</v>
      </c>
      <c r="AU471" s="355" t="s">
        <v>396</v>
      </c>
      <c r="AV471" s="354" t="s">
        <v>345</v>
      </c>
      <c r="AW471" s="353">
        <v>0</v>
      </c>
      <c r="AX471" s="353">
        <v>0</v>
      </c>
      <c r="AY471" s="353">
        <v>0</v>
      </c>
      <c r="AZ471" s="353">
        <v>0</v>
      </c>
      <c r="BA471" s="353">
        <v>0</v>
      </c>
      <c r="BB471" s="353">
        <v>0</v>
      </c>
    </row>
    <row r="472" spans="1:54" x14ac:dyDescent="0.25">
      <c r="A472" s="353" t="s">
        <v>1077</v>
      </c>
      <c r="B472" s="429">
        <v>33</v>
      </c>
      <c r="C472" s="380">
        <v>45111</v>
      </c>
      <c r="D472" s="429" t="s">
        <v>1078</v>
      </c>
      <c r="E472" s="353">
        <v>6324</v>
      </c>
      <c r="F472" s="353">
        <v>6</v>
      </c>
      <c r="G472" s="429" t="s">
        <v>300</v>
      </c>
      <c r="H472" s="353" t="s">
        <v>1083</v>
      </c>
      <c r="I472" s="353" t="s">
        <v>393</v>
      </c>
      <c r="J472" s="563">
        <v>4286</v>
      </c>
      <c r="K472" s="353" t="s">
        <v>394</v>
      </c>
      <c r="L472" s="353">
        <v>2801.6</v>
      </c>
      <c r="M472" s="560">
        <f t="shared" si="526"/>
        <v>1.5298400913763563</v>
      </c>
      <c r="N472" s="354" t="s">
        <v>395</v>
      </c>
      <c r="O472" s="354">
        <v>0</v>
      </c>
      <c r="P472" s="374">
        <f t="shared" si="495"/>
        <v>9.6392370771730268E-2</v>
      </c>
      <c r="Q472" s="354">
        <f t="shared" si="496"/>
        <v>9.0912710504514223E-3</v>
      </c>
      <c r="R472" s="354">
        <f t="shared" si="497"/>
        <v>1.5325238815651307E-2</v>
      </c>
      <c r="S472" s="354">
        <f t="shared" si="498"/>
        <v>1.3651517530069062E-2</v>
      </c>
      <c r="T472" s="354">
        <f t="shared" si="499"/>
        <v>5.825624099877217E-2</v>
      </c>
      <c r="U472" s="374">
        <f t="shared" si="500"/>
        <v>0.38686440830688751</v>
      </c>
      <c r="V472" s="354">
        <f t="shared" si="501"/>
        <v>1.0240577940590159E-2</v>
      </c>
      <c r="W472" s="354">
        <f t="shared" si="502"/>
        <v>0.34932732339094219</v>
      </c>
      <c r="X472" s="354">
        <f t="shared" si="503"/>
        <v>2.7296506975355177E-2</v>
      </c>
      <c r="Y472" s="374">
        <f t="shared" si="504"/>
        <v>5.6713730639184744E-2</v>
      </c>
      <c r="Z472" s="354">
        <f t="shared" si="505"/>
        <v>2.9256346590348675E-2</v>
      </c>
      <c r="AA472" s="354">
        <f t="shared" si="506"/>
        <v>2.7457384048836065E-2</v>
      </c>
      <c r="AB472" s="374">
        <f t="shared" si="507"/>
        <v>0.30984955898823136</v>
      </c>
      <c r="AC472" s="354">
        <f t="shared" si="508"/>
        <v>8.7933005365858213E-2</v>
      </c>
      <c r="AD472" s="354">
        <f t="shared" si="509"/>
        <v>0.1914106198978858</v>
      </c>
      <c r="AE472" s="354">
        <f t="shared" si="510"/>
        <v>3.0505933724487334E-2</v>
      </c>
      <c r="AF472" s="374">
        <f t="shared" si="511"/>
        <v>0.24798785228527045</v>
      </c>
      <c r="AG472" s="354">
        <f t="shared" si="512"/>
        <v>1.5937361456289361E-2</v>
      </c>
      <c r="AH472" s="354">
        <f t="shared" si="513"/>
        <v>8.0187272351497682E-2</v>
      </c>
      <c r="AI472" s="354">
        <f t="shared" si="514"/>
        <v>0</v>
      </c>
      <c r="AJ472" s="354">
        <f t="shared" si="515"/>
        <v>0.15186321847748344</v>
      </c>
      <c r="AK472" s="374">
        <f t="shared" si="516"/>
        <v>0.16379425063092634</v>
      </c>
      <c r="AL472" s="354">
        <f t="shared" si="517"/>
        <v>4.6928140072603326E-2</v>
      </c>
      <c r="AM472" s="354">
        <f t="shared" si="518"/>
        <v>0.11068294440950997</v>
      </c>
      <c r="AN472" s="354">
        <f t="shared" si="519"/>
        <v>6.1831661488130421E-3</v>
      </c>
      <c r="AO472" s="374">
        <f t="shared" si="520"/>
        <v>9.4975306902709181E-2</v>
      </c>
      <c r="AP472" s="354">
        <f t="shared" si="521"/>
        <v>2.1778836858153201E-2</v>
      </c>
      <c r="AQ472" s="354">
        <f t="shared" si="522"/>
        <v>7.3196470044555983E-2</v>
      </c>
      <c r="AR472" s="374">
        <f t="shared" si="523"/>
        <v>0.17326261285141642</v>
      </c>
      <c r="AS472" s="354">
        <f t="shared" si="524"/>
        <v>7.5080572090296144E-2</v>
      </c>
      <c r="AT472" s="354">
        <f t="shared" si="525"/>
        <v>9.818204076112029E-2</v>
      </c>
      <c r="AU472" s="355" t="s">
        <v>396</v>
      </c>
      <c r="AV472" s="354" t="s">
        <v>345</v>
      </c>
      <c r="AW472" s="353">
        <v>0</v>
      </c>
      <c r="AX472" s="353">
        <v>0</v>
      </c>
      <c r="AY472" s="353">
        <v>0</v>
      </c>
      <c r="AZ472" s="353">
        <v>0</v>
      </c>
      <c r="BA472" s="353">
        <v>0</v>
      </c>
      <c r="BB472" s="353">
        <v>0</v>
      </c>
    </row>
    <row r="473" spans="1:54" x14ac:dyDescent="0.25">
      <c r="A473" s="353" t="s">
        <v>1077</v>
      </c>
      <c r="B473" s="429">
        <v>33</v>
      </c>
      <c r="C473" s="380">
        <v>45111</v>
      </c>
      <c r="D473" s="429" t="s">
        <v>1078</v>
      </c>
      <c r="E473" s="353">
        <v>6324</v>
      </c>
      <c r="F473" s="353">
        <v>6</v>
      </c>
      <c r="G473" s="429" t="s">
        <v>302</v>
      </c>
      <c r="H473" s="353" t="s">
        <v>1084</v>
      </c>
      <c r="I473" s="353" t="s">
        <v>393</v>
      </c>
      <c r="J473" s="563">
        <v>4286</v>
      </c>
      <c r="K473" s="353" t="s">
        <v>394</v>
      </c>
      <c r="L473" s="353">
        <v>2801.6</v>
      </c>
      <c r="M473" s="560">
        <f t="shared" si="526"/>
        <v>1.5298400913763563</v>
      </c>
      <c r="N473" s="354" t="s">
        <v>395</v>
      </c>
      <c r="O473" s="354">
        <v>0</v>
      </c>
      <c r="P473" s="374">
        <f t="shared" si="495"/>
        <v>9.6392370771730268E-2</v>
      </c>
      <c r="Q473" s="354">
        <f t="shared" si="496"/>
        <v>9.0912710504514223E-3</v>
      </c>
      <c r="R473" s="354">
        <f t="shared" si="497"/>
        <v>1.5325238815651307E-2</v>
      </c>
      <c r="S473" s="354">
        <f t="shared" si="498"/>
        <v>1.3651517530069062E-2</v>
      </c>
      <c r="T473" s="354">
        <f t="shared" si="499"/>
        <v>5.825624099877217E-2</v>
      </c>
      <c r="U473" s="374">
        <f t="shared" si="500"/>
        <v>0.38686440830688751</v>
      </c>
      <c r="V473" s="354">
        <f t="shared" si="501"/>
        <v>1.0240577940590159E-2</v>
      </c>
      <c r="W473" s="354">
        <f t="shared" si="502"/>
        <v>0.34932732339094219</v>
      </c>
      <c r="X473" s="354">
        <f t="shared" si="503"/>
        <v>2.7296506975355177E-2</v>
      </c>
      <c r="Y473" s="374">
        <f t="shared" si="504"/>
        <v>5.6713730639184744E-2</v>
      </c>
      <c r="Z473" s="354">
        <f t="shared" si="505"/>
        <v>2.9256346590348675E-2</v>
      </c>
      <c r="AA473" s="354">
        <f t="shared" si="506"/>
        <v>2.7457384048836065E-2</v>
      </c>
      <c r="AB473" s="374">
        <f t="shared" si="507"/>
        <v>0.30984955898823136</v>
      </c>
      <c r="AC473" s="354">
        <f t="shared" si="508"/>
        <v>8.7933005365858213E-2</v>
      </c>
      <c r="AD473" s="354">
        <f t="shared" si="509"/>
        <v>0.1914106198978858</v>
      </c>
      <c r="AE473" s="354">
        <f t="shared" si="510"/>
        <v>3.0505933724487334E-2</v>
      </c>
      <c r="AF473" s="374">
        <f t="shared" si="511"/>
        <v>0.24798785228527045</v>
      </c>
      <c r="AG473" s="354">
        <f t="shared" si="512"/>
        <v>1.5937361456289361E-2</v>
      </c>
      <c r="AH473" s="354">
        <f t="shared" si="513"/>
        <v>8.0187272351497682E-2</v>
      </c>
      <c r="AI473" s="354">
        <f t="shared" si="514"/>
        <v>0</v>
      </c>
      <c r="AJ473" s="354">
        <f t="shared" si="515"/>
        <v>0.15186321847748344</v>
      </c>
      <c r="AK473" s="374">
        <f t="shared" si="516"/>
        <v>0.16379425063092634</v>
      </c>
      <c r="AL473" s="354">
        <f t="shared" si="517"/>
        <v>4.6928140072603326E-2</v>
      </c>
      <c r="AM473" s="354">
        <f t="shared" si="518"/>
        <v>0.11068294440950997</v>
      </c>
      <c r="AN473" s="354">
        <f t="shared" si="519"/>
        <v>6.1831661488130421E-3</v>
      </c>
      <c r="AO473" s="374">
        <f t="shared" si="520"/>
        <v>9.4975306902709181E-2</v>
      </c>
      <c r="AP473" s="354">
        <f t="shared" si="521"/>
        <v>2.1778836858153201E-2</v>
      </c>
      <c r="AQ473" s="354">
        <f t="shared" si="522"/>
        <v>7.3196470044555983E-2</v>
      </c>
      <c r="AR473" s="374">
        <f t="shared" si="523"/>
        <v>0.17326261285141642</v>
      </c>
      <c r="AS473" s="354">
        <f t="shared" si="524"/>
        <v>7.5080572090296144E-2</v>
      </c>
      <c r="AT473" s="354">
        <f t="shared" si="525"/>
        <v>9.818204076112029E-2</v>
      </c>
      <c r="AU473" s="355" t="s">
        <v>396</v>
      </c>
      <c r="AV473" s="354" t="s">
        <v>345</v>
      </c>
      <c r="AW473" s="353">
        <v>0</v>
      </c>
      <c r="AX473" s="353">
        <v>0</v>
      </c>
      <c r="AY473" s="353">
        <v>0</v>
      </c>
      <c r="AZ473" s="353">
        <v>0</v>
      </c>
      <c r="BA473" s="353">
        <v>0</v>
      </c>
      <c r="BB473" s="353">
        <v>0</v>
      </c>
    </row>
    <row r="474" spans="1:54" x14ac:dyDescent="0.25">
      <c r="A474" s="353" t="s">
        <v>1077</v>
      </c>
      <c r="B474" s="429">
        <v>33</v>
      </c>
      <c r="C474" s="380">
        <v>45111</v>
      </c>
      <c r="D474" s="429" t="s">
        <v>1078</v>
      </c>
      <c r="E474" s="353">
        <v>6324</v>
      </c>
      <c r="F474" s="353">
        <v>6</v>
      </c>
      <c r="G474" s="429" t="s">
        <v>301</v>
      </c>
      <c r="H474" s="353" t="s">
        <v>1085</v>
      </c>
      <c r="I474" s="353" t="s">
        <v>393</v>
      </c>
      <c r="J474" s="563">
        <v>134012</v>
      </c>
      <c r="K474" s="353" t="s">
        <v>394</v>
      </c>
      <c r="L474" s="353">
        <v>2801.6</v>
      </c>
      <c r="M474" s="560">
        <f t="shared" si="526"/>
        <v>47.83409480296973</v>
      </c>
      <c r="N474" s="354" t="s">
        <v>395</v>
      </c>
      <c r="O474" s="354">
        <v>0</v>
      </c>
      <c r="P474" s="374">
        <f t="shared" si="495"/>
        <v>3.0139370956278855</v>
      </c>
      <c r="Q474" s="354">
        <f t="shared" si="496"/>
        <v>0.28426024638662994</v>
      </c>
      <c r="R474" s="354">
        <f t="shared" si="497"/>
        <v>0.4791800989647837</v>
      </c>
      <c r="S474" s="354">
        <f t="shared" si="498"/>
        <v>0.42684721587485192</v>
      </c>
      <c r="T474" s="354">
        <f t="shared" si="499"/>
        <v>1.8215201513596493</v>
      </c>
      <c r="U474" s="374">
        <f t="shared" si="500"/>
        <v>12.096237304251657</v>
      </c>
      <c r="V474" s="354">
        <f t="shared" si="501"/>
        <v>0.32019606415640878</v>
      </c>
      <c r="W474" s="354">
        <f t="shared" si="502"/>
        <v>10.922550924467322</v>
      </c>
      <c r="X474" s="354">
        <f t="shared" si="503"/>
        <v>0.85349031562792754</v>
      </c>
      <c r="Y474" s="374">
        <f t="shared" si="504"/>
        <v>1.7732898904382701</v>
      </c>
      <c r="Z474" s="354">
        <f t="shared" si="505"/>
        <v>0.91476936987069679</v>
      </c>
      <c r="AA474" s="354">
        <f t="shared" si="506"/>
        <v>0.85852052056757322</v>
      </c>
      <c r="AB474" s="374">
        <f t="shared" si="507"/>
        <v>9.6881845774920343</v>
      </c>
      <c r="AC474" s="354">
        <f t="shared" si="508"/>
        <v>2.7494348845285557</v>
      </c>
      <c r="AD474" s="354">
        <f t="shared" si="509"/>
        <v>5.9849090046093032</v>
      </c>
      <c r="AE474" s="354">
        <f t="shared" si="510"/>
        <v>0.95384068835417557</v>
      </c>
      <c r="AF474" s="374">
        <f t="shared" si="511"/>
        <v>7.7539309520423858</v>
      </c>
      <c r="AG474" s="354">
        <f t="shared" si="512"/>
        <v>0.49831957150729123</v>
      </c>
      <c r="AH474" s="354">
        <f t="shared" si="513"/>
        <v>2.5072460901467353</v>
      </c>
      <c r="AI474" s="354">
        <f t="shared" si="514"/>
        <v>0</v>
      </c>
      <c r="AJ474" s="354">
        <f t="shared" si="515"/>
        <v>4.7483652903883602</v>
      </c>
      <c r="AK474" s="374">
        <f t="shared" si="516"/>
        <v>5.1214174324665658</v>
      </c>
      <c r="AL474" s="354">
        <f t="shared" si="517"/>
        <v>1.4673200903895747</v>
      </c>
      <c r="AM474" s="354">
        <f t="shared" si="518"/>
        <v>3.4607659230534882</v>
      </c>
      <c r="AN474" s="354">
        <f t="shared" si="519"/>
        <v>0.1933314190235029</v>
      </c>
      <c r="AO474" s="374">
        <f t="shared" si="520"/>
        <v>2.9696292180694965</v>
      </c>
      <c r="AP474" s="354">
        <f t="shared" si="521"/>
        <v>0.68096721536043558</v>
      </c>
      <c r="AQ474" s="354">
        <f t="shared" si="522"/>
        <v>2.2886620027090609</v>
      </c>
      <c r="AR474" s="374">
        <f t="shared" si="523"/>
        <v>5.4174683325814312</v>
      </c>
      <c r="AS474" s="354">
        <f t="shared" si="524"/>
        <v>2.3475729414290165</v>
      </c>
      <c r="AT474" s="354">
        <f t="shared" si="525"/>
        <v>3.0698953911524147</v>
      </c>
      <c r="AU474" s="355" t="s">
        <v>396</v>
      </c>
      <c r="AV474" s="354" t="s">
        <v>345</v>
      </c>
      <c r="AW474" s="353">
        <v>0</v>
      </c>
      <c r="AX474" s="353">
        <v>0</v>
      </c>
      <c r="AY474" s="353">
        <v>0</v>
      </c>
      <c r="AZ474" s="353">
        <v>0</v>
      </c>
      <c r="BA474" s="353">
        <v>0</v>
      </c>
      <c r="BB474" s="353">
        <v>0</v>
      </c>
    </row>
    <row r="475" spans="1:54" x14ac:dyDescent="0.25">
      <c r="A475" s="353" t="s">
        <v>1077</v>
      </c>
      <c r="B475" s="429">
        <v>33</v>
      </c>
      <c r="C475" s="380">
        <v>45111</v>
      </c>
      <c r="D475" s="429" t="s">
        <v>1078</v>
      </c>
      <c r="E475" s="353">
        <v>6324</v>
      </c>
      <c r="F475" s="353">
        <v>6</v>
      </c>
      <c r="G475" s="429" t="s">
        <v>300</v>
      </c>
      <c r="H475" s="353" t="s">
        <v>1086</v>
      </c>
      <c r="I475" s="353" t="s">
        <v>393</v>
      </c>
      <c r="J475" s="563">
        <v>4286</v>
      </c>
      <c r="K475" s="353" t="s">
        <v>394</v>
      </c>
      <c r="L475" s="353">
        <v>2801.6</v>
      </c>
      <c r="M475" s="560">
        <f t="shared" si="526"/>
        <v>1.5298400913763563</v>
      </c>
      <c r="N475" s="354" t="s">
        <v>395</v>
      </c>
      <c r="O475" s="354">
        <v>0</v>
      </c>
      <c r="P475" s="374">
        <f t="shared" si="495"/>
        <v>9.6392370771730268E-2</v>
      </c>
      <c r="Q475" s="354">
        <f t="shared" si="496"/>
        <v>9.0912710504514223E-3</v>
      </c>
      <c r="R475" s="354">
        <f t="shared" si="497"/>
        <v>1.5325238815651307E-2</v>
      </c>
      <c r="S475" s="354">
        <f t="shared" si="498"/>
        <v>1.3651517530069062E-2</v>
      </c>
      <c r="T475" s="354">
        <f t="shared" si="499"/>
        <v>5.825624099877217E-2</v>
      </c>
      <c r="U475" s="374">
        <f t="shared" si="500"/>
        <v>0.38686440830688751</v>
      </c>
      <c r="V475" s="354">
        <f t="shared" si="501"/>
        <v>1.0240577940590159E-2</v>
      </c>
      <c r="W475" s="354">
        <f t="shared" si="502"/>
        <v>0.34932732339094219</v>
      </c>
      <c r="X475" s="354">
        <f t="shared" si="503"/>
        <v>2.7296506975355177E-2</v>
      </c>
      <c r="Y475" s="374">
        <f t="shared" si="504"/>
        <v>5.6713730639184744E-2</v>
      </c>
      <c r="Z475" s="354">
        <f t="shared" si="505"/>
        <v>2.9256346590348675E-2</v>
      </c>
      <c r="AA475" s="354">
        <f t="shared" si="506"/>
        <v>2.7457384048836065E-2</v>
      </c>
      <c r="AB475" s="374">
        <f t="shared" si="507"/>
        <v>0.30984955898823136</v>
      </c>
      <c r="AC475" s="354">
        <f t="shared" si="508"/>
        <v>8.7933005365858213E-2</v>
      </c>
      <c r="AD475" s="354">
        <f t="shared" si="509"/>
        <v>0.1914106198978858</v>
      </c>
      <c r="AE475" s="354">
        <f t="shared" si="510"/>
        <v>3.0505933724487334E-2</v>
      </c>
      <c r="AF475" s="374">
        <f t="shared" si="511"/>
        <v>0.24798785228527045</v>
      </c>
      <c r="AG475" s="354">
        <f t="shared" si="512"/>
        <v>1.5937361456289361E-2</v>
      </c>
      <c r="AH475" s="354">
        <f t="shared" si="513"/>
        <v>8.0187272351497682E-2</v>
      </c>
      <c r="AI475" s="354">
        <f t="shared" si="514"/>
        <v>0</v>
      </c>
      <c r="AJ475" s="354">
        <f t="shared" si="515"/>
        <v>0.15186321847748344</v>
      </c>
      <c r="AK475" s="374">
        <f t="shared" si="516"/>
        <v>0.16379425063092634</v>
      </c>
      <c r="AL475" s="354">
        <f t="shared" si="517"/>
        <v>4.6928140072603326E-2</v>
      </c>
      <c r="AM475" s="354">
        <f t="shared" si="518"/>
        <v>0.11068294440950997</v>
      </c>
      <c r="AN475" s="354">
        <f t="shared" si="519"/>
        <v>6.1831661488130421E-3</v>
      </c>
      <c r="AO475" s="374">
        <f t="shared" si="520"/>
        <v>9.4975306902709181E-2</v>
      </c>
      <c r="AP475" s="354">
        <f t="shared" si="521"/>
        <v>2.1778836858153201E-2</v>
      </c>
      <c r="AQ475" s="354">
        <f t="shared" si="522"/>
        <v>7.3196470044555983E-2</v>
      </c>
      <c r="AR475" s="374">
        <f t="shared" si="523"/>
        <v>0.17326261285141642</v>
      </c>
      <c r="AS475" s="354">
        <f t="shared" si="524"/>
        <v>7.5080572090296144E-2</v>
      </c>
      <c r="AT475" s="354">
        <f t="shared" si="525"/>
        <v>9.818204076112029E-2</v>
      </c>
      <c r="AU475" s="355" t="s">
        <v>396</v>
      </c>
      <c r="AV475" s="354" t="s">
        <v>345</v>
      </c>
      <c r="AW475" s="353">
        <v>0</v>
      </c>
      <c r="AX475" s="353">
        <v>0</v>
      </c>
      <c r="AY475" s="353">
        <v>0</v>
      </c>
      <c r="AZ475" s="353">
        <v>0</v>
      </c>
      <c r="BA475" s="353">
        <v>0</v>
      </c>
      <c r="BB475" s="353">
        <v>0</v>
      </c>
    </row>
    <row r="476" spans="1:54" x14ac:dyDescent="0.25">
      <c r="A476" s="353" t="s">
        <v>1077</v>
      </c>
      <c r="B476" s="429">
        <v>33</v>
      </c>
      <c r="C476" s="380">
        <v>45111</v>
      </c>
      <c r="D476" s="429" t="s">
        <v>1078</v>
      </c>
      <c r="E476" s="353">
        <v>6324</v>
      </c>
      <c r="F476" s="353">
        <v>6</v>
      </c>
      <c r="G476" s="429" t="s">
        <v>302</v>
      </c>
      <c r="H476" s="353" t="s">
        <v>1087</v>
      </c>
      <c r="I476" s="353" t="s">
        <v>393</v>
      </c>
      <c r="J476" s="563">
        <v>4286</v>
      </c>
      <c r="K476" s="353" t="s">
        <v>394</v>
      </c>
      <c r="L476" s="353">
        <v>2801.6</v>
      </c>
      <c r="M476" s="560">
        <f t="shared" si="526"/>
        <v>1.5298400913763563</v>
      </c>
      <c r="N476" s="354" t="s">
        <v>395</v>
      </c>
      <c r="O476" s="354">
        <v>0</v>
      </c>
      <c r="P476" s="374">
        <f t="shared" si="495"/>
        <v>9.6392370771730268E-2</v>
      </c>
      <c r="Q476" s="354">
        <f t="shared" si="496"/>
        <v>9.0912710504514223E-3</v>
      </c>
      <c r="R476" s="354">
        <f t="shared" si="497"/>
        <v>1.5325238815651307E-2</v>
      </c>
      <c r="S476" s="354">
        <f t="shared" si="498"/>
        <v>1.3651517530069062E-2</v>
      </c>
      <c r="T476" s="354">
        <f t="shared" si="499"/>
        <v>5.825624099877217E-2</v>
      </c>
      <c r="U476" s="374">
        <f t="shared" si="500"/>
        <v>0.38686440830688751</v>
      </c>
      <c r="V476" s="354">
        <f t="shared" si="501"/>
        <v>1.0240577940590159E-2</v>
      </c>
      <c r="W476" s="354">
        <f t="shared" si="502"/>
        <v>0.34932732339094219</v>
      </c>
      <c r="X476" s="354">
        <f t="shared" si="503"/>
        <v>2.7296506975355177E-2</v>
      </c>
      <c r="Y476" s="374">
        <f t="shared" si="504"/>
        <v>5.6713730639184744E-2</v>
      </c>
      <c r="Z476" s="354">
        <f t="shared" si="505"/>
        <v>2.9256346590348675E-2</v>
      </c>
      <c r="AA476" s="354">
        <f t="shared" si="506"/>
        <v>2.7457384048836065E-2</v>
      </c>
      <c r="AB476" s="374">
        <f t="shared" si="507"/>
        <v>0.30984955898823136</v>
      </c>
      <c r="AC476" s="354">
        <f t="shared" si="508"/>
        <v>8.7933005365858213E-2</v>
      </c>
      <c r="AD476" s="354">
        <f t="shared" si="509"/>
        <v>0.1914106198978858</v>
      </c>
      <c r="AE476" s="354">
        <f t="shared" si="510"/>
        <v>3.0505933724487334E-2</v>
      </c>
      <c r="AF476" s="374">
        <f t="shared" si="511"/>
        <v>0.24798785228527045</v>
      </c>
      <c r="AG476" s="354">
        <f t="shared" si="512"/>
        <v>1.5937361456289361E-2</v>
      </c>
      <c r="AH476" s="354">
        <f t="shared" si="513"/>
        <v>8.0187272351497682E-2</v>
      </c>
      <c r="AI476" s="354">
        <f t="shared" si="514"/>
        <v>0</v>
      </c>
      <c r="AJ476" s="354">
        <f t="shared" si="515"/>
        <v>0.15186321847748344</v>
      </c>
      <c r="AK476" s="374">
        <f t="shared" si="516"/>
        <v>0.16379425063092634</v>
      </c>
      <c r="AL476" s="354">
        <f t="shared" si="517"/>
        <v>4.6928140072603326E-2</v>
      </c>
      <c r="AM476" s="354">
        <f t="shared" si="518"/>
        <v>0.11068294440950997</v>
      </c>
      <c r="AN476" s="354">
        <f t="shared" si="519"/>
        <v>6.1831661488130421E-3</v>
      </c>
      <c r="AO476" s="374">
        <f t="shared" si="520"/>
        <v>9.4975306902709181E-2</v>
      </c>
      <c r="AP476" s="354">
        <f t="shared" si="521"/>
        <v>2.1778836858153201E-2</v>
      </c>
      <c r="AQ476" s="354">
        <f t="shared" si="522"/>
        <v>7.3196470044555983E-2</v>
      </c>
      <c r="AR476" s="374">
        <f t="shared" si="523"/>
        <v>0.17326261285141642</v>
      </c>
      <c r="AS476" s="354">
        <f t="shared" si="524"/>
        <v>7.5080572090296144E-2</v>
      </c>
      <c r="AT476" s="354">
        <f t="shared" si="525"/>
        <v>9.818204076112029E-2</v>
      </c>
      <c r="AU476" s="355" t="s">
        <v>396</v>
      </c>
      <c r="AV476" s="354" t="s">
        <v>345</v>
      </c>
      <c r="AW476" s="353">
        <v>0</v>
      </c>
      <c r="AX476" s="353">
        <v>0</v>
      </c>
      <c r="AY476" s="353">
        <v>0</v>
      </c>
      <c r="AZ476" s="353">
        <v>0</v>
      </c>
      <c r="BA476" s="353">
        <v>0</v>
      </c>
      <c r="BB476" s="353">
        <v>0</v>
      </c>
    </row>
    <row r="477" spans="1:54" x14ac:dyDescent="0.25">
      <c r="A477" s="353" t="s">
        <v>1077</v>
      </c>
      <c r="B477" s="429">
        <v>33</v>
      </c>
      <c r="C477" s="380">
        <v>45111</v>
      </c>
      <c r="D477" s="429" t="s">
        <v>1078</v>
      </c>
      <c r="E477" s="353">
        <v>6324</v>
      </c>
      <c r="F477" s="353">
        <v>6</v>
      </c>
      <c r="G477" s="429" t="s">
        <v>301</v>
      </c>
      <c r="H477" s="353" t="s">
        <v>1088</v>
      </c>
      <c r="I477" s="353" t="s">
        <v>393</v>
      </c>
      <c r="J477" s="563">
        <v>134012</v>
      </c>
      <c r="K477" s="353" t="s">
        <v>394</v>
      </c>
      <c r="L477" s="353">
        <v>2801.6</v>
      </c>
      <c r="M477" s="560">
        <f t="shared" si="526"/>
        <v>47.83409480296973</v>
      </c>
      <c r="N477" s="354" t="s">
        <v>395</v>
      </c>
      <c r="O477" s="354">
        <v>0</v>
      </c>
      <c r="P477" s="374">
        <f t="shared" si="495"/>
        <v>3.0139370956278855</v>
      </c>
      <c r="Q477" s="354">
        <f t="shared" si="496"/>
        <v>0.28426024638662994</v>
      </c>
      <c r="R477" s="354">
        <f t="shared" si="497"/>
        <v>0.4791800989647837</v>
      </c>
      <c r="S477" s="354">
        <f t="shared" si="498"/>
        <v>0.42684721587485192</v>
      </c>
      <c r="T477" s="354">
        <f t="shared" si="499"/>
        <v>1.8215201513596493</v>
      </c>
      <c r="U477" s="374">
        <f t="shared" si="500"/>
        <v>12.096237304251657</v>
      </c>
      <c r="V477" s="354">
        <f t="shared" si="501"/>
        <v>0.32019606415640878</v>
      </c>
      <c r="W477" s="354">
        <f t="shared" si="502"/>
        <v>10.922550924467322</v>
      </c>
      <c r="X477" s="354">
        <f t="shared" si="503"/>
        <v>0.85349031562792754</v>
      </c>
      <c r="Y477" s="374">
        <f t="shared" si="504"/>
        <v>1.7732898904382701</v>
      </c>
      <c r="Z477" s="354">
        <f t="shared" si="505"/>
        <v>0.91476936987069679</v>
      </c>
      <c r="AA477" s="354">
        <f t="shared" si="506"/>
        <v>0.85852052056757322</v>
      </c>
      <c r="AB477" s="374">
        <f t="shared" si="507"/>
        <v>9.6881845774920343</v>
      </c>
      <c r="AC477" s="354">
        <f t="shared" si="508"/>
        <v>2.7494348845285557</v>
      </c>
      <c r="AD477" s="354">
        <f t="shared" si="509"/>
        <v>5.9849090046093032</v>
      </c>
      <c r="AE477" s="354">
        <f t="shared" si="510"/>
        <v>0.95384068835417557</v>
      </c>
      <c r="AF477" s="374">
        <f t="shared" si="511"/>
        <v>7.7539309520423858</v>
      </c>
      <c r="AG477" s="354">
        <f t="shared" si="512"/>
        <v>0.49831957150729123</v>
      </c>
      <c r="AH477" s="354">
        <f t="shared" si="513"/>
        <v>2.5072460901467353</v>
      </c>
      <c r="AI477" s="354">
        <f t="shared" si="514"/>
        <v>0</v>
      </c>
      <c r="AJ477" s="354">
        <f t="shared" si="515"/>
        <v>4.7483652903883602</v>
      </c>
      <c r="AK477" s="374">
        <f t="shared" si="516"/>
        <v>5.1214174324665658</v>
      </c>
      <c r="AL477" s="354">
        <f t="shared" si="517"/>
        <v>1.4673200903895747</v>
      </c>
      <c r="AM477" s="354">
        <f t="shared" si="518"/>
        <v>3.4607659230534882</v>
      </c>
      <c r="AN477" s="354">
        <f t="shared" si="519"/>
        <v>0.1933314190235029</v>
      </c>
      <c r="AO477" s="374">
        <f t="shared" si="520"/>
        <v>2.9696292180694965</v>
      </c>
      <c r="AP477" s="354">
        <f t="shared" si="521"/>
        <v>0.68096721536043558</v>
      </c>
      <c r="AQ477" s="354">
        <f t="shared" si="522"/>
        <v>2.2886620027090609</v>
      </c>
      <c r="AR477" s="374">
        <f t="shared" si="523"/>
        <v>5.4174683325814312</v>
      </c>
      <c r="AS477" s="354">
        <f t="shared" si="524"/>
        <v>2.3475729414290165</v>
      </c>
      <c r="AT477" s="354">
        <f t="shared" si="525"/>
        <v>3.0698953911524147</v>
      </c>
      <c r="AU477" s="355" t="s">
        <v>396</v>
      </c>
      <c r="AV477" s="354" t="s">
        <v>345</v>
      </c>
      <c r="AW477" s="353">
        <v>0</v>
      </c>
      <c r="AX477" s="353">
        <v>0</v>
      </c>
      <c r="AY477" s="353">
        <v>0</v>
      </c>
      <c r="AZ477" s="353">
        <v>0</v>
      </c>
      <c r="BA477" s="353">
        <v>0</v>
      </c>
      <c r="BB477" s="353">
        <v>0</v>
      </c>
    </row>
    <row r="478" spans="1:54" x14ac:dyDescent="0.25">
      <c r="A478" s="353" t="s">
        <v>1077</v>
      </c>
      <c r="B478" s="429">
        <v>33</v>
      </c>
      <c r="C478" s="380">
        <v>45111</v>
      </c>
      <c r="D478" s="429" t="s">
        <v>1078</v>
      </c>
      <c r="E478" s="353">
        <v>6324</v>
      </c>
      <c r="F478" s="353">
        <v>6</v>
      </c>
      <c r="G478" s="429" t="s">
        <v>300</v>
      </c>
      <c r="H478" s="353" t="s">
        <v>1089</v>
      </c>
      <c r="I478" s="353" t="s">
        <v>393</v>
      </c>
      <c r="J478" s="563">
        <v>4286</v>
      </c>
      <c r="K478" s="353" t="s">
        <v>394</v>
      </c>
      <c r="L478" s="353">
        <v>2801.6</v>
      </c>
      <c r="M478" s="560">
        <f t="shared" si="526"/>
        <v>1.5298400913763563</v>
      </c>
      <c r="N478" s="354" t="s">
        <v>395</v>
      </c>
      <c r="O478" s="354">
        <v>0</v>
      </c>
      <c r="P478" s="374">
        <f t="shared" si="495"/>
        <v>9.6392370771730268E-2</v>
      </c>
      <c r="Q478" s="354">
        <f t="shared" si="496"/>
        <v>9.0912710504514223E-3</v>
      </c>
      <c r="R478" s="354">
        <f t="shared" si="497"/>
        <v>1.5325238815651307E-2</v>
      </c>
      <c r="S478" s="354">
        <f t="shared" si="498"/>
        <v>1.3651517530069062E-2</v>
      </c>
      <c r="T478" s="354">
        <f t="shared" si="499"/>
        <v>5.825624099877217E-2</v>
      </c>
      <c r="U478" s="374">
        <f t="shared" si="500"/>
        <v>0.38686440830688751</v>
      </c>
      <c r="V478" s="354">
        <f t="shared" si="501"/>
        <v>1.0240577940590159E-2</v>
      </c>
      <c r="W478" s="354">
        <f t="shared" si="502"/>
        <v>0.34932732339094219</v>
      </c>
      <c r="X478" s="354">
        <f t="shared" si="503"/>
        <v>2.7296506975355177E-2</v>
      </c>
      <c r="Y478" s="374">
        <f t="shared" si="504"/>
        <v>5.6713730639184744E-2</v>
      </c>
      <c r="Z478" s="354">
        <f t="shared" si="505"/>
        <v>2.9256346590348675E-2</v>
      </c>
      <c r="AA478" s="354">
        <f t="shared" si="506"/>
        <v>2.7457384048836065E-2</v>
      </c>
      <c r="AB478" s="374">
        <f t="shared" si="507"/>
        <v>0.30984955898823136</v>
      </c>
      <c r="AC478" s="354">
        <f t="shared" si="508"/>
        <v>8.7933005365858213E-2</v>
      </c>
      <c r="AD478" s="354">
        <f t="shared" si="509"/>
        <v>0.1914106198978858</v>
      </c>
      <c r="AE478" s="354">
        <f t="shared" si="510"/>
        <v>3.0505933724487334E-2</v>
      </c>
      <c r="AF478" s="374">
        <f t="shared" si="511"/>
        <v>0.24798785228527045</v>
      </c>
      <c r="AG478" s="354">
        <f t="shared" si="512"/>
        <v>1.5937361456289361E-2</v>
      </c>
      <c r="AH478" s="354">
        <f t="shared" si="513"/>
        <v>8.0187272351497682E-2</v>
      </c>
      <c r="AI478" s="354">
        <f t="shared" si="514"/>
        <v>0</v>
      </c>
      <c r="AJ478" s="354">
        <f t="shared" si="515"/>
        <v>0.15186321847748344</v>
      </c>
      <c r="AK478" s="374">
        <f t="shared" si="516"/>
        <v>0.16379425063092634</v>
      </c>
      <c r="AL478" s="354">
        <f t="shared" si="517"/>
        <v>4.6928140072603326E-2</v>
      </c>
      <c r="AM478" s="354">
        <f t="shared" si="518"/>
        <v>0.11068294440950997</v>
      </c>
      <c r="AN478" s="354">
        <f t="shared" si="519"/>
        <v>6.1831661488130421E-3</v>
      </c>
      <c r="AO478" s="374">
        <f t="shared" si="520"/>
        <v>9.4975306902709181E-2</v>
      </c>
      <c r="AP478" s="354">
        <f t="shared" si="521"/>
        <v>2.1778836858153201E-2</v>
      </c>
      <c r="AQ478" s="354">
        <f t="shared" si="522"/>
        <v>7.3196470044555983E-2</v>
      </c>
      <c r="AR478" s="374">
        <f t="shared" si="523"/>
        <v>0.17326261285141642</v>
      </c>
      <c r="AS478" s="354">
        <f t="shared" si="524"/>
        <v>7.5080572090296144E-2</v>
      </c>
      <c r="AT478" s="354">
        <f t="shared" si="525"/>
        <v>9.818204076112029E-2</v>
      </c>
      <c r="AU478" s="355" t="s">
        <v>396</v>
      </c>
      <c r="AV478" s="354" t="s">
        <v>345</v>
      </c>
      <c r="AW478" s="353">
        <v>0</v>
      </c>
      <c r="AX478" s="353">
        <v>0</v>
      </c>
      <c r="AY478" s="353">
        <v>0</v>
      </c>
      <c r="AZ478" s="353">
        <v>0</v>
      </c>
      <c r="BA478" s="353">
        <v>0</v>
      </c>
      <c r="BB478" s="353">
        <v>0</v>
      </c>
    </row>
    <row r="479" spans="1:54" x14ac:dyDescent="0.25">
      <c r="A479" s="353" t="s">
        <v>1077</v>
      </c>
      <c r="B479" s="429">
        <v>33</v>
      </c>
      <c r="C479" s="380">
        <v>45111</v>
      </c>
      <c r="D479" s="429" t="s">
        <v>1078</v>
      </c>
      <c r="E479" s="353">
        <v>6324</v>
      </c>
      <c r="F479" s="353">
        <v>6</v>
      </c>
      <c r="G479" s="429" t="s">
        <v>302</v>
      </c>
      <c r="H479" s="353" t="s">
        <v>1090</v>
      </c>
      <c r="I479" s="353" t="s">
        <v>393</v>
      </c>
      <c r="J479" s="563">
        <v>4286</v>
      </c>
      <c r="K479" s="353" t="s">
        <v>394</v>
      </c>
      <c r="L479" s="353">
        <v>2801.6</v>
      </c>
      <c r="M479" s="560">
        <f t="shared" si="526"/>
        <v>1.5298400913763563</v>
      </c>
      <c r="N479" s="354" t="s">
        <v>395</v>
      </c>
      <c r="O479" s="354">
        <v>0</v>
      </c>
      <c r="P479" s="374">
        <f t="shared" si="495"/>
        <v>9.6392370771730268E-2</v>
      </c>
      <c r="Q479" s="354">
        <f t="shared" si="496"/>
        <v>9.0912710504514223E-3</v>
      </c>
      <c r="R479" s="354">
        <f t="shared" si="497"/>
        <v>1.5325238815651307E-2</v>
      </c>
      <c r="S479" s="354">
        <f t="shared" si="498"/>
        <v>1.3651517530069062E-2</v>
      </c>
      <c r="T479" s="354">
        <f t="shared" si="499"/>
        <v>5.825624099877217E-2</v>
      </c>
      <c r="U479" s="374">
        <f t="shared" si="500"/>
        <v>0.38686440830688751</v>
      </c>
      <c r="V479" s="354">
        <f t="shared" si="501"/>
        <v>1.0240577940590159E-2</v>
      </c>
      <c r="W479" s="354">
        <f t="shared" si="502"/>
        <v>0.34932732339094219</v>
      </c>
      <c r="X479" s="354">
        <f t="shared" si="503"/>
        <v>2.7296506975355177E-2</v>
      </c>
      <c r="Y479" s="374">
        <f t="shared" si="504"/>
        <v>5.6713730639184744E-2</v>
      </c>
      <c r="Z479" s="354">
        <f t="shared" si="505"/>
        <v>2.9256346590348675E-2</v>
      </c>
      <c r="AA479" s="354">
        <f t="shared" si="506"/>
        <v>2.7457384048836065E-2</v>
      </c>
      <c r="AB479" s="374">
        <f t="shared" si="507"/>
        <v>0.30984955898823136</v>
      </c>
      <c r="AC479" s="354">
        <f t="shared" si="508"/>
        <v>8.7933005365858213E-2</v>
      </c>
      <c r="AD479" s="354">
        <f t="shared" si="509"/>
        <v>0.1914106198978858</v>
      </c>
      <c r="AE479" s="354">
        <f t="shared" si="510"/>
        <v>3.0505933724487334E-2</v>
      </c>
      <c r="AF479" s="374">
        <f t="shared" si="511"/>
        <v>0.24798785228527045</v>
      </c>
      <c r="AG479" s="354">
        <f t="shared" si="512"/>
        <v>1.5937361456289361E-2</v>
      </c>
      <c r="AH479" s="354">
        <f t="shared" si="513"/>
        <v>8.0187272351497682E-2</v>
      </c>
      <c r="AI479" s="354">
        <f t="shared" si="514"/>
        <v>0</v>
      </c>
      <c r="AJ479" s="354">
        <f t="shared" si="515"/>
        <v>0.15186321847748344</v>
      </c>
      <c r="AK479" s="374">
        <f t="shared" si="516"/>
        <v>0.16379425063092634</v>
      </c>
      <c r="AL479" s="354">
        <f t="shared" si="517"/>
        <v>4.6928140072603326E-2</v>
      </c>
      <c r="AM479" s="354">
        <f t="shared" si="518"/>
        <v>0.11068294440950997</v>
      </c>
      <c r="AN479" s="354">
        <f t="shared" si="519"/>
        <v>6.1831661488130421E-3</v>
      </c>
      <c r="AO479" s="374">
        <f t="shared" si="520"/>
        <v>9.4975306902709181E-2</v>
      </c>
      <c r="AP479" s="354">
        <f t="shared" si="521"/>
        <v>2.1778836858153201E-2</v>
      </c>
      <c r="AQ479" s="354">
        <f t="shared" si="522"/>
        <v>7.3196470044555983E-2</v>
      </c>
      <c r="AR479" s="374">
        <f t="shared" si="523"/>
        <v>0.17326261285141642</v>
      </c>
      <c r="AS479" s="354">
        <f t="shared" si="524"/>
        <v>7.5080572090296144E-2</v>
      </c>
      <c r="AT479" s="354">
        <f t="shared" si="525"/>
        <v>9.818204076112029E-2</v>
      </c>
      <c r="AU479" s="355" t="s">
        <v>396</v>
      </c>
      <c r="AV479" s="354" t="s">
        <v>345</v>
      </c>
      <c r="AW479" s="353">
        <v>0</v>
      </c>
      <c r="AX479" s="353">
        <v>0</v>
      </c>
      <c r="AY479" s="353">
        <v>0</v>
      </c>
      <c r="AZ479" s="353">
        <v>0</v>
      </c>
      <c r="BA479" s="353">
        <v>0</v>
      </c>
      <c r="BB479" s="353">
        <v>0</v>
      </c>
    </row>
    <row r="480" spans="1:54" x14ac:dyDescent="0.25">
      <c r="A480" s="353" t="s">
        <v>1077</v>
      </c>
      <c r="B480" s="429">
        <v>33</v>
      </c>
      <c r="C480" s="380">
        <v>45111</v>
      </c>
      <c r="D480" s="429" t="s">
        <v>1078</v>
      </c>
      <c r="E480" s="353">
        <v>6324</v>
      </c>
      <c r="F480" s="353">
        <v>6</v>
      </c>
      <c r="G480" s="429" t="s">
        <v>301</v>
      </c>
      <c r="H480" s="353" t="s">
        <v>1091</v>
      </c>
      <c r="I480" s="353" t="s">
        <v>393</v>
      </c>
      <c r="J480" s="563">
        <v>134012</v>
      </c>
      <c r="K480" s="353" t="s">
        <v>394</v>
      </c>
      <c r="L480" s="353">
        <v>2801.6</v>
      </c>
      <c r="M480" s="560">
        <f t="shared" si="526"/>
        <v>47.83409480296973</v>
      </c>
      <c r="N480" s="354" t="s">
        <v>395</v>
      </c>
      <c r="O480" s="354">
        <v>0</v>
      </c>
      <c r="P480" s="374">
        <f t="shared" si="495"/>
        <v>3.0139370956278855</v>
      </c>
      <c r="Q480" s="354">
        <f t="shared" si="496"/>
        <v>0.28426024638662994</v>
      </c>
      <c r="R480" s="354">
        <f t="shared" si="497"/>
        <v>0.4791800989647837</v>
      </c>
      <c r="S480" s="354">
        <f t="shared" si="498"/>
        <v>0.42684721587485192</v>
      </c>
      <c r="T480" s="354">
        <f t="shared" si="499"/>
        <v>1.8215201513596493</v>
      </c>
      <c r="U480" s="374">
        <f t="shared" si="500"/>
        <v>12.096237304251657</v>
      </c>
      <c r="V480" s="354">
        <f t="shared" si="501"/>
        <v>0.32019606415640878</v>
      </c>
      <c r="W480" s="354">
        <f t="shared" si="502"/>
        <v>10.922550924467322</v>
      </c>
      <c r="X480" s="354">
        <f t="shared" si="503"/>
        <v>0.85349031562792754</v>
      </c>
      <c r="Y480" s="374">
        <f t="shared" si="504"/>
        <v>1.7732898904382701</v>
      </c>
      <c r="Z480" s="354">
        <f t="shared" si="505"/>
        <v>0.91476936987069679</v>
      </c>
      <c r="AA480" s="354">
        <f t="shared" si="506"/>
        <v>0.85852052056757322</v>
      </c>
      <c r="AB480" s="374">
        <f t="shared" si="507"/>
        <v>9.6881845774920343</v>
      </c>
      <c r="AC480" s="354">
        <f t="shared" si="508"/>
        <v>2.7494348845285557</v>
      </c>
      <c r="AD480" s="354">
        <f t="shared" si="509"/>
        <v>5.9849090046093032</v>
      </c>
      <c r="AE480" s="354">
        <f t="shared" si="510"/>
        <v>0.95384068835417557</v>
      </c>
      <c r="AF480" s="374">
        <f t="shared" si="511"/>
        <v>7.7539309520423858</v>
      </c>
      <c r="AG480" s="354">
        <f t="shared" si="512"/>
        <v>0.49831957150729123</v>
      </c>
      <c r="AH480" s="354">
        <f t="shared" si="513"/>
        <v>2.5072460901467353</v>
      </c>
      <c r="AI480" s="354">
        <f t="shared" si="514"/>
        <v>0</v>
      </c>
      <c r="AJ480" s="354">
        <f t="shared" si="515"/>
        <v>4.7483652903883602</v>
      </c>
      <c r="AK480" s="374">
        <f t="shared" si="516"/>
        <v>5.1214174324665658</v>
      </c>
      <c r="AL480" s="354">
        <f t="shared" si="517"/>
        <v>1.4673200903895747</v>
      </c>
      <c r="AM480" s="354">
        <f t="shared" si="518"/>
        <v>3.4607659230534882</v>
      </c>
      <c r="AN480" s="354">
        <f t="shared" si="519"/>
        <v>0.1933314190235029</v>
      </c>
      <c r="AO480" s="374">
        <f t="shared" si="520"/>
        <v>2.9696292180694965</v>
      </c>
      <c r="AP480" s="354">
        <f t="shared" si="521"/>
        <v>0.68096721536043558</v>
      </c>
      <c r="AQ480" s="354">
        <f t="shared" si="522"/>
        <v>2.2886620027090609</v>
      </c>
      <c r="AR480" s="374">
        <f t="shared" si="523"/>
        <v>5.4174683325814312</v>
      </c>
      <c r="AS480" s="354">
        <f t="shared" si="524"/>
        <v>2.3475729414290165</v>
      </c>
      <c r="AT480" s="354">
        <f t="shared" si="525"/>
        <v>3.0698953911524147</v>
      </c>
      <c r="AU480" s="355" t="s">
        <v>396</v>
      </c>
      <c r="AV480" s="354" t="s">
        <v>345</v>
      </c>
      <c r="AW480" s="353">
        <v>0</v>
      </c>
      <c r="AX480" s="353">
        <v>0</v>
      </c>
      <c r="AY480" s="353">
        <v>0</v>
      </c>
      <c r="AZ480" s="353">
        <v>0</v>
      </c>
      <c r="BA480" s="353">
        <v>0</v>
      </c>
      <c r="BB480" s="353">
        <v>0</v>
      </c>
    </row>
    <row r="481" spans="1:54" x14ac:dyDescent="0.25">
      <c r="A481" s="353" t="s">
        <v>1077</v>
      </c>
      <c r="B481" s="429">
        <v>33</v>
      </c>
      <c r="C481" s="380">
        <v>45111</v>
      </c>
      <c r="D481" s="429" t="s">
        <v>1078</v>
      </c>
      <c r="E481" s="353">
        <v>6324</v>
      </c>
      <c r="F481" s="353">
        <v>6</v>
      </c>
      <c r="G481" s="429" t="s">
        <v>300</v>
      </c>
      <c r="H481" s="353" t="s">
        <v>1092</v>
      </c>
      <c r="I481" s="353" t="s">
        <v>393</v>
      </c>
      <c r="J481" s="563">
        <v>4286</v>
      </c>
      <c r="K481" s="353" t="s">
        <v>394</v>
      </c>
      <c r="L481" s="353">
        <v>2801.6</v>
      </c>
      <c r="M481" s="560">
        <f t="shared" si="526"/>
        <v>1.5298400913763563</v>
      </c>
      <c r="N481" s="354" t="s">
        <v>395</v>
      </c>
      <c r="O481" s="354">
        <v>0</v>
      </c>
      <c r="P481" s="374">
        <f t="shared" si="495"/>
        <v>9.6392370771730268E-2</v>
      </c>
      <c r="Q481" s="354">
        <f t="shared" si="496"/>
        <v>9.0912710504514223E-3</v>
      </c>
      <c r="R481" s="354">
        <f t="shared" si="497"/>
        <v>1.5325238815651307E-2</v>
      </c>
      <c r="S481" s="354">
        <f t="shared" si="498"/>
        <v>1.3651517530069062E-2</v>
      </c>
      <c r="T481" s="354">
        <f t="shared" si="499"/>
        <v>5.825624099877217E-2</v>
      </c>
      <c r="U481" s="374">
        <f t="shared" si="500"/>
        <v>0.38686440830688751</v>
      </c>
      <c r="V481" s="354">
        <f t="shared" si="501"/>
        <v>1.0240577940590159E-2</v>
      </c>
      <c r="W481" s="354">
        <f t="shared" si="502"/>
        <v>0.34932732339094219</v>
      </c>
      <c r="X481" s="354">
        <f t="shared" si="503"/>
        <v>2.7296506975355177E-2</v>
      </c>
      <c r="Y481" s="374">
        <f t="shared" si="504"/>
        <v>5.6713730639184744E-2</v>
      </c>
      <c r="Z481" s="354">
        <f t="shared" si="505"/>
        <v>2.9256346590348675E-2</v>
      </c>
      <c r="AA481" s="354">
        <f t="shared" si="506"/>
        <v>2.7457384048836065E-2</v>
      </c>
      <c r="AB481" s="374">
        <f t="shared" si="507"/>
        <v>0.30984955898823136</v>
      </c>
      <c r="AC481" s="354">
        <f t="shared" si="508"/>
        <v>8.7933005365858213E-2</v>
      </c>
      <c r="AD481" s="354">
        <f t="shared" si="509"/>
        <v>0.1914106198978858</v>
      </c>
      <c r="AE481" s="354">
        <f t="shared" si="510"/>
        <v>3.0505933724487334E-2</v>
      </c>
      <c r="AF481" s="374">
        <f t="shared" si="511"/>
        <v>0.24798785228527045</v>
      </c>
      <c r="AG481" s="354">
        <f t="shared" si="512"/>
        <v>1.5937361456289361E-2</v>
      </c>
      <c r="AH481" s="354">
        <f t="shared" si="513"/>
        <v>8.0187272351497682E-2</v>
      </c>
      <c r="AI481" s="354">
        <f t="shared" si="514"/>
        <v>0</v>
      </c>
      <c r="AJ481" s="354">
        <f t="shared" si="515"/>
        <v>0.15186321847748344</v>
      </c>
      <c r="AK481" s="374">
        <f t="shared" si="516"/>
        <v>0.16379425063092634</v>
      </c>
      <c r="AL481" s="354">
        <f t="shared" si="517"/>
        <v>4.6928140072603326E-2</v>
      </c>
      <c r="AM481" s="354">
        <f t="shared" si="518"/>
        <v>0.11068294440950997</v>
      </c>
      <c r="AN481" s="354">
        <f t="shared" si="519"/>
        <v>6.1831661488130421E-3</v>
      </c>
      <c r="AO481" s="374">
        <f t="shared" si="520"/>
        <v>9.4975306902709181E-2</v>
      </c>
      <c r="AP481" s="354">
        <f t="shared" si="521"/>
        <v>2.1778836858153201E-2</v>
      </c>
      <c r="AQ481" s="354">
        <f t="shared" si="522"/>
        <v>7.3196470044555983E-2</v>
      </c>
      <c r="AR481" s="374">
        <f t="shared" si="523"/>
        <v>0.17326261285141642</v>
      </c>
      <c r="AS481" s="354">
        <f t="shared" si="524"/>
        <v>7.5080572090296144E-2</v>
      </c>
      <c r="AT481" s="354">
        <f t="shared" si="525"/>
        <v>9.818204076112029E-2</v>
      </c>
      <c r="AU481" s="355" t="s">
        <v>396</v>
      </c>
      <c r="AV481" s="354" t="s">
        <v>345</v>
      </c>
      <c r="AW481" s="353">
        <v>0</v>
      </c>
      <c r="AX481" s="353">
        <v>0</v>
      </c>
      <c r="AY481" s="353">
        <v>0</v>
      </c>
      <c r="AZ481" s="353">
        <v>0</v>
      </c>
      <c r="BA481" s="353">
        <v>0</v>
      </c>
      <c r="BB481" s="353">
        <v>0</v>
      </c>
    </row>
    <row r="482" spans="1:54" x14ac:dyDescent="0.25">
      <c r="A482" s="353" t="s">
        <v>1077</v>
      </c>
      <c r="B482" s="429">
        <v>33</v>
      </c>
      <c r="C482" s="380">
        <v>45111</v>
      </c>
      <c r="D482" s="429" t="s">
        <v>1078</v>
      </c>
      <c r="E482" s="353">
        <v>6324</v>
      </c>
      <c r="F482" s="353">
        <v>6</v>
      </c>
      <c r="G482" s="429" t="s">
        <v>302</v>
      </c>
      <c r="H482" s="353" t="s">
        <v>1093</v>
      </c>
      <c r="I482" s="353" t="s">
        <v>393</v>
      </c>
      <c r="J482" s="563">
        <v>4286</v>
      </c>
      <c r="K482" s="353" t="s">
        <v>394</v>
      </c>
      <c r="L482" s="353">
        <v>2801.6</v>
      </c>
      <c r="M482" s="560">
        <f t="shared" si="526"/>
        <v>1.5298400913763563</v>
      </c>
      <c r="N482" s="354" t="s">
        <v>395</v>
      </c>
      <c r="O482" s="354">
        <v>0</v>
      </c>
      <c r="P482" s="374">
        <f t="shared" si="495"/>
        <v>9.6392370771730268E-2</v>
      </c>
      <c r="Q482" s="354">
        <f t="shared" si="496"/>
        <v>9.0912710504514223E-3</v>
      </c>
      <c r="R482" s="354">
        <f t="shared" si="497"/>
        <v>1.5325238815651307E-2</v>
      </c>
      <c r="S482" s="354">
        <f t="shared" si="498"/>
        <v>1.3651517530069062E-2</v>
      </c>
      <c r="T482" s="354">
        <f t="shared" si="499"/>
        <v>5.825624099877217E-2</v>
      </c>
      <c r="U482" s="374">
        <f t="shared" si="500"/>
        <v>0.38686440830688751</v>
      </c>
      <c r="V482" s="354">
        <f t="shared" si="501"/>
        <v>1.0240577940590159E-2</v>
      </c>
      <c r="W482" s="354">
        <f t="shared" si="502"/>
        <v>0.34932732339094219</v>
      </c>
      <c r="X482" s="354">
        <f t="shared" si="503"/>
        <v>2.7296506975355177E-2</v>
      </c>
      <c r="Y482" s="374">
        <f t="shared" si="504"/>
        <v>5.6713730639184744E-2</v>
      </c>
      <c r="Z482" s="354">
        <f t="shared" si="505"/>
        <v>2.9256346590348675E-2</v>
      </c>
      <c r="AA482" s="354">
        <f t="shared" si="506"/>
        <v>2.7457384048836065E-2</v>
      </c>
      <c r="AB482" s="374">
        <f t="shared" si="507"/>
        <v>0.30984955898823136</v>
      </c>
      <c r="AC482" s="354">
        <f t="shared" si="508"/>
        <v>8.7933005365858213E-2</v>
      </c>
      <c r="AD482" s="354">
        <f t="shared" si="509"/>
        <v>0.1914106198978858</v>
      </c>
      <c r="AE482" s="354">
        <f t="shared" si="510"/>
        <v>3.0505933724487334E-2</v>
      </c>
      <c r="AF482" s="374">
        <f t="shared" si="511"/>
        <v>0.24798785228527045</v>
      </c>
      <c r="AG482" s="354">
        <f t="shared" si="512"/>
        <v>1.5937361456289361E-2</v>
      </c>
      <c r="AH482" s="354">
        <f t="shared" si="513"/>
        <v>8.0187272351497682E-2</v>
      </c>
      <c r="AI482" s="354">
        <f t="shared" si="514"/>
        <v>0</v>
      </c>
      <c r="AJ482" s="354">
        <f t="shared" si="515"/>
        <v>0.15186321847748344</v>
      </c>
      <c r="AK482" s="374">
        <f t="shared" si="516"/>
        <v>0.16379425063092634</v>
      </c>
      <c r="AL482" s="354">
        <f t="shared" si="517"/>
        <v>4.6928140072603326E-2</v>
      </c>
      <c r="AM482" s="354">
        <f t="shared" si="518"/>
        <v>0.11068294440950997</v>
      </c>
      <c r="AN482" s="354">
        <f t="shared" si="519"/>
        <v>6.1831661488130421E-3</v>
      </c>
      <c r="AO482" s="374">
        <f t="shared" si="520"/>
        <v>9.4975306902709181E-2</v>
      </c>
      <c r="AP482" s="354">
        <f t="shared" si="521"/>
        <v>2.1778836858153201E-2</v>
      </c>
      <c r="AQ482" s="354">
        <f t="shared" si="522"/>
        <v>7.3196470044555983E-2</v>
      </c>
      <c r="AR482" s="374">
        <f t="shared" si="523"/>
        <v>0.17326261285141642</v>
      </c>
      <c r="AS482" s="354">
        <f t="shared" si="524"/>
        <v>7.5080572090296144E-2</v>
      </c>
      <c r="AT482" s="354">
        <f t="shared" si="525"/>
        <v>9.818204076112029E-2</v>
      </c>
      <c r="AU482" s="355" t="s">
        <v>396</v>
      </c>
      <c r="AV482" s="354" t="s">
        <v>345</v>
      </c>
      <c r="AW482" s="353">
        <v>0</v>
      </c>
      <c r="AX482" s="353">
        <v>0</v>
      </c>
      <c r="AY482" s="353">
        <v>0</v>
      </c>
      <c r="AZ482" s="353">
        <v>0</v>
      </c>
      <c r="BA482" s="353">
        <v>0</v>
      </c>
      <c r="BB482" s="353">
        <v>0</v>
      </c>
    </row>
    <row r="483" spans="1:54" x14ac:dyDescent="0.25">
      <c r="A483" s="353" t="s">
        <v>1077</v>
      </c>
      <c r="B483" s="429">
        <v>33</v>
      </c>
      <c r="C483" s="380">
        <v>45111</v>
      </c>
      <c r="D483" s="429" t="s">
        <v>1078</v>
      </c>
      <c r="E483" s="353">
        <v>6324</v>
      </c>
      <c r="F483" s="353">
        <v>6</v>
      </c>
      <c r="G483" s="429" t="s">
        <v>301</v>
      </c>
      <c r="H483" s="353" t="s">
        <v>1094</v>
      </c>
      <c r="I483" s="353" t="s">
        <v>393</v>
      </c>
      <c r="J483" s="563">
        <v>134012</v>
      </c>
      <c r="K483" s="353" t="s">
        <v>394</v>
      </c>
      <c r="L483" s="353">
        <v>2801.6</v>
      </c>
      <c r="M483" s="560">
        <f t="shared" si="526"/>
        <v>47.83409480296973</v>
      </c>
      <c r="N483" s="354" t="s">
        <v>395</v>
      </c>
      <c r="O483" s="354">
        <v>0</v>
      </c>
      <c r="P483" s="374">
        <f t="shared" si="495"/>
        <v>3.0139370956278855</v>
      </c>
      <c r="Q483" s="354">
        <f t="shared" si="496"/>
        <v>0.28426024638662994</v>
      </c>
      <c r="R483" s="354">
        <f t="shared" si="497"/>
        <v>0.4791800989647837</v>
      </c>
      <c r="S483" s="354">
        <f t="shared" si="498"/>
        <v>0.42684721587485192</v>
      </c>
      <c r="T483" s="354">
        <f t="shared" si="499"/>
        <v>1.8215201513596493</v>
      </c>
      <c r="U483" s="374">
        <f t="shared" si="500"/>
        <v>12.096237304251657</v>
      </c>
      <c r="V483" s="354">
        <f t="shared" si="501"/>
        <v>0.32019606415640878</v>
      </c>
      <c r="W483" s="354">
        <f t="shared" si="502"/>
        <v>10.922550924467322</v>
      </c>
      <c r="X483" s="354">
        <f t="shared" si="503"/>
        <v>0.85349031562792754</v>
      </c>
      <c r="Y483" s="374">
        <f t="shared" si="504"/>
        <v>1.7732898904382701</v>
      </c>
      <c r="Z483" s="354">
        <f t="shared" si="505"/>
        <v>0.91476936987069679</v>
      </c>
      <c r="AA483" s="354">
        <f t="shared" si="506"/>
        <v>0.85852052056757322</v>
      </c>
      <c r="AB483" s="374">
        <f t="shared" si="507"/>
        <v>9.6881845774920343</v>
      </c>
      <c r="AC483" s="354">
        <f t="shared" si="508"/>
        <v>2.7494348845285557</v>
      </c>
      <c r="AD483" s="354">
        <f t="shared" si="509"/>
        <v>5.9849090046093032</v>
      </c>
      <c r="AE483" s="354">
        <f t="shared" si="510"/>
        <v>0.95384068835417557</v>
      </c>
      <c r="AF483" s="374">
        <f t="shared" si="511"/>
        <v>7.7539309520423858</v>
      </c>
      <c r="AG483" s="354">
        <f t="shared" si="512"/>
        <v>0.49831957150729123</v>
      </c>
      <c r="AH483" s="354">
        <f t="shared" si="513"/>
        <v>2.5072460901467353</v>
      </c>
      <c r="AI483" s="354">
        <f t="shared" si="514"/>
        <v>0</v>
      </c>
      <c r="AJ483" s="354">
        <f t="shared" si="515"/>
        <v>4.7483652903883602</v>
      </c>
      <c r="AK483" s="374">
        <f t="shared" si="516"/>
        <v>5.1214174324665658</v>
      </c>
      <c r="AL483" s="354">
        <f t="shared" si="517"/>
        <v>1.4673200903895747</v>
      </c>
      <c r="AM483" s="354">
        <f t="shared" si="518"/>
        <v>3.4607659230534882</v>
      </c>
      <c r="AN483" s="354">
        <f t="shared" si="519"/>
        <v>0.1933314190235029</v>
      </c>
      <c r="AO483" s="374">
        <f t="shared" si="520"/>
        <v>2.9696292180694965</v>
      </c>
      <c r="AP483" s="354">
        <f t="shared" si="521"/>
        <v>0.68096721536043558</v>
      </c>
      <c r="AQ483" s="354">
        <f t="shared" si="522"/>
        <v>2.2886620027090609</v>
      </c>
      <c r="AR483" s="374">
        <f t="shared" si="523"/>
        <v>5.4174683325814312</v>
      </c>
      <c r="AS483" s="354">
        <f t="shared" si="524"/>
        <v>2.3475729414290165</v>
      </c>
      <c r="AT483" s="354">
        <f t="shared" si="525"/>
        <v>3.0698953911524147</v>
      </c>
      <c r="AU483" s="355" t="s">
        <v>396</v>
      </c>
      <c r="AV483" s="354" t="s">
        <v>345</v>
      </c>
      <c r="AW483" s="353">
        <v>0</v>
      </c>
      <c r="AX483" s="353">
        <v>0</v>
      </c>
      <c r="AY483" s="353">
        <v>0</v>
      </c>
      <c r="AZ483" s="353">
        <v>0</v>
      </c>
      <c r="BA483" s="353">
        <v>0</v>
      </c>
      <c r="BB483" s="353">
        <v>0</v>
      </c>
    </row>
    <row r="484" spans="1:54" x14ac:dyDescent="0.25">
      <c r="A484" s="353" t="s">
        <v>1077</v>
      </c>
      <c r="B484" s="429">
        <v>33</v>
      </c>
      <c r="C484" s="380">
        <v>45111</v>
      </c>
      <c r="D484" s="429" t="s">
        <v>1078</v>
      </c>
      <c r="E484" s="353">
        <v>6324</v>
      </c>
      <c r="F484" s="353">
        <v>6</v>
      </c>
      <c r="G484" s="429" t="s">
        <v>300</v>
      </c>
      <c r="H484" s="353" t="s">
        <v>1095</v>
      </c>
      <c r="I484" s="353" t="s">
        <v>393</v>
      </c>
      <c r="J484" s="563">
        <v>4286</v>
      </c>
      <c r="K484" s="353" t="s">
        <v>394</v>
      </c>
      <c r="L484" s="353">
        <v>2801.6</v>
      </c>
      <c r="M484" s="560">
        <f t="shared" si="526"/>
        <v>1.5298400913763563</v>
      </c>
      <c r="N484" s="354" t="s">
        <v>395</v>
      </c>
      <c r="O484" s="354">
        <v>0</v>
      </c>
      <c r="P484" s="374">
        <f t="shared" si="495"/>
        <v>9.6392370771730268E-2</v>
      </c>
      <c r="Q484" s="354">
        <f t="shared" si="496"/>
        <v>9.0912710504514223E-3</v>
      </c>
      <c r="R484" s="354">
        <f t="shared" si="497"/>
        <v>1.5325238815651307E-2</v>
      </c>
      <c r="S484" s="354">
        <f t="shared" si="498"/>
        <v>1.3651517530069062E-2</v>
      </c>
      <c r="T484" s="354">
        <f t="shared" si="499"/>
        <v>5.825624099877217E-2</v>
      </c>
      <c r="U484" s="374">
        <f t="shared" si="500"/>
        <v>0.38686440830688751</v>
      </c>
      <c r="V484" s="354">
        <f t="shared" si="501"/>
        <v>1.0240577940590159E-2</v>
      </c>
      <c r="W484" s="354">
        <f t="shared" si="502"/>
        <v>0.34932732339094219</v>
      </c>
      <c r="X484" s="354">
        <f t="shared" si="503"/>
        <v>2.7296506975355177E-2</v>
      </c>
      <c r="Y484" s="374">
        <f t="shared" si="504"/>
        <v>5.6713730639184744E-2</v>
      </c>
      <c r="Z484" s="354">
        <f t="shared" si="505"/>
        <v>2.9256346590348675E-2</v>
      </c>
      <c r="AA484" s="354">
        <f t="shared" si="506"/>
        <v>2.7457384048836065E-2</v>
      </c>
      <c r="AB484" s="374">
        <f t="shared" si="507"/>
        <v>0.30984955898823136</v>
      </c>
      <c r="AC484" s="354">
        <f t="shared" si="508"/>
        <v>8.7933005365858213E-2</v>
      </c>
      <c r="AD484" s="354">
        <f t="shared" si="509"/>
        <v>0.1914106198978858</v>
      </c>
      <c r="AE484" s="354">
        <f t="shared" si="510"/>
        <v>3.0505933724487334E-2</v>
      </c>
      <c r="AF484" s="374">
        <f t="shared" si="511"/>
        <v>0.24798785228527045</v>
      </c>
      <c r="AG484" s="354">
        <f t="shared" si="512"/>
        <v>1.5937361456289361E-2</v>
      </c>
      <c r="AH484" s="354">
        <f t="shared" si="513"/>
        <v>8.0187272351497682E-2</v>
      </c>
      <c r="AI484" s="354">
        <f t="shared" si="514"/>
        <v>0</v>
      </c>
      <c r="AJ484" s="354">
        <f t="shared" si="515"/>
        <v>0.15186321847748344</v>
      </c>
      <c r="AK484" s="374">
        <f t="shared" si="516"/>
        <v>0.16379425063092634</v>
      </c>
      <c r="AL484" s="354">
        <f t="shared" si="517"/>
        <v>4.6928140072603326E-2</v>
      </c>
      <c r="AM484" s="354">
        <f t="shared" si="518"/>
        <v>0.11068294440950997</v>
      </c>
      <c r="AN484" s="354">
        <f t="shared" si="519"/>
        <v>6.1831661488130421E-3</v>
      </c>
      <c r="AO484" s="374">
        <f t="shared" si="520"/>
        <v>9.4975306902709181E-2</v>
      </c>
      <c r="AP484" s="354">
        <f t="shared" si="521"/>
        <v>2.1778836858153201E-2</v>
      </c>
      <c r="AQ484" s="354">
        <f t="shared" si="522"/>
        <v>7.3196470044555983E-2</v>
      </c>
      <c r="AR484" s="374">
        <f t="shared" si="523"/>
        <v>0.17326261285141642</v>
      </c>
      <c r="AS484" s="354">
        <f t="shared" si="524"/>
        <v>7.5080572090296144E-2</v>
      </c>
      <c r="AT484" s="354">
        <f t="shared" si="525"/>
        <v>9.818204076112029E-2</v>
      </c>
      <c r="AU484" s="355" t="s">
        <v>396</v>
      </c>
      <c r="AV484" s="354" t="s">
        <v>345</v>
      </c>
      <c r="AW484" s="353">
        <v>0</v>
      </c>
      <c r="AX484" s="353">
        <v>0</v>
      </c>
      <c r="AY484" s="353">
        <v>0</v>
      </c>
      <c r="AZ484" s="353">
        <v>0</v>
      </c>
      <c r="BA484" s="353">
        <v>0</v>
      </c>
      <c r="BB484" s="353">
        <v>0</v>
      </c>
    </row>
    <row r="485" spans="1:54" x14ac:dyDescent="0.25">
      <c r="A485" s="353" t="s">
        <v>1077</v>
      </c>
      <c r="B485" s="429">
        <v>33</v>
      </c>
      <c r="C485" s="380">
        <v>45111</v>
      </c>
      <c r="D485" s="429" t="s">
        <v>1078</v>
      </c>
      <c r="E485" s="353">
        <v>6324</v>
      </c>
      <c r="F485" s="353">
        <v>6</v>
      </c>
      <c r="G485" s="429" t="s">
        <v>302</v>
      </c>
      <c r="H485" s="353" t="s">
        <v>1096</v>
      </c>
      <c r="I485" s="353" t="s">
        <v>393</v>
      </c>
      <c r="J485" s="563">
        <v>4286</v>
      </c>
      <c r="K485" s="353" t="s">
        <v>394</v>
      </c>
      <c r="L485" s="353">
        <v>2801.6</v>
      </c>
      <c r="M485" s="560">
        <f t="shared" si="526"/>
        <v>1.5298400913763563</v>
      </c>
      <c r="N485" s="354" t="s">
        <v>395</v>
      </c>
      <c r="O485" s="354">
        <v>0</v>
      </c>
      <c r="P485" s="374">
        <f t="shared" si="495"/>
        <v>9.6392370771730268E-2</v>
      </c>
      <c r="Q485" s="354">
        <f t="shared" si="496"/>
        <v>9.0912710504514223E-3</v>
      </c>
      <c r="R485" s="354">
        <f t="shared" si="497"/>
        <v>1.5325238815651307E-2</v>
      </c>
      <c r="S485" s="354">
        <f t="shared" si="498"/>
        <v>1.3651517530069062E-2</v>
      </c>
      <c r="T485" s="354">
        <f t="shared" si="499"/>
        <v>5.825624099877217E-2</v>
      </c>
      <c r="U485" s="374">
        <f t="shared" si="500"/>
        <v>0.38686440830688751</v>
      </c>
      <c r="V485" s="354">
        <f t="shared" si="501"/>
        <v>1.0240577940590159E-2</v>
      </c>
      <c r="W485" s="354">
        <f t="shared" si="502"/>
        <v>0.34932732339094219</v>
      </c>
      <c r="X485" s="354">
        <f t="shared" si="503"/>
        <v>2.7296506975355177E-2</v>
      </c>
      <c r="Y485" s="374">
        <f t="shared" si="504"/>
        <v>5.6713730639184744E-2</v>
      </c>
      <c r="Z485" s="354">
        <f t="shared" si="505"/>
        <v>2.9256346590348675E-2</v>
      </c>
      <c r="AA485" s="354">
        <f t="shared" si="506"/>
        <v>2.7457384048836065E-2</v>
      </c>
      <c r="AB485" s="374">
        <f t="shared" si="507"/>
        <v>0.30984955898823136</v>
      </c>
      <c r="AC485" s="354">
        <f t="shared" si="508"/>
        <v>8.7933005365858213E-2</v>
      </c>
      <c r="AD485" s="354">
        <f t="shared" si="509"/>
        <v>0.1914106198978858</v>
      </c>
      <c r="AE485" s="354">
        <f t="shared" si="510"/>
        <v>3.0505933724487334E-2</v>
      </c>
      <c r="AF485" s="374">
        <f t="shared" si="511"/>
        <v>0.24798785228527045</v>
      </c>
      <c r="AG485" s="354">
        <f t="shared" si="512"/>
        <v>1.5937361456289361E-2</v>
      </c>
      <c r="AH485" s="354">
        <f t="shared" si="513"/>
        <v>8.0187272351497682E-2</v>
      </c>
      <c r="AI485" s="354">
        <f t="shared" si="514"/>
        <v>0</v>
      </c>
      <c r="AJ485" s="354">
        <f t="shared" si="515"/>
        <v>0.15186321847748344</v>
      </c>
      <c r="AK485" s="374">
        <f t="shared" si="516"/>
        <v>0.16379425063092634</v>
      </c>
      <c r="AL485" s="354">
        <f t="shared" si="517"/>
        <v>4.6928140072603326E-2</v>
      </c>
      <c r="AM485" s="354">
        <f t="shared" si="518"/>
        <v>0.11068294440950997</v>
      </c>
      <c r="AN485" s="354">
        <f t="shared" si="519"/>
        <v>6.1831661488130421E-3</v>
      </c>
      <c r="AO485" s="374">
        <f t="shared" si="520"/>
        <v>9.4975306902709181E-2</v>
      </c>
      <c r="AP485" s="354">
        <f t="shared" si="521"/>
        <v>2.1778836858153201E-2</v>
      </c>
      <c r="AQ485" s="354">
        <f t="shared" si="522"/>
        <v>7.3196470044555983E-2</v>
      </c>
      <c r="AR485" s="374">
        <f t="shared" si="523"/>
        <v>0.17326261285141642</v>
      </c>
      <c r="AS485" s="354">
        <f t="shared" si="524"/>
        <v>7.5080572090296144E-2</v>
      </c>
      <c r="AT485" s="354">
        <f t="shared" si="525"/>
        <v>9.818204076112029E-2</v>
      </c>
      <c r="AU485" s="355" t="s">
        <v>396</v>
      </c>
      <c r="AV485" s="354" t="s">
        <v>345</v>
      </c>
      <c r="AW485" s="353">
        <v>0</v>
      </c>
      <c r="AX485" s="353">
        <v>0</v>
      </c>
      <c r="AY485" s="353">
        <v>0</v>
      </c>
      <c r="AZ485" s="353">
        <v>0</v>
      </c>
      <c r="BA485" s="353">
        <v>0</v>
      </c>
      <c r="BB485" s="353">
        <v>0</v>
      </c>
    </row>
    <row r="486" spans="1:54" x14ac:dyDescent="0.25">
      <c r="A486" s="353" t="s">
        <v>1097</v>
      </c>
      <c r="B486" s="565" t="s">
        <v>1098</v>
      </c>
      <c r="C486" s="380">
        <v>45111</v>
      </c>
      <c r="D486" s="429" t="s">
        <v>1078</v>
      </c>
      <c r="E486" s="567">
        <v>6311</v>
      </c>
      <c r="F486" s="567">
        <v>6</v>
      </c>
      <c r="G486" s="429" t="s">
        <v>324</v>
      </c>
      <c r="H486" s="381" t="s">
        <v>1099</v>
      </c>
      <c r="I486" s="381" t="s">
        <v>393</v>
      </c>
      <c r="J486" s="568">
        <v>90000</v>
      </c>
      <c r="K486" s="353" t="s">
        <v>394</v>
      </c>
      <c r="L486" s="353">
        <v>2801.6</v>
      </c>
      <c r="M486" s="560">
        <f t="shared" si="526"/>
        <v>32.124500285551115</v>
      </c>
      <c r="N486" s="354" t="s">
        <v>395</v>
      </c>
      <c r="O486" s="354">
        <v>0</v>
      </c>
      <c r="P486" s="374">
        <f t="shared" si="495"/>
        <v>2.0241048458832767</v>
      </c>
      <c r="Q486" s="354">
        <f t="shared" si="496"/>
        <v>0.19090396512847127</v>
      </c>
      <c r="R486" s="354">
        <f t="shared" si="497"/>
        <v>0.32180856122459578</v>
      </c>
      <c r="S486" s="354">
        <f t="shared" si="498"/>
        <v>0.28666275728096491</v>
      </c>
      <c r="T486" s="354">
        <f t="shared" si="499"/>
        <v>1.2232995076737039</v>
      </c>
      <c r="U486" s="374">
        <f t="shared" si="500"/>
        <v>8.1236110003779451</v>
      </c>
      <c r="V486" s="354">
        <f t="shared" si="501"/>
        <v>0.21503780089900004</v>
      </c>
      <c r="W486" s="354">
        <f t="shared" si="502"/>
        <v>7.3353847655587483</v>
      </c>
      <c r="X486" s="354">
        <f t="shared" si="503"/>
        <v>0.57318843392019725</v>
      </c>
      <c r="Y486" s="374">
        <f t="shared" si="504"/>
        <v>1.1909089494929135</v>
      </c>
      <c r="Z486" s="354">
        <f t="shared" si="505"/>
        <v>0.61434232224250607</v>
      </c>
      <c r="AA486" s="354">
        <f t="shared" si="506"/>
        <v>0.57656662725040742</v>
      </c>
      <c r="AB486" s="374">
        <f t="shared" si="507"/>
        <v>6.5064069782876404</v>
      </c>
      <c r="AC486" s="354">
        <f t="shared" si="508"/>
        <v>1.8464700146820439</v>
      </c>
      <c r="AD486" s="354">
        <f t="shared" si="509"/>
        <v>4.019355060851546</v>
      </c>
      <c r="AE486" s="354">
        <f t="shared" si="510"/>
        <v>0.64058190275405047</v>
      </c>
      <c r="AF486" s="374">
        <f t="shared" si="511"/>
        <v>5.2073977381414709</v>
      </c>
      <c r="AG486" s="354">
        <f t="shared" si="512"/>
        <v>0.33466227976342577</v>
      </c>
      <c r="AH486" s="354">
        <f t="shared" si="513"/>
        <v>1.683820464683806</v>
      </c>
      <c r="AI486" s="354">
        <f t="shared" si="514"/>
        <v>0</v>
      </c>
      <c r="AJ486" s="354">
        <f t="shared" si="515"/>
        <v>3.1889149936942398</v>
      </c>
      <c r="AK486" s="374">
        <f t="shared" si="516"/>
        <v>3.4394499665850145</v>
      </c>
      <c r="AL486" s="354">
        <f t="shared" si="517"/>
        <v>0.98542524650823604</v>
      </c>
      <c r="AM486" s="354">
        <f t="shared" si="518"/>
        <v>2.3241868868072557</v>
      </c>
      <c r="AN486" s="354">
        <f t="shared" si="519"/>
        <v>0.12983783326952258</v>
      </c>
      <c r="AO486" s="374">
        <f t="shared" si="520"/>
        <v>1.9943484883910001</v>
      </c>
      <c r="AP486" s="354">
        <f t="shared" si="521"/>
        <v>0.45732508568217178</v>
      </c>
      <c r="AQ486" s="354">
        <f t="shared" si="522"/>
        <v>1.5370234027088283</v>
      </c>
      <c r="AR486" s="374">
        <f t="shared" si="523"/>
        <v>3.6382723183918517</v>
      </c>
      <c r="AS486" s="354">
        <f t="shared" si="524"/>
        <v>1.5765869081023454</v>
      </c>
      <c r="AT486" s="354">
        <f t="shared" si="525"/>
        <v>2.0616854102895066</v>
      </c>
      <c r="AU486" s="355" t="s">
        <v>396</v>
      </c>
      <c r="AV486" s="354" t="s">
        <v>345</v>
      </c>
      <c r="AW486" s="353">
        <v>0</v>
      </c>
      <c r="AX486" s="353">
        <v>0</v>
      </c>
      <c r="AY486" s="353">
        <v>0</v>
      </c>
      <c r="AZ486" s="353">
        <v>0</v>
      </c>
      <c r="BA486" s="353">
        <v>0</v>
      </c>
      <c r="BB486" s="353">
        <v>0</v>
      </c>
    </row>
    <row r="487" spans="1:54" x14ac:dyDescent="0.25">
      <c r="A487" s="353" t="s">
        <v>1097</v>
      </c>
      <c r="B487" s="565" t="s">
        <v>1098</v>
      </c>
      <c r="C487" s="380">
        <v>45111</v>
      </c>
      <c r="D487" s="429" t="s">
        <v>1078</v>
      </c>
      <c r="E487" s="567">
        <v>6311</v>
      </c>
      <c r="F487" s="567">
        <v>6</v>
      </c>
      <c r="G487" s="429" t="s">
        <v>328</v>
      </c>
      <c r="H487" s="381" t="s">
        <v>1100</v>
      </c>
      <c r="I487" s="381" t="s">
        <v>393</v>
      </c>
      <c r="J487" s="568">
        <v>27000</v>
      </c>
      <c r="K487" s="353" t="s">
        <v>394</v>
      </c>
      <c r="L487" s="353">
        <v>2801.6</v>
      </c>
      <c r="M487" s="560">
        <f t="shared" si="526"/>
        <v>9.637350085665334</v>
      </c>
      <c r="N487" s="354" t="s">
        <v>395</v>
      </c>
      <c r="O487" s="354">
        <v>0</v>
      </c>
      <c r="P487" s="374">
        <f t="shared" si="495"/>
        <v>0.607231453764983</v>
      </c>
      <c r="Q487" s="354">
        <f t="shared" si="496"/>
        <v>5.7271189538541385E-2</v>
      </c>
      <c r="R487" s="354">
        <f t="shared" si="497"/>
        <v>9.6542568367378734E-2</v>
      </c>
      <c r="S487" s="354">
        <f t="shared" si="498"/>
        <v>8.5998827184289472E-2</v>
      </c>
      <c r="T487" s="354">
        <f t="shared" si="499"/>
        <v>0.36698985230211117</v>
      </c>
      <c r="U487" s="374">
        <f t="shared" si="500"/>
        <v>2.4370833001133838</v>
      </c>
      <c r="V487" s="354">
        <f t="shared" si="501"/>
        <v>6.4511340269700013E-2</v>
      </c>
      <c r="W487" s="354">
        <f t="shared" si="502"/>
        <v>2.2006154296676246</v>
      </c>
      <c r="X487" s="354">
        <f t="shared" si="503"/>
        <v>0.17195653017605919</v>
      </c>
      <c r="Y487" s="374">
        <f t="shared" si="504"/>
        <v>0.35727268484787406</v>
      </c>
      <c r="Z487" s="354">
        <f t="shared" si="505"/>
        <v>0.18430269667275181</v>
      </c>
      <c r="AA487" s="354">
        <f t="shared" si="506"/>
        <v>0.17296998817512221</v>
      </c>
      <c r="AB487" s="374">
        <f t="shared" si="507"/>
        <v>1.951922093486292</v>
      </c>
      <c r="AC487" s="354">
        <f t="shared" si="508"/>
        <v>0.55394100440461314</v>
      </c>
      <c r="AD487" s="354">
        <f t="shared" si="509"/>
        <v>1.2058065182554636</v>
      </c>
      <c r="AE487" s="354">
        <f t="shared" si="510"/>
        <v>0.19217457082621514</v>
      </c>
      <c r="AF487" s="374">
        <f t="shared" si="511"/>
        <v>1.5622193214424411</v>
      </c>
      <c r="AG487" s="354">
        <f t="shared" si="512"/>
        <v>0.10039868392902772</v>
      </c>
      <c r="AH487" s="354">
        <f t="shared" si="513"/>
        <v>0.50514613940514175</v>
      </c>
      <c r="AI487" s="354">
        <f t="shared" si="514"/>
        <v>0</v>
      </c>
      <c r="AJ487" s="354">
        <f t="shared" si="515"/>
        <v>0.95667449810827176</v>
      </c>
      <c r="AK487" s="374">
        <f t="shared" si="516"/>
        <v>1.0318349899755044</v>
      </c>
      <c r="AL487" s="354">
        <f t="shared" si="517"/>
        <v>0.29562757395247086</v>
      </c>
      <c r="AM487" s="354">
        <f t="shared" si="518"/>
        <v>0.69725606604217683</v>
      </c>
      <c r="AN487" s="354">
        <f t="shared" si="519"/>
        <v>3.8951349980856781E-2</v>
      </c>
      <c r="AO487" s="374">
        <f t="shared" si="520"/>
        <v>0.59830454651730003</v>
      </c>
      <c r="AP487" s="354">
        <f t="shared" si="521"/>
        <v>0.13719752570465152</v>
      </c>
      <c r="AQ487" s="354">
        <f t="shared" si="522"/>
        <v>0.46110702081264854</v>
      </c>
      <c r="AR487" s="374">
        <f t="shared" si="523"/>
        <v>1.0914816955175555</v>
      </c>
      <c r="AS487" s="354">
        <f t="shared" si="524"/>
        <v>0.47297607243070361</v>
      </c>
      <c r="AT487" s="354">
        <f t="shared" si="525"/>
        <v>0.61850562308685197</v>
      </c>
      <c r="AU487" s="355" t="s">
        <v>396</v>
      </c>
      <c r="AV487" s="354" t="s">
        <v>345</v>
      </c>
      <c r="AW487" s="353">
        <v>0</v>
      </c>
      <c r="AX487" s="353">
        <v>0</v>
      </c>
      <c r="AY487" s="353">
        <v>0</v>
      </c>
      <c r="AZ487" s="353">
        <v>0</v>
      </c>
      <c r="BA487" s="353">
        <v>0</v>
      </c>
      <c r="BB487" s="353">
        <v>0</v>
      </c>
    </row>
    <row r="488" spans="1:54" x14ac:dyDescent="0.25">
      <c r="A488" s="564" t="s">
        <v>1101</v>
      </c>
      <c r="B488" s="565">
        <v>35</v>
      </c>
      <c r="C488" s="569">
        <v>45161</v>
      </c>
      <c r="D488" s="566" t="s">
        <v>1103</v>
      </c>
      <c r="E488" s="567">
        <v>6311</v>
      </c>
      <c r="F488" s="567">
        <v>6</v>
      </c>
      <c r="G488" s="429" t="s">
        <v>322</v>
      </c>
      <c r="H488" s="381" t="s">
        <v>1104</v>
      </c>
      <c r="I488" s="381" t="s">
        <v>393</v>
      </c>
      <c r="J488" s="568">
        <v>150000</v>
      </c>
      <c r="K488" s="353" t="s">
        <v>394</v>
      </c>
      <c r="L488" s="353">
        <v>2801.6</v>
      </c>
      <c r="M488" s="560">
        <f t="shared" si="526"/>
        <v>53.540833809251858</v>
      </c>
      <c r="N488" s="354" t="s">
        <v>395</v>
      </c>
      <c r="O488" s="354">
        <v>0</v>
      </c>
      <c r="P488" s="374">
        <f t="shared" si="495"/>
        <v>3.3735080764721279</v>
      </c>
      <c r="Q488" s="354">
        <f t="shared" si="496"/>
        <v>0.31817327521411881</v>
      </c>
      <c r="R488" s="354">
        <f t="shared" si="497"/>
        <v>0.53634760204099297</v>
      </c>
      <c r="S488" s="354">
        <f t="shared" si="498"/>
        <v>0.47777126213494153</v>
      </c>
      <c r="T488" s="354">
        <f t="shared" si="499"/>
        <v>2.0388325127895066</v>
      </c>
      <c r="U488" s="374">
        <f t="shared" si="500"/>
        <v>13.539351667296577</v>
      </c>
      <c r="V488" s="354">
        <f t="shared" si="501"/>
        <v>0.35839633483166677</v>
      </c>
      <c r="W488" s="354">
        <f t="shared" si="502"/>
        <v>12.225641275931249</v>
      </c>
      <c r="X488" s="354">
        <f t="shared" si="503"/>
        <v>0.9553140565336623</v>
      </c>
      <c r="Y488" s="374">
        <f t="shared" si="504"/>
        <v>1.9848482491548558</v>
      </c>
      <c r="Z488" s="354">
        <f t="shared" si="505"/>
        <v>1.0239038704041767</v>
      </c>
      <c r="AA488" s="354">
        <f t="shared" si="506"/>
        <v>0.96094437875067895</v>
      </c>
      <c r="AB488" s="374">
        <f t="shared" si="507"/>
        <v>10.8440116304794</v>
      </c>
      <c r="AC488" s="354">
        <f t="shared" si="508"/>
        <v>3.0774500244700729</v>
      </c>
      <c r="AD488" s="354">
        <f t="shared" si="509"/>
        <v>6.6989251014192428</v>
      </c>
      <c r="AE488" s="354">
        <f t="shared" si="510"/>
        <v>1.0676365045900842</v>
      </c>
      <c r="AF488" s="374">
        <f t="shared" si="511"/>
        <v>8.6789962302357839</v>
      </c>
      <c r="AG488" s="354">
        <f t="shared" si="512"/>
        <v>0.55777046627237625</v>
      </c>
      <c r="AH488" s="354">
        <f t="shared" si="513"/>
        <v>2.8063674411396762</v>
      </c>
      <c r="AI488" s="354">
        <f t="shared" si="514"/>
        <v>0</v>
      </c>
      <c r="AJ488" s="354">
        <f t="shared" si="515"/>
        <v>5.3148583228237323</v>
      </c>
      <c r="AK488" s="374">
        <f t="shared" si="516"/>
        <v>5.7324166109750241</v>
      </c>
      <c r="AL488" s="354">
        <f t="shared" si="517"/>
        <v>1.6423754108470601</v>
      </c>
      <c r="AM488" s="354">
        <f t="shared" si="518"/>
        <v>3.8736448113454265</v>
      </c>
      <c r="AN488" s="354">
        <f t="shared" si="519"/>
        <v>0.21639638878253767</v>
      </c>
      <c r="AO488" s="374">
        <f t="shared" si="520"/>
        <v>3.3239141473183338</v>
      </c>
      <c r="AP488" s="354">
        <f t="shared" si="521"/>
        <v>0.76220847613695297</v>
      </c>
      <c r="AQ488" s="354">
        <f t="shared" si="522"/>
        <v>2.561705671181381</v>
      </c>
      <c r="AR488" s="374">
        <f t="shared" si="523"/>
        <v>6.063787197319753</v>
      </c>
      <c r="AS488" s="354">
        <f t="shared" si="524"/>
        <v>2.6276448468372422</v>
      </c>
      <c r="AT488" s="354">
        <f t="shared" si="525"/>
        <v>3.4361423504825108</v>
      </c>
      <c r="AU488" s="355" t="s">
        <v>396</v>
      </c>
      <c r="AV488" s="354" t="s">
        <v>345</v>
      </c>
      <c r="AW488" s="353">
        <v>0</v>
      </c>
      <c r="AX488" s="353">
        <v>0</v>
      </c>
      <c r="AY488" s="353">
        <v>0</v>
      </c>
      <c r="AZ488" s="353">
        <v>0</v>
      </c>
      <c r="BA488" s="353">
        <v>0</v>
      </c>
      <c r="BB488" s="353">
        <v>0</v>
      </c>
    </row>
    <row r="489" spans="1:54" x14ac:dyDescent="0.25">
      <c r="A489" s="564" t="s">
        <v>1105</v>
      </c>
      <c r="B489" s="567">
        <v>51</v>
      </c>
      <c r="C489" s="569">
        <v>45161</v>
      </c>
      <c r="D489" s="570" t="s">
        <v>1106</v>
      </c>
      <c r="E489" s="567">
        <v>6171</v>
      </c>
      <c r="F489" s="567">
        <v>6</v>
      </c>
      <c r="G489" s="570" t="s">
        <v>327</v>
      </c>
      <c r="H489" s="569" t="s">
        <v>333</v>
      </c>
      <c r="I489" s="569" t="s">
        <v>393</v>
      </c>
      <c r="J489" s="571">
        <v>45000</v>
      </c>
      <c r="K489" s="353" t="s">
        <v>394</v>
      </c>
      <c r="L489" s="353">
        <v>2801.6</v>
      </c>
      <c r="M489" s="560">
        <f t="shared" si="526"/>
        <v>16.062250142775557</v>
      </c>
      <c r="N489" s="354" t="s">
        <v>395</v>
      </c>
      <c r="O489" s="354">
        <v>0</v>
      </c>
      <c r="P489" s="374">
        <f t="shared" si="495"/>
        <v>1.0120524229416383</v>
      </c>
      <c r="Q489" s="354">
        <f t="shared" si="496"/>
        <v>9.5451982564235635E-2</v>
      </c>
      <c r="R489" s="354">
        <f t="shared" si="497"/>
        <v>0.16090428061229789</v>
      </c>
      <c r="S489" s="354">
        <f t="shared" si="498"/>
        <v>0.14333137864048245</v>
      </c>
      <c r="T489" s="354">
        <f t="shared" si="499"/>
        <v>0.61164975383685194</v>
      </c>
      <c r="U489" s="374">
        <f t="shared" si="500"/>
        <v>4.0618055001889726</v>
      </c>
      <c r="V489" s="354">
        <f t="shared" si="501"/>
        <v>0.10751890044950002</v>
      </c>
      <c r="W489" s="354">
        <f t="shared" si="502"/>
        <v>3.6676923827793741</v>
      </c>
      <c r="X489" s="354">
        <f t="shared" si="503"/>
        <v>0.28659421696009862</v>
      </c>
      <c r="Y489" s="374">
        <f t="shared" si="504"/>
        <v>0.59545447474645674</v>
      </c>
      <c r="Z489" s="354">
        <f t="shared" si="505"/>
        <v>0.30717116112125303</v>
      </c>
      <c r="AA489" s="354">
        <f t="shared" si="506"/>
        <v>0.28828331362520371</v>
      </c>
      <c r="AB489" s="374">
        <f t="shared" si="507"/>
        <v>3.2532034891438202</v>
      </c>
      <c r="AC489" s="354">
        <f t="shared" si="508"/>
        <v>0.92323500734102193</v>
      </c>
      <c r="AD489" s="354">
        <f t="shared" si="509"/>
        <v>2.009677530425773</v>
      </c>
      <c r="AE489" s="354">
        <f t="shared" si="510"/>
        <v>0.32029095137702523</v>
      </c>
      <c r="AF489" s="374">
        <f t="shared" si="511"/>
        <v>2.6036988690707354</v>
      </c>
      <c r="AG489" s="354">
        <f t="shared" si="512"/>
        <v>0.16733113988171289</v>
      </c>
      <c r="AH489" s="354">
        <f t="shared" si="513"/>
        <v>0.84191023234190299</v>
      </c>
      <c r="AI489" s="354">
        <f t="shared" si="514"/>
        <v>0</v>
      </c>
      <c r="AJ489" s="354">
        <f t="shared" si="515"/>
        <v>1.5944574968471199</v>
      </c>
      <c r="AK489" s="374">
        <f t="shared" si="516"/>
        <v>1.7197249832925072</v>
      </c>
      <c r="AL489" s="354">
        <f t="shared" si="517"/>
        <v>0.49271262325411802</v>
      </c>
      <c r="AM489" s="354">
        <f t="shared" si="518"/>
        <v>1.1620934434036279</v>
      </c>
      <c r="AN489" s="354">
        <f t="shared" si="519"/>
        <v>6.4918916634761292E-2</v>
      </c>
      <c r="AO489" s="374">
        <f t="shared" si="520"/>
        <v>0.99717424419550005</v>
      </c>
      <c r="AP489" s="354">
        <f t="shared" si="521"/>
        <v>0.22866254284108589</v>
      </c>
      <c r="AQ489" s="354">
        <f t="shared" si="522"/>
        <v>0.76851170135441416</v>
      </c>
      <c r="AR489" s="374">
        <f t="shared" si="523"/>
        <v>1.8191361591959259</v>
      </c>
      <c r="AS489" s="354">
        <f t="shared" si="524"/>
        <v>0.78829345405117268</v>
      </c>
      <c r="AT489" s="354">
        <f t="shared" si="525"/>
        <v>1.0308427051447533</v>
      </c>
      <c r="AU489" s="355" t="s">
        <v>396</v>
      </c>
      <c r="AV489" s="354" t="s">
        <v>345</v>
      </c>
      <c r="AW489" s="353">
        <v>0</v>
      </c>
      <c r="AX489" s="353">
        <v>0</v>
      </c>
      <c r="AY489" s="353">
        <v>0</v>
      </c>
      <c r="AZ489" s="353">
        <v>0</v>
      </c>
      <c r="BA489" s="353">
        <v>0</v>
      </c>
      <c r="BB489" s="353">
        <v>0</v>
      </c>
    </row>
    <row r="490" spans="1:54" x14ac:dyDescent="0.25">
      <c r="A490" s="564" t="s">
        <v>1107</v>
      </c>
      <c r="B490" s="567">
        <v>48</v>
      </c>
      <c r="C490" s="569">
        <v>45161</v>
      </c>
      <c r="D490" s="570" t="s">
        <v>1106</v>
      </c>
      <c r="E490" s="567">
        <v>6176</v>
      </c>
      <c r="F490" s="567">
        <v>6</v>
      </c>
      <c r="G490" s="567" t="s">
        <v>328</v>
      </c>
      <c r="H490" s="564" t="s">
        <v>1108</v>
      </c>
      <c r="I490" s="569" t="s">
        <v>393</v>
      </c>
      <c r="J490" s="571">
        <v>27000</v>
      </c>
      <c r="K490" s="353" t="s">
        <v>394</v>
      </c>
      <c r="L490" s="353">
        <v>2801.6</v>
      </c>
      <c r="M490" s="560">
        <f t="shared" si="526"/>
        <v>9.637350085665334</v>
      </c>
      <c r="N490" s="354" t="s">
        <v>395</v>
      </c>
      <c r="O490" s="354">
        <v>0</v>
      </c>
      <c r="P490" s="374">
        <f t="shared" si="495"/>
        <v>0.607231453764983</v>
      </c>
      <c r="Q490" s="354">
        <f t="shared" si="496"/>
        <v>5.7271189538541385E-2</v>
      </c>
      <c r="R490" s="354">
        <f t="shared" si="497"/>
        <v>9.6542568367378734E-2</v>
      </c>
      <c r="S490" s="354">
        <f t="shared" si="498"/>
        <v>8.5998827184289472E-2</v>
      </c>
      <c r="T490" s="354">
        <f t="shared" si="499"/>
        <v>0.36698985230211117</v>
      </c>
      <c r="U490" s="374">
        <f t="shared" si="500"/>
        <v>2.4370833001133838</v>
      </c>
      <c r="V490" s="354">
        <f t="shared" si="501"/>
        <v>6.4511340269700013E-2</v>
      </c>
      <c r="W490" s="354">
        <f t="shared" si="502"/>
        <v>2.2006154296676246</v>
      </c>
      <c r="X490" s="354">
        <f t="shared" si="503"/>
        <v>0.17195653017605919</v>
      </c>
      <c r="Y490" s="374">
        <f t="shared" si="504"/>
        <v>0.35727268484787406</v>
      </c>
      <c r="Z490" s="354">
        <f t="shared" si="505"/>
        <v>0.18430269667275181</v>
      </c>
      <c r="AA490" s="354">
        <f t="shared" si="506"/>
        <v>0.17296998817512221</v>
      </c>
      <c r="AB490" s="374">
        <f t="shared" si="507"/>
        <v>1.951922093486292</v>
      </c>
      <c r="AC490" s="354">
        <f t="shared" si="508"/>
        <v>0.55394100440461314</v>
      </c>
      <c r="AD490" s="354">
        <f t="shared" si="509"/>
        <v>1.2058065182554636</v>
      </c>
      <c r="AE490" s="354">
        <f t="shared" si="510"/>
        <v>0.19217457082621514</v>
      </c>
      <c r="AF490" s="374">
        <f t="shared" si="511"/>
        <v>1.5622193214424411</v>
      </c>
      <c r="AG490" s="354">
        <f t="shared" si="512"/>
        <v>0.10039868392902772</v>
      </c>
      <c r="AH490" s="354">
        <f t="shared" si="513"/>
        <v>0.50514613940514175</v>
      </c>
      <c r="AI490" s="354">
        <f t="shared" si="514"/>
        <v>0</v>
      </c>
      <c r="AJ490" s="354">
        <f t="shared" si="515"/>
        <v>0.95667449810827176</v>
      </c>
      <c r="AK490" s="374">
        <f t="shared" si="516"/>
        <v>1.0318349899755044</v>
      </c>
      <c r="AL490" s="354">
        <f t="shared" si="517"/>
        <v>0.29562757395247086</v>
      </c>
      <c r="AM490" s="354">
        <f t="shared" si="518"/>
        <v>0.69725606604217683</v>
      </c>
      <c r="AN490" s="354">
        <f t="shared" si="519"/>
        <v>3.8951349980856781E-2</v>
      </c>
      <c r="AO490" s="374">
        <f t="shared" si="520"/>
        <v>0.59830454651730003</v>
      </c>
      <c r="AP490" s="354">
        <f t="shared" si="521"/>
        <v>0.13719752570465152</v>
      </c>
      <c r="AQ490" s="354">
        <f t="shared" si="522"/>
        <v>0.46110702081264854</v>
      </c>
      <c r="AR490" s="374">
        <f t="shared" si="523"/>
        <v>1.0914816955175555</v>
      </c>
      <c r="AS490" s="354">
        <f t="shared" si="524"/>
        <v>0.47297607243070361</v>
      </c>
      <c r="AT490" s="354">
        <f t="shared" si="525"/>
        <v>0.61850562308685197</v>
      </c>
      <c r="AU490" s="355" t="s">
        <v>396</v>
      </c>
      <c r="AV490" s="354" t="s">
        <v>345</v>
      </c>
      <c r="AW490" s="353">
        <v>0</v>
      </c>
      <c r="AX490" s="353">
        <v>0</v>
      </c>
      <c r="AY490" s="353">
        <v>0</v>
      </c>
      <c r="AZ490" s="353">
        <v>0</v>
      </c>
      <c r="BA490" s="353">
        <v>0</v>
      </c>
      <c r="BB490" s="353">
        <v>0</v>
      </c>
    </row>
    <row r="491" spans="1:54" x14ac:dyDescent="0.25">
      <c r="A491" s="564" t="s">
        <v>1107</v>
      </c>
      <c r="B491" s="567">
        <v>48</v>
      </c>
      <c r="C491" s="569">
        <v>45161</v>
      </c>
      <c r="D491" s="570" t="s">
        <v>1106</v>
      </c>
      <c r="E491" s="567">
        <v>6176</v>
      </c>
      <c r="F491" s="567">
        <v>6</v>
      </c>
      <c r="G491" s="567" t="s">
        <v>324</v>
      </c>
      <c r="H491" s="564" t="s">
        <v>1109</v>
      </c>
      <c r="I491" s="564" t="s">
        <v>393</v>
      </c>
      <c r="J491" s="571">
        <v>90000</v>
      </c>
      <c r="K491" s="353" t="s">
        <v>394</v>
      </c>
      <c r="L491" s="353">
        <v>2801.6</v>
      </c>
      <c r="M491" s="560">
        <f t="shared" si="526"/>
        <v>32.124500285551115</v>
      </c>
      <c r="N491" s="354" t="s">
        <v>395</v>
      </c>
      <c r="O491" s="354">
        <v>0</v>
      </c>
      <c r="P491" s="374">
        <f t="shared" si="495"/>
        <v>2.0241048458832767</v>
      </c>
      <c r="Q491" s="354">
        <f t="shared" si="496"/>
        <v>0.19090396512847127</v>
      </c>
      <c r="R491" s="354">
        <f t="shared" si="497"/>
        <v>0.32180856122459578</v>
      </c>
      <c r="S491" s="354">
        <f t="shared" si="498"/>
        <v>0.28666275728096491</v>
      </c>
      <c r="T491" s="354">
        <f t="shared" si="499"/>
        <v>1.2232995076737039</v>
      </c>
      <c r="U491" s="374">
        <f t="shared" si="500"/>
        <v>8.1236110003779451</v>
      </c>
      <c r="V491" s="354">
        <f t="shared" si="501"/>
        <v>0.21503780089900004</v>
      </c>
      <c r="W491" s="354">
        <f t="shared" si="502"/>
        <v>7.3353847655587483</v>
      </c>
      <c r="X491" s="354">
        <f t="shared" si="503"/>
        <v>0.57318843392019725</v>
      </c>
      <c r="Y491" s="374">
        <f t="shared" si="504"/>
        <v>1.1909089494929135</v>
      </c>
      <c r="Z491" s="354">
        <f t="shared" si="505"/>
        <v>0.61434232224250607</v>
      </c>
      <c r="AA491" s="354">
        <f t="shared" si="506"/>
        <v>0.57656662725040742</v>
      </c>
      <c r="AB491" s="374">
        <f t="shared" si="507"/>
        <v>6.5064069782876404</v>
      </c>
      <c r="AC491" s="354">
        <f t="shared" si="508"/>
        <v>1.8464700146820439</v>
      </c>
      <c r="AD491" s="354">
        <f t="shared" si="509"/>
        <v>4.019355060851546</v>
      </c>
      <c r="AE491" s="354">
        <f t="shared" si="510"/>
        <v>0.64058190275405047</v>
      </c>
      <c r="AF491" s="374">
        <f t="shared" si="511"/>
        <v>5.2073977381414709</v>
      </c>
      <c r="AG491" s="354">
        <f t="shared" si="512"/>
        <v>0.33466227976342577</v>
      </c>
      <c r="AH491" s="354">
        <f t="shared" si="513"/>
        <v>1.683820464683806</v>
      </c>
      <c r="AI491" s="354">
        <f t="shared" si="514"/>
        <v>0</v>
      </c>
      <c r="AJ491" s="354">
        <f t="shared" si="515"/>
        <v>3.1889149936942398</v>
      </c>
      <c r="AK491" s="374">
        <f t="shared" si="516"/>
        <v>3.4394499665850145</v>
      </c>
      <c r="AL491" s="354">
        <f t="shared" si="517"/>
        <v>0.98542524650823604</v>
      </c>
      <c r="AM491" s="354">
        <f t="shared" si="518"/>
        <v>2.3241868868072557</v>
      </c>
      <c r="AN491" s="354">
        <f t="shared" si="519"/>
        <v>0.12983783326952258</v>
      </c>
      <c r="AO491" s="374">
        <f t="shared" si="520"/>
        <v>1.9943484883910001</v>
      </c>
      <c r="AP491" s="354">
        <f t="shared" si="521"/>
        <v>0.45732508568217178</v>
      </c>
      <c r="AQ491" s="354">
        <f t="shared" si="522"/>
        <v>1.5370234027088283</v>
      </c>
      <c r="AR491" s="374">
        <f t="shared" si="523"/>
        <v>3.6382723183918517</v>
      </c>
      <c r="AS491" s="354">
        <f t="shared" si="524"/>
        <v>1.5765869081023454</v>
      </c>
      <c r="AT491" s="354">
        <f t="shared" si="525"/>
        <v>2.0616854102895066</v>
      </c>
      <c r="AU491" s="355" t="s">
        <v>396</v>
      </c>
      <c r="AV491" s="354" t="s">
        <v>345</v>
      </c>
      <c r="AW491" s="353">
        <v>0</v>
      </c>
      <c r="AX491" s="353">
        <v>0</v>
      </c>
      <c r="AY491" s="353">
        <v>0</v>
      </c>
      <c r="AZ491" s="353">
        <v>0</v>
      </c>
      <c r="BA491" s="353">
        <v>0</v>
      </c>
      <c r="BB491" s="353">
        <v>0</v>
      </c>
    </row>
    <row r="492" spans="1:54" x14ac:dyDescent="0.25">
      <c r="A492" s="564" t="s">
        <v>1110</v>
      </c>
      <c r="B492" s="567">
        <v>52</v>
      </c>
      <c r="C492" s="569">
        <v>45161</v>
      </c>
      <c r="D492" s="567" t="s">
        <v>1111</v>
      </c>
      <c r="E492" s="567">
        <v>6171</v>
      </c>
      <c r="F492" s="567">
        <v>6</v>
      </c>
      <c r="G492" s="567" t="s">
        <v>327</v>
      </c>
      <c r="H492" s="564" t="s">
        <v>333</v>
      </c>
      <c r="I492" s="564" t="s">
        <v>393</v>
      </c>
      <c r="J492" s="572">
        <v>45000</v>
      </c>
      <c r="K492" s="353" t="s">
        <v>394</v>
      </c>
      <c r="L492" s="353">
        <v>2801.6</v>
      </c>
      <c r="M492" s="560">
        <f t="shared" si="526"/>
        <v>16.062250142775557</v>
      </c>
      <c r="N492" s="354" t="s">
        <v>395</v>
      </c>
      <c r="O492" s="354">
        <v>0</v>
      </c>
      <c r="P492" s="374">
        <f t="shared" si="495"/>
        <v>1.0120524229416383</v>
      </c>
      <c r="Q492" s="354">
        <f t="shared" si="496"/>
        <v>9.5451982564235635E-2</v>
      </c>
      <c r="R492" s="354">
        <f t="shared" si="497"/>
        <v>0.16090428061229789</v>
      </c>
      <c r="S492" s="354">
        <f t="shared" si="498"/>
        <v>0.14333137864048245</v>
      </c>
      <c r="T492" s="354">
        <f t="shared" si="499"/>
        <v>0.61164975383685194</v>
      </c>
      <c r="U492" s="374">
        <f t="shared" si="500"/>
        <v>4.0618055001889726</v>
      </c>
      <c r="V492" s="354">
        <f t="shared" si="501"/>
        <v>0.10751890044950002</v>
      </c>
      <c r="W492" s="354">
        <f t="shared" si="502"/>
        <v>3.6676923827793741</v>
      </c>
      <c r="X492" s="354">
        <f t="shared" si="503"/>
        <v>0.28659421696009862</v>
      </c>
      <c r="Y492" s="374">
        <f t="shared" si="504"/>
        <v>0.59545447474645674</v>
      </c>
      <c r="Z492" s="354">
        <f t="shared" si="505"/>
        <v>0.30717116112125303</v>
      </c>
      <c r="AA492" s="354">
        <f t="shared" si="506"/>
        <v>0.28828331362520371</v>
      </c>
      <c r="AB492" s="374">
        <f t="shared" si="507"/>
        <v>3.2532034891438202</v>
      </c>
      <c r="AC492" s="354">
        <f t="shared" si="508"/>
        <v>0.92323500734102193</v>
      </c>
      <c r="AD492" s="354">
        <f t="shared" si="509"/>
        <v>2.009677530425773</v>
      </c>
      <c r="AE492" s="354">
        <f t="shared" si="510"/>
        <v>0.32029095137702523</v>
      </c>
      <c r="AF492" s="374">
        <f t="shared" si="511"/>
        <v>2.6036988690707354</v>
      </c>
      <c r="AG492" s="354">
        <f t="shared" si="512"/>
        <v>0.16733113988171289</v>
      </c>
      <c r="AH492" s="354">
        <f t="shared" si="513"/>
        <v>0.84191023234190299</v>
      </c>
      <c r="AI492" s="354">
        <f t="shared" si="514"/>
        <v>0</v>
      </c>
      <c r="AJ492" s="354">
        <f t="shared" si="515"/>
        <v>1.5944574968471199</v>
      </c>
      <c r="AK492" s="374">
        <f t="shared" si="516"/>
        <v>1.7197249832925072</v>
      </c>
      <c r="AL492" s="354">
        <f t="shared" si="517"/>
        <v>0.49271262325411802</v>
      </c>
      <c r="AM492" s="354">
        <f t="shared" si="518"/>
        <v>1.1620934434036279</v>
      </c>
      <c r="AN492" s="354">
        <f t="shared" si="519"/>
        <v>6.4918916634761292E-2</v>
      </c>
      <c r="AO492" s="374">
        <f t="shared" si="520"/>
        <v>0.99717424419550005</v>
      </c>
      <c r="AP492" s="354">
        <f t="shared" si="521"/>
        <v>0.22866254284108589</v>
      </c>
      <c r="AQ492" s="354">
        <f t="shared" si="522"/>
        <v>0.76851170135441416</v>
      </c>
      <c r="AR492" s="374">
        <f t="shared" si="523"/>
        <v>1.8191361591959259</v>
      </c>
      <c r="AS492" s="354">
        <f t="shared" si="524"/>
        <v>0.78829345405117268</v>
      </c>
      <c r="AT492" s="354">
        <f t="shared" si="525"/>
        <v>1.0308427051447533</v>
      </c>
      <c r="AU492" s="355" t="s">
        <v>396</v>
      </c>
      <c r="AV492" s="354" t="s">
        <v>345</v>
      </c>
      <c r="AW492" s="353">
        <v>0</v>
      </c>
      <c r="AX492" s="353">
        <v>0</v>
      </c>
      <c r="AY492" s="353">
        <v>0</v>
      </c>
      <c r="AZ492" s="353">
        <v>0</v>
      </c>
      <c r="BA492" s="353">
        <v>0</v>
      </c>
      <c r="BB492" s="353">
        <v>0</v>
      </c>
    </row>
    <row r="493" spans="1:54" x14ac:dyDescent="0.25">
      <c r="A493" s="564" t="s">
        <v>1112</v>
      </c>
      <c r="B493" s="567">
        <v>54</v>
      </c>
      <c r="C493" s="569">
        <v>45161</v>
      </c>
      <c r="D493" s="567" t="s">
        <v>1111</v>
      </c>
      <c r="E493" s="567">
        <v>6311</v>
      </c>
      <c r="F493" s="567">
        <v>6</v>
      </c>
      <c r="G493" s="567" t="s">
        <v>322</v>
      </c>
      <c r="H493" s="381" t="s">
        <v>1104</v>
      </c>
      <c r="I493" s="564" t="s">
        <v>393</v>
      </c>
      <c r="J493" s="568">
        <v>150000</v>
      </c>
      <c r="K493" s="353" t="s">
        <v>394</v>
      </c>
      <c r="L493" s="353">
        <v>2801.6</v>
      </c>
      <c r="M493" s="560">
        <f t="shared" si="526"/>
        <v>53.540833809251858</v>
      </c>
      <c r="N493" s="354" t="s">
        <v>395</v>
      </c>
      <c r="O493" s="354">
        <v>0</v>
      </c>
      <c r="P493" s="374">
        <f t="shared" si="495"/>
        <v>3.3735080764721279</v>
      </c>
      <c r="Q493" s="354">
        <f t="shared" si="496"/>
        <v>0.31817327521411881</v>
      </c>
      <c r="R493" s="354">
        <f t="shared" si="497"/>
        <v>0.53634760204099297</v>
      </c>
      <c r="S493" s="354">
        <f t="shared" si="498"/>
        <v>0.47777126213494153</v>
      </c>
      <c r="T493" s="354">
        <f t="shared" si="499"/>
        <v>2.0388325127895066</v>
      </c>
      <c r="U493" s="374">
        <f t="shared" si="500"/>
        <v>13.539351667296577</v>
      </c>
      <c r="V493" s="354">
        <f t="shared" si="501"/>
        <v>0.35839633483166677</v>
      </c>
      <c r="W493" s="354">
        <f t="shared" si="502"/>
        <v>12.225641275931249</v>
      </c>
      <c r="X493" s="354">
        <f t="shared" si="503"/>
        <v>0.9553140565336623</v>
      </c>
      <c r="Y493" s="374">
        <f t="shared" si="504"/>
        <v>1.9848482491548558</v>
      </c>
      <c r="Z493" s="354">
        <f t="shared" si="505"/>
        <v>1.0239038704041767</v>
      </c>
      <c r="AA493" s="354">
        <f t="shared" si="506"/>
        <v>0.96094437875067895</v>
      </c>
      <c r="AB493" s="374">
        <f t="shared" si="507"/>
        <v>10.8440116304794</v>
      </c>
      <c r="AC493" s="354">
        <f t="shared" si="508"/>
        <v>3.0774500244700729</v>
      </c>
      <c r="AD493" s="354">
        <f t="shared" si="509"/>
        <v>6.6989251014192428</v>
      </c>
      <c r="AE493" s="354">
        <f t="shared" si="510"/>
        <v>1.0676365045900842</v>
      </c>
      <c r="AF493" s="374">
        <f t="shared" si="511"/>
        <v>8.6789962302357839</v>
      </c>
      <c r="AG493" s="354">
        <f t="shared" si="512"/>
        <v>0.55777046627237625</v>
      </c>
      <c r="AH493" s="354">
        <f t="shared" si="513"/>
        <v>2.8063674411396762</v>
      </c>
      <c r="AI493" s="354">
        <f t="shared" si="514"/>
        <v>0</v>
      </c>
      <c r="AJ493" s="354">
        <f t="shared" si="515"/>
        <v>5.3148583228237323</v>
      </c>
      <c r="AK493" s="374">
        <f t="shared" si="516"/>
        <v>5.7324166109750241</v>
      </c>
      <c r="AL493" s="354">
        <f t="shared" si="517"/>
        <v>1.6423754108470601</v>
      </c>
      <c r="AM493" s="354">
        <f t="shared" si="518"/>
        <v>3.8736448113454265</v>
      </c>
      <c r="AN493" s="354">
        <f t="shared" si="519"/>
        <v>0.21639638878253767</v>
      </c>
      <c r="AO493" s="374">
        <f t="shared" si="520"/>
        <v>3.3239141473183338</v>
      </c>
      <c r="AP493" s="354">
        <f t="shared" si="521"/>
        <v>0.76220847613695297</v>
      </c>
      <c r="AQ493" s="354">
        <f t="shared" si="522"/>
        <v>2.561705671181381</v>
      </c>
      <c r="AR493" s="374">
        <f t="shared" si="523"/>
        <v>6.063787197319753</v>
      </c>
      <c r="AS493" s="354">
        <f t="shared" si="524"/>
        <v>2.6276448468372422</v>
      </c>
      <c r="AT493" s="354">
        <f t="shared" si="525"/>
        <v>3.4361423504825108</v>
      </c>
      <c r="AU493" s="355" t="s">
        <v>396</v>
      </c>
      <c r="AV493" s="354" t="s">
        <v>345</v>
      </c>
      <c r="AW493" s="353">
        <v>0</v>
      </c>
      <c r="AX493" s="353">
        <v>0</v>
      </c>
      <c r="AY493" s="353">
        <v>0</v>
      </c>
      <c r="AZ493" s="353">
        <v>0</v>
      </c>
      <c r="BA493" s="353">
        <v>0</v>
      </c>
      <c r="BB493" s="353">
        <v>0</v>
      </c>
    </row>
    <row r="494" spans="1:54" x14ac:dyDescent="0.25">
      <c r="A494" s="564" t="s">
        <v>1113</v>
      </c>
      <c r="B494" s="567">
        <v>59</v>
      </c>
      <c r="C494" s="569">
        <v>45161</v>
      </c>
      <c r="D494" s="570" t="s">
        <v>1114</v>
      </c>
      <c r="E494" s="567">
        <v>6341</v>
      </c>
      <c r="F494" s="567">
        <v>6</v>
      </c>
      <c r="G494" s="567" t="s">
        <v>325</v>
      </c>
      <c r="H494" s="564" t="s">
        <v>1115</v>
      </c>
      <c r="I494" s="564" t="s">
        <v>393</v>
      </c>
      <c r="J494" s="571">
        <v>31250</v>
      </c>
      <c r="K494" s="353" t="s">
        <v>394</v>
      </c>
      <c r="L494" s="353">
        <v>2801.6</v>
      </c>
      <c r="M494" s="560">
        <f t="shared" si="526"/>
        <v>11.15434037692747</v>
      </c>
      <c r="N494" s="354" t="s">
        <v>395</v>
      </c>
      <c r="O494" s="354">
        <v>0</v>
      </c>
      <c r="P494" s="374">
        <f t="shared" si="495"/>
        <v>0.70281418259836004</v>
      </c>
      <c r="Q494" s="354">
        <f t="shared" si="496"/>
        <v>6.6286099002941426E-2</v>
      </c>
      <c r="R494" s="354">
        <f t="shared" si="497"/>
        <v>0.11173908375854021</v>
      </c>
      <c r="S494" s="354">
        <f t="shared" si="498"/>
        <v>9.9535679611446159E-2</v>
      </c>
      <c r="T494" s="354">
        <f t="shared" si="499"/>
        <v>0.42475677349781393</v>
      </c>
      <c r="U494" s="374">
        <f t="shared" si="500"/>
        <v>2.8206982640201201</v>
      </c>
      <c r="V494" s="354">
        <f t="shared" si="501"/>
        <v>7.4665903089930569E-2</v>
      </c>
      <c r="W494" s="354">
        <f t="shared" si="502"/>
        <v>2.5470085991523432</v>
      </c>
      <c r="X494" s="354">
        <f t="shared" si="503"/>
        <v>0.19902376177784631</v>
      </c>
      <c r="Y494" s="374">
        <f t="shared" si="504"/>
        <v>0.41351005190726164</v>
      </c>
      <c r="Z494" s="354">
        <f t="shared" si="505"/>
        <v>0.21331330633420351</v>
      </c>
      <c r="AA494" s="354">
        <f t="shared" si="506"/>
        <v>0.20019674557305814</v>
      </c>
      <c r="AB494" s="374">
        <f t="shared" si="507"/>
        <v>2.2591690896832084</v>
      </c>
      <c r="AC494" s="354">
        <f t="shared" si="508"/>
        <v>0.64113542176459859</v>
      </c>
      <c r="AD494" s="354">
        <f t="shared" si="509"/>
        <v>1.395609396129009</v>
      </c>
      <c r="AE494" s="354">
        <f t="shared" si="510"/>
        <v>0.22242427178960086</v>
      </c>
      <c r="AF494" s="374">
        <f t="shared" si="511"/>
        <v>1.808124214632455</v>
      </c>
      <c r="AG494" s="354">
        <f t="shared" si="512"/>
        <v>0.11620218047341171</v>
      </c>
      <c r="AH494" s="354">
        <f t="shared" si="513"/>
        <v>0.58465988357076581</v>
      </c>
      <c r="AI494" s="354">
        <f t="shared" si="514"/>
        <v>0</v>
      </c>
      <c r="AJ494" s="354">
        <f t="shared" si="515"/>
        <v>1.1072621505882776</v>
      </c>
      <c r="AK494" s="374">
        <f t="shared" si="516"/>
        <v>1.1942534606197965</v>
      </c>
      <c r="AL494" s="354">
        <f t="shared" si="517"/>
        <v>0.3421615439264708</v>
      </c>
      <c r="AM494" s="354">
        <f t="shared" si="518"/>
        <v>0.80700933569696376</v>
      </c>
      <c r="AN494" s="354">
        <f t="shared" si="519"/>
        <v>4.5082580996362011E-2</v>
      </c>
      <c r="AO494" s="374">
        <f t="shared" si="520"/>
        <v>0.69248211402465276</v>
      </c>
      <c r="AP494" s="354">
        <f t="shared" si="521"/>
        <v>0.15879343252853184</v>
      </c>
      <c r="AQ494" s="354">
        <f t="shared" si="522"/>
        <v>0.53368868149612092</v>
      </c>
      <c r="AR494" s="374">
        <f t="shared" si="523"/>
        <v>1.2632889994416152</v>
      </c>
      <c r="AS494" s="354">
        <f t="shared" si="524"/>
        <v>0.54742600975775879</v>
      </c>
      <c r="AT494" s="354">
        <f t="shared" si="525"/>
        <v>0.71586298968385642</v>
      </c>
      <c r="AU494" s="355" t="s">
        <v>396</v>
      </c>
      <c r="AV494" s="354" t="s">
        <v>345</v>
      </c>
      <c r="AW494" s="353">
        <v>0</v>
      </c>
      <c r="AX494" s="353">
        <v>0</v>
      </c>
      <c r="AY494" s="353">
        <v>0</v>
      </c>
      <c r="AZ494" s="353">
        <v>0</v>
      </c>
      <c r="BA494" s="353">
        <v>0</v>
      </c>
      <c r="BB494" s="353">
        <v>0</v>
      </c>
    </row>
    <row r="495" spans="1:54" x14ac:dyDescent="0.25">
      <c r="A495" s="564" t="s">
        <v>1116</v>
      </c>
      <c r="B495" s="567">
        <v>53</v>
      </c>
      <c r="C495" s="569">
        <v>45161</v>
      </c>
      <c r="D495" s="567" t="s">
        <v>1117</v>
      </c>
      <c r="E495" s="567">
        <v>421</v>
      </c>
      <c r="F495" s="567">
        <v>6</v>
      </c>
      <c r="G495" s="567" t="s">
        <v>300</v>
      </c>
      <c r="H495" s="564" t="s">
        <v>1118</v>
      </c>
      <c r="I495" s="564" t="s">
        <v>393</v>
      </c>
      <c r="J495" s="571">
        <v>295714</v>
      </c>
      <c r="K495" s="353" t="s">
        <v>394</v>
      </c>
      <c r="L495" s="353">
        <v>2801.6</v>
      </c>
      <c r="M495" s="560">
        <f t="shared" si="526"/>
        <v>105.55182752712736</v>
      </c>
      <c r="N495" s="354" t="s">
        <v>395</v>
      </c>
      <c r="O495" s="354">
        <v>0</v>
      </c>
      <c r="P495" s="374">
        <f t="shared" si="495"/>
        <v>6.6506237821725254</v>
      </c>
      <c r="Q495" s="354">
        <f t="shared" si="496"/>
        <v>0.62725527937778625</v>
      </c>
      <c r="R495" s="354">
        <f t="shared" si="497"/>
        <v>1.0573699652663346</v>
      </c>
      <c r="S495" s="354">
        <f t="shared" si="498"/>
        <v>0.94189100673981396</v>
      </c>
      <c r="T495" s="354">
        <f t="shared" si="499"/>
        <v>4.0194087845802411</v>
      </c>
      <c r="U495" s="374">
        <f t="shared" si="500"/>
        <v>26.691838926286266</v>
      </c>
      <c r="V495" s="354">
        <f t="shared" si="501"/>
        <v>0.70655209172274336</v>
      </c>
      <c r="W495" s="354">
        <f t="shared" si="502"/>
        <v>24.101955228471557</v>
      </c>
      <c r="X495" s="354">
        <f t="shared" si="503"/>
        <v>1.8833316060919694</v>
      </c>
      <c r="Y495" s="374">
        <f t="shared" si="504"/>
        <v>3.9129827676705271</v>
      </c>
      <c r="Z495" s="354">
        <f t="shared" si="505"/>
        <v>2.0185513942180049</v>
      </c>
      <c r="AA495" s="354">
        <f t="shared" si="506"/>
        <v>1.894431373452522</v>
      </c>
      <c r="AB495" s="374">
        <f t="shared" si="507"/>
        <v>21.378173701970567</v>
      </c>
      <c r="AC495" s="354">
        <f t="shared" si="508"/>
        <v>6.0669670435742873</v>
      </c>
      <c r="AD495" s="354">
        <f t="shared" si="509"/>
        <v>13.206439582940598</v>
      </c>
      <c r="AE495" s="354">
        <f t="shared" si="510"/>
        <v>2.1047670754556806</v>
      </c>
      <c r="AF495" s="374">
        <f t="shared" si="511"/>
        <v>17.110004608186298</v>
      </c>
      <c r="AG495" s="354">
        <f t="shared" si="512"/>
        <v>1.0996035710884631</v>
      </c>
      <c r="AH495" s="354">
        <f t="shared" si="513"/>
        <v>5.532547609927855</v>
      </c>
      <c r="AI495" s="354">
        <f t="shared" si="514"/>
        <v>0</v>
      </c>
      <c r="AJ495" s="354">
        <f t="shared" si="515"/>
        <v>10.477853427169981</v>
      </c>
      <c r="AK495" s="374">
        <f t="shared" si="516"/>
        <v>11.301038971319121</v>
      </c>
      <c r="AL495" s="354">
        <f t="shared" si="517"/>
        <v>3.2378226816215165</v>
      </c>
      <c r="AM495" s="354">
        <f t="shared" si="518"/>
        <v>7.6366066782813427</v>
      </c>
      <c r="AN495" s="354">
        <f t="shared" si="519"/>
        <v>0.42660961141626225</v>
      </c>
      <c r="AO495" s="374">
        <f t="shared" si="520"/>
        <v>6.5528529877339583</v>
      </c>
      <c r="AP495" s="354">
        <f t="shared" si="521"/>
        <v>1.5026381154157529</v>
      </c>
      <c r="AQ495" s="354">
        <f t="shared" si="522"/>
        <v>5.0502148723182057</v>
      </c>
      <c r="AR495" s="374">
        <f t="shared" si="523"/>
        <v>11.954311781788089</v>
      </c>
      <c r="AS495" s="354">
        <f t="shared" si="524"/>
        <v>5.1802091215841886</v>
      </c>
      <c r="AT495" s="354">
        <f t="shared" si="525"/>
        <v>6.7741026602039014</v>
      </c>
      <c r="AU495" s="355" t="s">
        <v>396</v>
      </c>
      <c r="AV495" s="354" t="s">
        <v>345</v>
      </c>
      <c r="AW495" s="353">
        <v>0</v>
      </c>
      <c r="AX495" s="353">
        <v>0</v>
      </c>
      <c r="AY495" s="353">
        <v>0</v>
      </c>
      <c r="AZ495" s="353">
        <v>0</v>
      </c>
      <c r="BA495" s="353">
        <v>0</v>
      </c>
      <c r="BB495" s="353">
        <v>0</v>
      </c>
    </row>
    <row r="496" spans="1:54" x14ac:dyDescent="0.25">
      <c r="A496" s="564" t="s">
        <v>1119</v>
      </c>
      <c r="B496" s="567">
        <v>53</v>
      </c>
      <c r="C496" s="569">
        <v>45161</v>
      </c>
      <c r="D496" s="567" t="s">
        <v>1117</v>
      </c>
      <c r="E496" s="567">
        <v>421</v>
      </c>
      <c r="F496" s="567">
        <v>6</v>
      </c>
      <c r="G496" s="567" t="s">
        <v>301</v>
      </c>
      <c r="H496" s="564" t="s">
        <v>1120</v>
      </c>
      <c r="I496" s="564" t="s">
        <v>393</v>
      </c>
      <c r="J496" s="571">
        <v>1269897</v>
      </c>
      <c r="K496" s="353" t="s">
        <v>394</v>
      </c>
      <c r="L496" s="353">
        <v>2801.6</v>
      </c>
      <c r="M496" s="560">
        <f t="shared" si="526"/>
        <v>453.27562821245004</v>
      </c>
      <c r="N496" s="354" t="s">
        <v>395</v>
      </c>
      <c r="O496" s="354">
        <v>0</v>
      </c>
      <c r="P496" s="374">
        <f t="shared" si="495"/>
        <v>28.560051905251505</v>
      </c>
      <c r="Q496" s="354">
        <f t="shared" si="496"/>
        <v>2.6936485844972258</v>
      </c>
      <c r="R496" s="354">
        <f t="shared" si="497"/>
        <v>4.5407080719270061</v>
      </c>
      <c r="S496" s="354">
        <f t="shared" si="498"/>
        <v>4.0448019498091723</v>
      </c>
      <c r="T496" s="354">
        <f t="shared" si="499"/>
        <v>17.260715276625707</v>
      </c>
      <c r="U496" s="374">
        <f t="shared" si="500"/>
        <v>114.62388042829947</v>
      </c>
      <c r="V496" s="354">
        <f t="shared" si="501"/>
        <v>3.0341762027581942</v>
      </c>
      <c r="W496" s="354">
        <f t="shared" si="502"/>
        <v>103.50203452920843</v>
      </c>
      <c r="X496" s="354">
        <f t="shared" si="503"/>
        <v>8.0876696963328545</v>
      </c>
      <c r="Y496" s="374">
        <f t="shared" si="504"/>
        <v>16.803685580380026</v>
      </c>
      <c r="Z496" s="354">
        <f t="shared" si="505"/>
        <v>8.6683496887643514</v>
      </c>
      <c r="AA496" s="354">
        <f t="shared" si="506"/>
        <v>8.1353358916156733</v>
      </c>
      <c r="AB496" s="374">
        <f t="shared" si="507"/>
        <v>91.805185583405986</v>
      </c>
      <c r="AC496" s="354">
        <f t="shared" si="508"/>
        <v>26.053630358163147</v>
      </c>
      <c r="AD496" s="354">
        <f t="shared" si="509"/>
        <v>56.712965930113278</v>
      </c>
      <c r="AE496" s="354">
        <f t="shared" si="510"/>
        <v>9.0385892951295599</v>
      </c>
      <c r="AF496" s="374">
        <f t="shared" si="511"/>
        <v>73.476208505251549</v>
      </c>
      <c r="AG496" s="354">
        <f t="shared" si="512"/>
        <v>4.7220736120526121</v>
      </c>
      <c r="AH496" s="354">
        <f t="shared" si="513"/>
        <v>23.758650629339677</v>
      </c>
      <c r="AI496" s="354">
        <f t="shared" si="514"/>
        <v>0</v>
      </c>
      <c r="AJ496" s="354">
        <f t="shared" si="515"/>
        <v>44.995484263859261</v>
      </c>
      <c r="AK496" s="374">
        <f t="shared" si="516"/>
        <v>48.530524380182335</v>
      </c>
      <c r="AL496" s="354">
        <f t="shared" si="517"/>
        <v>13.904317380722993</v>
      </c>
      <c r="AM496" s="354">
        <f t="shared" si="518"/>
        <v>32.794199499954154</v>
      </c>
      <c r="AN496" s="354">
        <f t="shared" si="519"/>
        <v>1.8320074995051883</v>
      </c>
      <c r="AO496" s="374">
        <f t="shared" si="520"/>
        <v>28.140190692914064</v>
      </c>
      <c r="AP496" s="354">
        <f t="shared" si="521"/>
        <v>6.4528417148059205</v>
      </c>
      <c r="AQ496" s="354">
        <f t="shared" si="522"/>
        <v>21.687348978108144</v>
      </c>
      <c r="AR496" s="374">
        <f t="shared" si="523"/>
        <v>51.335901136765088</v>
      </c>
      <c r="AS496" s="354">
        <f t="shared" si="524"/>
        <v>22.245588720427161</v>
      </c>
      <c r="AT496" s="354">
        <f t="shared" si="525"/>
        <v>29.09031241633793</v>
      </c>
      <c r="AU496" s="355" t="s">
        <v>396</v>
      </c>
      <c r="AV496" s="354" t="s">
        <v>345</v>
      </c>
      <c r="AW496" s="353">
        <v>0</v>
      </c>
      <c r="AX496" s="353">
        <v>0</v>
      </c>
      <c r="AY496" s="353">
        <v>0</v>
      </c>
      <c r="AZ496" s="353">
        <v>0</v>
      </c>
      <c r="BA496" s="353">
        <v>0</v>
      </c>
      <c r="BB496" s="353">
        <v>0</v>
      </c>
    </row>
    <row r="497" spans="1:54" x14ac:dyDescent="0.25">
      <c r="A497" s="564" t="s">
        <v>1121</v>
      </c>
      <c r="B497" s="567">
        <v>53</v>
      </c>
      <c r="C497" s="569">
        <v>45161</v>
      </c>
      <c r="D497" s="567" t="s">
        <v>1117</v>
      </c>
      <c r="E497" s="567">
        <v>421</v>
      </c>
      <c r="F497" s="567">
        <v>6</v>
      </c>
      <c r="G497" s="567" t="s">
        <v>302</v>
      </c>
      <c r="H497" s="564" t="s">
        <v>1122</v>
      </c>
      <c r="I497" s="564" t="s">
        <v>393</v>
      </c>
      <c r="J497" s="571">
        <v>295714</v>
      </c>
      <c r="K497" s="353" t="s">
        <v>394</v>
      </c>
      <c r="L497" s="353">
        <v>2801.6</v>
      </c>
      <c r="M497" s="560">
        <f t="shared" si="526"/>
        <v>105.55182752712736</v>
      </c>
      <c r="N497" s="354" t="s">
        <v>395</v>
      </c>
      <c r="O497" s="354">
        <v>0</v>
      </c>
      <c r="P497" s="374">
        <f t="shared" si="495"/>
        <v>6.6506237821725254</v>
      </c>
      <c r="Q497" s="354">
        <f t="shared" si="496"/>
        <v>0.62725527937778625</v>
      </c>
      <c r="R497" s="354">
        <f t="shared" si="497"/>
        <v>1.0573699652663346</v>
      </c>
      <c r="S497" s="354">
        <f t="shared" si="498"/>
        <v>0.94189100673981396</v>
      </c>
      <c r="T497" s="354">
        <f t="shared" si="499"/>
        <v>4.0194087845802411</v>
      </c>
      <c r="U497" s="374">
        <f t="shared" si="500"/>
        <v>26.691838926286266</v>
      </c>
      <c r="V497" s="354">
        <f t="shared" si="501"/>
        <v>0.70655209172274336</v>
      </c>
      <c r="W497" s="354">
        <f t="shared" si="502"/>
        <v>24.101955228471557</v>
      </c>
      <c r="X497" s="354">
        <f t="shared" si="503"/>
        <v>1.8833316060919694</v>
      </c>
      <c r="Y497" s="374">
        <f t="shared" si="504"/>
        <v>3.9129827676705271</v>
      </c>
      <c r="Z497" s="354">
        <f t="shared" si="505"/>
        <v>2.0185513942180049</v>
      </c>
      <c r="AA497" s="354">
        <f t="shared" si="506"/>
        <v>1.894431373452522</v>
      </c>
      <c r="AB497" s="374">
        <f t="shared" si="507"/>
        <v>21.378173701970567</v>
      </c>
      <c r="AC497" s="354">
        <f t="shared" si="508"/>
        <v>6.0669670435742873</v>
      </c>
      <c r="AD497" s="354">
        <f t="shared" si="509"/>
        <v>13.206439582940598</v>
      </c>
      <c r="AE497" s="354">
        <f t="shared" si="510"/>
        <v>2.1047670754556806</v>
      </c>
      <c r="AF497" s="374">
        <f t="shared" si="511"/>
        <v>17.110004608186298</v>
      </c>
      <c r="AG497" s="354">
        <f t="shared" si="512"/>
        <v>1.0996035710884631</v>
      </c>
      <c r="AH497" s="354">
        <f t="shared" si="513"/>
        <v>5.532547609927855</v>
      </c>
      <c r="AI497" s="354">
        <f t="shared" si="514"/>
        <v>0</v>
      </c>
      <c r="AJ497" s="354">
        <f t="shared" si="515"/>
        <v>10.477853427169981</v>
      </c>
      <c r="AK497" s="374">
        <f t="shared" si="516"/>
        <v>11.301038971319121</v>
      </c>
      <c r="AL497" s="354">
        <f t="shared" si="517"/>
        <v>3.2378226816215165</v>
      </c>
      <c r="AM497" s="354">
        <f t="shared" si="518"/>
        <v>7.6366066782813427</v>
      </c>
      <c r="AN497" s="354">
        <f t="shared" si="519"/>
        <v>0.42660961141626225</v>
      </c>
      <c r="AO497" s="374">
        <f t="shared" si="520"/>
        <v>6.5528529877339583</v>
      </c>
      <c r="AP497" s="354">
        <f t="shared" si="521"/>
        <v>1.5026381154157529</v>
      </c>
      <c r="AQ497" s="354">
        <f t="shared" si="522"/>
        <v>5.0502148723182057</v>
      </c>
      <c r="AR497" s="374">
        <f t="shared" si="523"/>
        <v>11.954311781788089</v>
      </c>
      <c r="AS497" s="354">
        <f t="shared" si="524"/>
        <v>5.1802091215841886</v>
      </c>
      <c r="AT497" s="354">
        <f t="shared" si="525"/>
        <v>6.7741026602039014</v>
      </c>
      <c r="AU497" s="355" t="s">
        <v>396</v>
      </c>
      <c r="AV497" s="354" t="s">
        <v>345</v>
      </c>
      <c r="AW497" s="353">
        <v>0</v>
      </c>
      <c r="AX497" s="353">
        <v>0</v>
      </c>
      <c r="AY497" s="353">
        <v>0</v>
      </c>
      <c r="AZ497" s="353">
        <v>0</v>
      </c>
      <c r="BA497" s="353">
        <v>0</v>
      </c>
      <c r="BB497" s="353">
        <v>0</v>
      </c>
    </row>
    <row r="498" spans="1:54" x14ac:dyDescent="0.25">
      <c r="A498" s="564" t="s">
        <v>1123</v>
      </c>
      <c r="B498" s="567">
        <v>53</v>
      </c>
      <c r="C498" s="569">
        <v>45161</v>
      </c>
      <c r="D498" s="567" t="s">
        <v>1117</v>
      </c>
      <c r="E498" s="567">
        <v>421</v>
      </c>
      <c r="F498" s="567">
        <v>6</v>
      </c>
      <c r="G498" s="567" t="s">
        <v>303</v>
      </c>
      <c r="H498" s="564" t="s">
        <v>1124</v>
      </c>
      <c r="I498" s="564" t="s">
        <v>393</v>
      </c>
      <c r="J498" s="571">
        <v>73458</v>
      </c>
      <c r="K498" s="353" t="s">
        <v>394</v>
      </c>
      <c r="L498" s="353">
        <v>2801.6</v>
      </c>
      <c r="M498" s="560">
        <f t="shared" si="526"/>
        <v>26.220017133066818</v>
      </c>
      <c r="N498" s="354" t="s">
        <v>395</v>
      </c>
      <c r="O498" s="354">
        <v>0</v>
      </c>
      <c r="P498" s="374">
        <f t="shared" si="495"/>
        <v>1.6520743752099305</v>
      </c>
      <c r="Q498" s="354">
        <f t="shared" si="496"/>
        <v>0.15581581633785827</v>
      </c>
      <c r="R498" s="354">
        <f t="shared" si="497"/>
        <v>0.26266014767151508</v>
      </c>
      <c r="S498" s="354">
        <f t="shared" si="498"/>
        <v>0.23397414249272358</v>
      </c>
      <c r="T498" s="354">
        <f t="shared" si="499"/>
        <v>0.99845705816327723</v>
      </c>
      <c r="U498" s="374">
        <f t="shared" si="500"/>
        <v>6.6304912985084785</v>
      </c>
      <c r="V498" s="354">
        <f t="shared" si="501"/>
        <v>0.17551385309376383</v>
      </c>
      <c r="W498" s="354">
        <f t="shared" si="502"/>
        <v>5.9871410456490501</v>
      </c>
      <c r="X498" s="354">
        <f t="shared" si="503"/>
        <v>0.46783639976566499</v>
      </c>
      <c r="Y498" s="374">
        <f t="shared" si="504"/>
        <v>0.97201988457611599</v>
      </c>
      <c r="Z498" s="354">
        <f t="shared" si="505"/>
        <v>0.50142620341433342</v>
      </c>
      <c r="AA498" s="354">
        <f t="shared" si="506"/>
        <v>0.47059368116178252</v>
      </c>
      <c r="AB498" s="374">
        <f t="shared" si="507"/>
        <v>5.3105293756783718</v>
      </c>
      <c r="AC498" s="354">
        <f t="shared" si="508"/>
        <v>1.507088825983484</v>
      </c>
      <c r="AD498" s="354">
        <f t="shared" si="509"/>
        <v>3.2805976006670314</v>
      </c>
      <c r="AE498" s="354">
        <f t="shared" si="510"/>
        <v>0.522842949027856</v>
      </c>
      <c r="AF498" s="374">
        <f t="shared" si="511"/>
        <v>4.2502780338710684</v>
      </c>
      <c r="AG498" s="354">
        <f t="shared" si="512"/>
        <v>0.27315135274290808</v>
      </c>
      <c r="AH498" s="354">
        <f t="shared" si="513"/>
        <v>1.3743342632749223</v>
      </c>
      <c r="AI498" s="354">
        <f t="shared" si="514"/>
        <v>0</v>
      </c>
      <c r="AJ498" s="354">
        <f t="shared" si="515"/>
        <v>2.6027924178532382</v>
      </c>
      <c r="AK498" s="374">
        <f t="shared" si="516"/>
        <v>2.8072790627266886</v>
      </c>
      <c r="AL498" s="354">
        <f t="shared" si="517"/>
        <v>0.80430408620002225</v>
      </c>
      <c r="AM498" s="354">
        <f t="shared" si="518"/>
        <v>1.8970013370120822</v>
      </c>
      <c r="AN498" s="354">
        <f t="shared" si="519"/>
        <v>0.10597363951458434</v>
      </c>
      <c r="AO498" s="374">
        <f t="shared" si="520"/>
        <v>1.6277872362247343</v>
      </c>
      <c r="AP498" s="354">
        <f t="shared" si="521"/>
        <v>0.37326873493378859</v>
      </c>
      <c r="AQ498" s="354">
        <f t="shared" si="522"/>
        <v>1.2545185012909457</v>
      </c>
      <c r="AR498" s="374">
        <f t="shared" si="523"/>
        <v>2.9695578662714293</v>
      </c>
      <c r="AS498" s="354">
        <f t="shared" si="524"/>
        <v>1.2868102343931342</v>
      </c>
      <c r="AT498" s="354">
        <f t="shared" si="525"/>
        <v>1.6827476318782952</v>
      </c>
      <c r="AU498" s="355" t="s">
        <v>396</v>
      </c>
      <c r="AV498" s="354" t="s">
        <v>345</v>
      </c>
      <c r="AW498" s="353">
        <v>0</v>
      </c>
      <c r="AX498" s="353">
        <v>0</v>
      </c>
      <c r="AY498" s="353">
        <v>0</v>
      </c>
      <c r="AZ498" s="353">
        <v>0</v>
      </c>
      <c r="BA498" s="353">
        <v>0</v>
      </c>
      <c r="BB498" s="353">
        <v>0</v>
      </c>
    </row>
    <row r="499" spans="1:54" x14ac:dyDescent="0.25">
      <c r="A499" s="564" t="s">
        <v>1123</v>
      </c>
      <c r="B499" s="567">
        <v>53</v>
      </c>
      <c r="C499" s="569">
        <v>45161</v>
      </c>
      <c r="D499" s="567" t="s">
        <v>1117</v>
      </c>
      <c r="E499" s="567">
        <v>421</v>
      </c>
      <c r="F499" s="567">
        <v>6</v>
      </c>
      <c r="G499" s="567" t="s">
        <v>304</v>
      </c>
      <c r="H499" s="564" t="s">
        <v>1125</v>
      </c>
      <c r="I499" s="564" t="s">
        <v>393</v>
      </c>
      <c r="J499" s="571">
        <v>126698</v>
      </c>
      <c r="K499" s="353" t="s">
        <v>394</v>
      </c>
      <c r="L499" s="353">
        <v>2801.6</v>
      </c>
      <c r="M499" s="560">
        <f t="shared" si="526"/>
        <v>45.223443746430611</v>
      </c>
      <c r="N499" s="354" t="s">
        <v>395</v>
      </c>
      <c r="O499" s="354">
        <v>0</v>
      </c>
      <c r="P499" s="374">
        <f t="shared" si="495"/>
        <v>2.8494448418191043</v>
      </c>
      <c r="Q499" s="354">
        <f t="shared" si="496"/>
        <v>0.26874611748718952</v>
      </c>
      <c r="R499" s="354">
        <f t="shared" si="497"/>
        <v>0.45302778988926484</v>
      </c>
      <c r="S499" s="354">
        <f t="shared" si="498"/>
        <v>0.40355108913315213</v>
      </c>
      <c r="T499" s="354">
        <f t="shared" si="499"/>
        <v>1.7221066780360328</v>
      </c>
      <c r="U499" s="374">
        <f t="shared" si="500"/>
        <v>11.436058516954278</v>
      </c>
      <c r="V499" s="354">
        <f t="shared" si="501"/>
        <v>0.30272065887001676</v>
      </c>
      <c r="W499" s="354">
        <f t="shared" si="502"/>
        <v>10.326428655852915</v>
      </c>
      <c r="X499" s="354">
        <f t="shared" si="503"/>
        <v>0.80690920223134621</v>
      </c>
      <c r="Y499" s="374">
        <f t="shared" si="504"/>
        <v>1.6765086898094794</v>
      </c>
      <c r="Z499" s="354">
        <f t="shared" si="505"/>
        <v>0.8648438171497892</v>
      </c>
      <c r="AA499" s="354">
        <f t="shared" si="506"/>
        <v>0.81166487265969012</v>
      </c>
      <c r="AB499" s="374">
        <f t="shared" si="507"/>
        <v>9.1594305703898602</v>
      </c>
      <c r="AC499" s="354">
        <f t="shared" si="508"/>
        <v>2.5993784213353952</v>
      </c>
      <c r="AD499" s="354">
        <f t="shared" si="509"/>
        <v>5.6582694166641012</v>
      </c>
      <c r="AE499" s="354">
        <f t="shared" si="510"/>
        <v>0.90178273239036311</v>
      </c>
      <c r="AF499" s="374">
        <f t="shared" si="511"/>
        <v>7.3307430958560893</v>
      </c>
      <c r="AG499" s="354">
        <f t="shared" si="512"/>
        <v>0.47112268357185016</v>
      </c>
      <c r="AH499" s="354">
        <f t="shared" si="513"/>
        <v>2.3704076137167647</v>
      </c>
      <c r="AI499" s="354">
        <f t="shared" si="514"/>
        <v>0</v>
      </c>
      <c r="AJ499" s="354">
        <f t="shared" si="515"/>
        <v>4.4892127985674746</v>
      </c>
      <c r="AK499" s="374">
        <f t="shared" si="516"/>
        <v>4.841904798515424</v>
      </c>
      <c r="AL499" s="354">
        <f t="shared" si="517"/>
        <v>1.3872378653566722</v>
      </c>
      <c r="AM499" s="354">
        <f t="shared" si="518"/>
        <v>3.2718870020522854</v>
      </c>
      <c r="AN499" s="354">
        <f t="shared" si="519"/>
        <v>0.18277993110646637</v>
      </c>
      <c r="AO499" s="374">
        <f t="shared" si="520"/>
        <v>2.8075551642462546</v>
      </c>
      <c r="AP499" s="354">
        <f t="shared" si="521"/>
        <v>0.64380193006399777</v>
      </c>
      <c r="AQ499" s="354">
        <f t="shared" si="522"/>
        <v>2.163753234182257</v>
      </c>
      <c r="AR499" s="374">
        <f t="shared" si="523"/>
        <v>5.1217980688401203</v>
      </c>
      <c r="AS499" s="354">
        <f t="shared" si="524"/>
        <v>2.2194489786972329</v>
      </c>
      <c r="AT499" s="354">
        <f t="shared" si="525"/>
        <v>2.9023490901428879</v>
      </c>
      <c r="AU499" s="355" t="s">
        <v>396</v>
      </c>
      <c r="AV499" s="354" t="s">
        <v>345</v>
      </c>
      <c r="AW499" s="353">
        <v>0</v>
      </c>
      <c r="AX499" s="353">
        <v>0</v>
      </c>
      <c r="AY499" s="353">
        <v>0</v>
      </c>
      <c r="AZ499" s="353">
        <v>0</v>
      </c>
      <c r="BA499" s="353">
        <v>0</v>
      </c>
      <c r="BB499" s="353">
        <v>0</v>
      </c>
    </row>
    <row r="500" spans="1:54" x14ac:dyDescent="0.25">
      <c r="A500" s="564" t="s">
        <v>1123</v>
      </c>
      <c r="B500" s="567">
        <v>53</v>
      </c>
      <c r="C500" s="569">
        <v>45161</v>
      </c>
      <c r="D500" s="567" t="s">
        <v>1117</v>
      </c>
      <c r="E500" s="567">
        <v>421</v>
      </c>
      <c r="F500" s="567">
        <v>6</v>
      </c>
      <c r="G500" s="567" t="s">
        <v>305</v>
      </c>
      <c r="H500" s="564" t="s">
        <v>1126</v>
      </c>
      <c r="I500" s="564" t="s">
        <v>393</v>
      </c>
      <c r="J500" s="571">
        <v>133769</v>
      </c>
      <c r="K500" s="353" t="s">
        <v>394</v>
      </c>
      <c r="L500" s="353">
        <v>2801.6</v>
      </c>
      <c r="M500" s="560">
        <f t="shared" si="526"/>
        <v>47.747358652198749</v>
      </c>
      <c r="N500" s="354" t="s">
        <v>395</v>
      </c>
      <c r="O500" s="354">
        <v>0</v>
      </c>
      <c r="P500" s="374">
        <f t="shared" si="495"/>
        <v>3.0084720125440008</v>
      </c>
      <c r="Q500" s="354">
        <f t="shared" si="496"/>
        <v>0.28374480568078309</v>
      </c>
      <c r="R500" s="354">
        <f t="shared" si="497"/>
        <v>0.47831121584947728</v>
      </c>
      <c r="S500" s="354">
        <f t="shared" si="498"/>
        <v>0.4260732264301933</v>
      </c>
      <c r="T500" s="354">
        <f t="shared" si="499"/>
        <v>1.8182172426889303</v>
      </c>
      <c r="U500" s="374">
        <f t="shared" si="500"/>
        <v>12.074303554550639</v>
      </c>
      <c r="V500" s="354">
        <f t="shared" si="501"/>
        <v>0.31961546209398156</v>
      </c>
      <c r="W500" s="354">
        <f t="shared" si="502"/>
        <v>10.902745385600316</v>
      </c>
      <c r="X500" s="354">
        <f t="shared" si="503"/>
        <v>0.8519427068563431</v>
      </c>
      <c r="Y500" s="374">
        <f t="shared" si="504"/>
        <v>1.7700744362746395</v>
      </c>
      <c r="Z500" s="354">
        <f t="shared" si="505"/>
        <v>0.91311064560064215</v>
      </c>
      <c r="AA500" s="354">
        <f t="shared" si="506"/>
        <v>0.85696379067399719</v>
      </c>
      <c r="AB500" s="374">
        <f t="shared" si="507"/>
        <v>9.6706172786506599</v>
      </c>
      <c r="AC500" s="354">
        <f t="shared" si="508"/>
        <v>2.7444494154889147</v>
      </c>
      <c r="AD500" s="354">
        <f t="shared" si="509"/>
        <v>5.9740567459450054</v>
      </c>
      <c r="AE500" s="354">
        <f t="shared" si="510"/>
        <v>0.9521111172167398</v>
      </c>
      <c r="AF500" s="374">
        <f t="shared" si="511"/>
        <v>7.7398709781494048</v>
      </c>
      <c r="AG500" s="354">
        <f t="shared" si="512"/>
        <v>0.49741598335192999</v>
      </c>
      <c r="AH500" s="354">
        <f t="shared" si="513"/>
        <v>2.5026997748920894</v>
      </c>
      <c r="AI500" s="354">
        <f t="shared" si="514"/>
        <v>0</v>
      </c>
      <c r="AJ500" s="354">
        <f t="shared" si="515"/>
        <v>4.7397552199053861</v>
      </c>
      <c r="AK500" s="374">
        <f t="shared" si="516"/>
        <v>5.1121309175567866</v>
      </c>
      <c r="AL500" s="354">
        <f t="shared" si="517"/>
        <v>1.4646594422240025</v>
      </c>
      <c r="AM500" s="354">
        <f t="shared" si="518"/>
        <v>3.4544906184591091</v>
      </c>
      <c r="AN500" s="354">
        <f t="shared" si="519"/>
        <v>0.19298085687367519</v>
      </c>
      <c r="AO500" s="374">
        <f t="shared" si="520"/>
        <v>2.9642444771508414</v>
      </c>
      <c r="AP500" s="354">
        <f t="shared" si="521"/>
        <v>0.67973243762909386</v>
      </c>
      <c r="AQ500" s="354">
        <f t="shared" si="522"/>
        <v>2.2845120395217475</v>
      </c>
      <c r="AR500" s="374">
        <f t="shared" si="523"/>
        <v>5.4076449973217739</v>
      </c>
      <c r="AS500" s="354">
        <f t="shared" si="524"/>
        <v>2.3433161567771408</v>
      </c>
      <c r="AT500" s="354">
        <f t="shared" si="525"/>
        <v>3.0643288405446336</v>
      </c>
      <c r="AU500" s="355" t="s">
        <v>396</v>
      </c>
      <c r="AV500" s="354" t="s">
        <v>345</v>
      </c>
      <c r="AW500" s="353">
        <v>0</v>
      </c>
      <c r="AX500" s="353">
        <v>0</v>
      </c>
      <c r="AY500" s="353">
        <v>0</v>
      </c>
      <c r="AZ500" s="353">
        <v>0</v>
      </c>
      <c r="BA500" s="353">
        <v>0</v>
      </c>
      <c r="BB500" s="353">
        <v>0</v>
      </c>
    </row>
    <row r="501" spans="1:54" x14ac:dyDescent="0.25">
      <c r="A501" s="564" t="s">
        <v>1123</v>
      </c>
      <c r="B501" s="567">
        <v>53</v>
      </c>
      <c r="C501" s="569">
        <v>45161</v>
      </c>
      <c r="D501" s="567" t="s">
        <v>1117</v>
      </c>
      <c r="E501" s="567">
        <v>421</v>
      </c>
      <c r="F501" s="567">
        <v>6</v>
      </c>
      <c r="G501" s="567" t="s">
        <v>323</v>
      </c>
      <c r="H501" s="564" t="s">
        <v>1127</v>
      </c>
      <c r="I501" s="564" t="s">
        <v>393</v>
      </c>
      <c r="J501" s="571">
        <v>26422</v>
      </c>
      <c r="K501" s="353" t="s">
        <v>394</v>
      </c>
      <c r="L501" s="353">
        <v>2801.6</v>
      </c>
      <c r="M501" s="560">
        <f t="shared" si="526"/>
        <v>9.4310394060536833</v>
      </c>
      <c r="N501" s="354" t="s">
        <v>395</v>
      </c>
      <c r="O501" s="354">
        <v>0</v>
      </c>
      <c r="P501" s="374">
        <f t="shared" si="495"/>
        <v>0.59423220264364374</v>
      </c>
      <c r="Q501" s="354">
        <f t="shared" si="496"/>
        <v>5.6045161851382981E-2</v>
      </c>
      <c r="R501" s="354">
        <f t="shared" si="497"/>
        <v>9.4475842274180766E-2</v>
      </c>
      <c r="S501" s="354">
        <f t="shared" si="498"/>
        <v>8.4157815254196161E-2</v>
      </c>
      <c r="T501" s="354">
        <f t="shared" si="499"/>
        <v>0.35913355101949562</v>
      </c>
      <c r="U501" s="374">
        <f t="shared" si="500"/>
        <v>2.3849116650220674</v>
      </c>
      <c r="V501" s="354">
        <f t="shared" si="501"/>
        <v>6.3130319726148659E-2</v>
      </c>
      <c r="W501" s="354">
        <f t="shared" si="502"/>
        <v>2.1535059586177026</v>
      </c>
      <c r="X501" s="354">
        <f t="shared" si="503"/>
        <v>0.16827538667821615</v>
      </c>
      <c r="Y501" s="374">
        <f t="shared" si="504"/>
        <v>0.34962440292779734</v>
      </c>
      <c r="Z501" s="354">
        <f t="shared" si="505"/>
        <v>0.18035725375879438</v>
      </c>
      <c r="AA501" s="354">
        <f t="shared" si="506"/>
        <v>0.16926714916900293</v>
      </c>
      <c r="AB501" s="374">
        <f t="shared" si="507"/>
        <v>1.9101365020035113</v>
      </c>
      <c r="AC501" s="354">
        <f t="shared" si="508"/>
        <v>0.54208256364365504</v>
      </c>
      <c r="AD501" s="354">
        <f t="shared" si="509"/>
        <v>1.1799933268646614</v>
      </c>
      <c r="AE501" s="354">
        <f t="shared" si="510"/>
        <v>0.18806061149519468</v>
      </c>
      <c r="AF501" s="374">
        <f t="shared" si="511"/>
        <v>1.5287762559685991</v>
      </c>
      <c r="AG501" s="354">
        <f t="shared" si="512"/>
        <v>9.8249408398991489E-2</v>
      </c>
      <c r="AH501" s="354">
        <f t="shared" si="513"/>
        <v>0.49433227019861681</v>
      </c>
      <c r="AI501" s="354">
        <f t="shared" si="514"/>
        <v>0</v>
      </c>
      <c r="AJ501" s="354">
        <f t="shared" si="515"/>
        <v>0.93619457737099099</v>
      </c>
      <c r="AK501" s="374">
        <f t="shared" si="516"/>
        <v>1.0097460779678804</v>
      </c>
      <c r="AL501" s="354">
        <f t="shared" si="517"/>
        <v>0.28929895403600675</v>
      </c>
      <c r="AM501" s="354">
        <f t="shared" si="518"/>
        <v>0.68232962136912556</v>
      </c>
      <c r="AN501" s="354">
        <f t="shared" si="519"/>
        <v>3.8117502562748061E-2</v>
      </c>
      <c r="AO501" s="374">
        <f t="shared" si="520"/>
        <v>0.58549639733629999</v>
      </c>
      <c r="AP501" s="354">
        <f t="shared" si="521"/>
        <v>0.13426048237660379</v>
      </c>
      <c r="AQ501" s="354">
        <f t="shared" si="522"/>
        <v>0.45123591495969623</v>
      </c>
      <c r="AR501" s="374">
        <f t="shared" si="523"/>
        <v>1.0681159021838833</v>
      </c>
      <c r="AS501" s="354">
        <f t="shared" si="524"/>
        <v>0.46285088095422405</v>
      </c>
      <c r="AT501" s="354">
        <f t="shared" si="525"/>
        <v>0.60526502122965931</v>
      </c>
      <c r="AU501" s="355" t="s">
        <v>396</v>
      </c>
      <c r="AV501" s="354" t="s">
        <v>345</v>
      </c>
      <c r="AW501" s="353">
        <v>0</v>
      </c>
      <c r="AX501" s="353">
        <v>0</v>
      </c>
      <c r="AY501" s="353">
        <v>0</v>
      </c>
      <c r="AZ501" s="353">
        <v>0</v>
      </c>
      <c r="BA501" s="353">
        <v>0</v>
      </c>
      <c r="BB501" s="353">
        <v>0</v>
      </c>
    </row>
    <row r="502" spans="1:54" x14ac:dyDescent="0.25">
      <c r="A502" s="564" t="s">
        <v>1123</v>
      </c>
      <c r="B502" s="567">
        <v>53</v>
      </c>
      <c r="C502" s="569">
        <v>45161</v>
      </c>
      <c r="D502" s="567" t="s">
        <v>1117</v>
      </c>
      <c r="E502" s="567">
        <v>421</v>
      </c>
      <c r="F502" s="567">
        <v>6</v>
      </c>
      <c r="G502" s="567" t="s">
        <v>1128</v>
      </c>
      <c r="H502" s="564" t="s">
        <v>1129</v>
      </c>
      <c r="I502" s="564" t="s">
        <v>393</v>
      </c>
      <c r="J502" s="571">
        <v>150000</v>
      </c>
      <c r="K502" s="353" t="s">
        <v>394</v>
      </c>
      <c r="L502" s="353">
        <v>2801.6</v>
      </c>
      <c r="M502" s="560">
        <f t="shared" si="526"/>
        <v>53.540833809251858</v>
      </c>
      <c r="N502" s="354" t="s">
        <v>395</v>
      </c>
      <c r="O502" s="354">
        <v>0</v>
      </c>
      <c r="P502" s="374">
        <f t="shared" si="495"/>
        <v>3.3735080764721279</v>
      </c>
      <c r="Q502" s="354">
        <f t="shared" si="496"/>
        <v>0.31817327521411881</v>
      </c>
      <c r="R502" s="354">
        <f t="shared" si="497"/>
        <v>0.53634760204099297</v>
      </c>
      <c r="S502" s="354">
        <f t="shared" si="498"/>
        <v>0.47777126213494153</v>
      </c>
      <c r="T502" s="354">
        <f t="shared" si="499"/>
        <v>2.0388325127895066</v>
      </c>
      <c r="U502" s="374">
        <f t="shared" si="500"/>
        <v>13.539351667296577</v>
      </c>
      <c r="V502" s="354">
        <f t="shared" si="501"/>
        <v>0.35839633483166677</v>
      </c>
      <c r="W502" s="354">
        <f t="shared" si="502"/>
        <v>12.225641275931249</v>
      </c>
      <c r="X502" s="354">
        <f t="shared" si="503"/>
        <v>0.9553140565336623</v>
      </c>
      <c r="Y502" s="374">
        <f t="shared" si="504"/>
        <v>1.9848482491548558</v>
      </c>
      <c r="Z502" s="354">
        <f t="shared" si="505"/>
        <v>1.0239038704041767</v>
      </c>
      <c r="AA502" s="354">
        <f t="shared" si="506"/>
        <v>0.96094437875067895</v>
      </c>
      <c r="AB502" s="374">
        <f t="shared" si="507"/>
        <v>10.8440116304794</v>
      </c>
      <c r="AC502" s="354">
        <f t="shared" si="508"/>
        <v>3.0774500244700729</v>
      </c>
      <c r="AD502" s="354">
        <f t="shared" si="509"/>
        <v>6.6989251014192428</v>
      </c>
      <c r="AE502" s="354">
        <f t="shared" si="510"/>
        <v>1.0676365045900842</v>
      </c>
      <c r="AF502" s="374">
        <f t="shared" si="511"/>
        <v>8.6789962302357839</v>
      </c>
      <c r="AG502" s="354">
        <f t="shared" si="512"/>
        <v>0.55777046627237625</v>
      </c>
      <c r="AH502" s="354">
        <f t="shared" si="513"/>
        <v>2.8063674411396762</v>
      </c>
      <c r="AI502" s="354">
        <f t="shared" si="514"/>
        <v>0</v>
      </c>
      <c r="AJ502" s="354">
        <f t="shared" si="515"/>
        <v>5.3148583228237323</v>
      </c>
      <c r="AK502" s="374">
        <f t="shared" si="516"/>
        <v>5.7324166109750241</v>
      </c>
      <c r="AL502" s="354">
        <f t="shared" si="517"/>
        <v>1.6423754108470601</v>
      </c>
      <c r="AM502" s="354">
        <f t="shared" si="518"/>
        <v>3.8736448113454265</v>
      </c>
      <c r="AN502" s="354">
        <f t="shared" si="519"/>
        <v>0.21639638878253767</v>
      </c>
      <c r="AO502" s="374">
        <f t="shared" si="520"/>
        <v>3.3239141473183338</v>
      </c>
      <c r="AP502" s="354">
        <f t="shared" si="521"/>
        <v>0.76220847613695297</v>
      </c>
      <c r="AQ502" s="354">
        <f t="shared" si="522"/>
        <v>2.561705671181381</v>
      </c>
      <c r="AR502" s="374">
        <f t="shared" si="523"/>
        <v>6.063787197319753</v>
      </c>
      <c r="AS502" s="354">
        <f t="shared" si="524"/>
        <v>2.6276448468372422</v>
      </c>
      <c r="AT502" s="354">
        <f t="shared" si="525"/>
        <v>3.4361423504825108</v>
      </c>
      <c r="AU502" s="355" t="s">
        <v>396</v>
      </c>
      <c r="AV502" s="354" t="s">
        <v>345</v>
      </c>
      <c r="AW502" s="353">
        <v>0</v>
      </c>
      <c r="AX502" s="353">
        <v>0</v>
      </c>
      <c r="AY502" s="353">
        <v>0</v>
      </c>
      <c r="AZ502" s="353">
        <v>0</v>
      </c>
      <c r="BA502" s="353">
        <v>0</v>
      </c>
      <c r="BB502" s="353">
        <v>0</v>
      </c>
    </row>
    <row r="503" spans="1:54" x14ac:dyDescent="0.25">
      <c r="A503" s="564" t="s">
        <v>1130</v>
      </c>
      <c r="B503" s="567">
        <v>57</v>
      </c>
      <c r="C503" s="569">
        <v>45161</v>
      </c>
      <c r="D503" s="567" t="s">
        <v>1114</v>
      </c>
      <c r="E503" s="567">
        <v>6176</v>
      </c>
      <c r="F503" s="567">
        <v>6</v>
      </c>
      <c r="G503" s="567" t="s">
        <v>325</v>
      </c>
      <c r="H503" s="564" t="s">
        <v>1131</v>
      </c>
      <c r="I503" s="564" t="s">
        <v>393</v>
      </c>
      <c r="J503" s="571">
        <v>96000</v>
      </c>
      <c r="K503" s="353" t="s">
        <v>394</v>
      </c>
      <c r="L503" s="353">
        <v>2801.6</v>
      </c>
      <c r="M503" s="560">
        <f t="shared" si="526"/>
        <v>34.266133637921186</v>
      </c>
      <c r="N503" s="354" t="s">
        <v>395</v>
      </c>
      <c r="O503" s="354">
        <v>0</v>
      </c>
      <c r="P503" s="374">
        <f t="shared" si="495"/>
        <v>2.1590451689421619</v>
      </c>
      <c r="Q503" s="354">
        <f t="shared" si="496"/>
        <v>0.20363089613703605</v>
      </c>
      <c r="R503" s="354">
        <f t="shared" si="497"/>
        <v>0.3432624653062355</v>
      </c>
      <c r="S503" s="354">
        <f t="shared" si="498"/>
        <v>0.30577360776636259</v>
      </c>
      <c r="T503" s="354">
        <f t="shared" si="499"/>
        <v>1.3048528081852844</v>
      </c>
      <c r="U503" s="374">
        <f t="shared" si="500"/>
        <v>8.6651850670698085</v>
      </c>
      <c r="V503" s="354">
        <f t="shared" si="501"/>
        <v>0.22937365429226672</v>
      </c>
      <c r="W503" s="354">
        <f t="shared" si="502"/>
        <v>7.8244104165959989</v>
      </c>
      <c r="X503" s="354">
        <f t="shared" si="503"/>
        <v>0.61140099618154375</v>
      </c>
      <c r="Y503" s="374">
        <f t="shared" si="504"/>
        <v>1.2703028794591076</v>
      </c>
      <c r="Z503" s="354">
        <f t="shared" si="505"/>
        <v>0.65529847705867306</v>
      </c>
      <c r="AA503" s="354">
        <f t="shared" si="506"/>
        <v>0.61500440240043452</v>
      </c>
      <c r="AB503" s="374">
        <f t="shared" si="507"/>
        <v>6.940167443506815</v>
      </c>
      <c r="AC503" s="354">
        <f t="shared" si="508"/>
        <v>1.9695680156608464</v>
      </c>
      <c r="AD503" s="354">
        <f t="shared" si="509"/>
        <v>4.2873120649083152</v>
      </c>
      <c r="AE503" s="354">
        <f t="shared" si="510"/>
        <v>0.68328736293765369</v>
      </c>
      <c r="AF503" s="374">
        <f t="shared" si="511"/>
        <v>5.5545575873509012</v>
      </c>
      <c r="AG503" s="354">
        <f t="shared" si="512"/>
        <v>0.35697309841432073</v>
      </c>
      <c r="AH503" s="354">
        <f t="shared" si="513"/>
        <v>1.7960751623293927</v>
      </c>
      <c r="AI503" s="354">
        <f t="shared" si="514"/>
        <v>0</v>
      </c>
      <c r="AJ503" s="354">
        <f t="shared" si="515"/>
        <v>3.4015093266071883</v>
      </c>
      <c r="AK503" s="374">
        <f t="shared" si="516"/>
        <v>3.6687466310240149</v>
      </c>
      <c r="AL503" s="354">
        <f t="shared" si="517"/>
        <v>1.0511202629421184</v>
      </c>
      <c r="AM503" s="354">
        <f t="shared" si="518"/>
        <v>2.4791326792610726</v>
      </c>
      <c r="AN503" s="354">
        <f t="shared" si="519"/>
        <v>0.13849368882082408</v>
      </c>
      <c r="AO503" s="374">
        <f t="shared" si="520"/>
        <v>2.1273050542837333</v>
      </c>
      <c r="AP503" s="354">
        <f t="shared" si="521"/>
        <v>0.48781342472764982</v>
      </c>
      <c r="AQ503" s="354">
        <f t="shared" si="522"/>
        <v>1.6394916295560835</v>
      </c>
      <c r="AR503" s="374">
        <f t="shared" si="523"/>
        <v>3.8808238062846416</v>
      </c>
      <c r="AS503" s="354">
        <f t="shared" si="524"/>
        <v>1.681692701975835</v>
      </c>
      <c r="AT503" s="354">
        <f t="shared" si="525"/>
        <v>2.1991311043088069</v>
      </c>
      <c r="AU503" s="355" t="s">
        <v>396</v>
      </c>
      <c r="AV503" s="354" t="s">
        <v>345</v>
      </c>
      <c r="AW503" s="353">
        <v>0</v>
      </c>
      <c r="AX503" s="353">
        <v>0</v>
      </c>
      <c r="AY503" s="353">
        <v>0</v>
      </c>
      <c r="AZ503" s="353">
        <v>0</v>
      </c>
      <c r="BA503" s="353">
        <v>0</v>
      </c>
      <c r="BB503" s="353">
        <v>0</v>
      </c>
    </row>
    <row r="504" spans="1:54" x14ac:dyDescent="0.25">
      <c r="A504" s="348" t="s">
        <v>1132</v>
      </c>
      <c r="B504" s="436">
        <v>38</v>
      </c>
      <c r="C504" s="569">
        <v>45161</v>
      </c>
      <c r="D504" s="351" t="s">
        <v>1037</v>
      </c>
      <c r="E504" s="352">
        <v>4325</v>
      </c>
      <c r="F504" s="352">
        <v>6</v>
      </c>
      <c r="G504" s="429" t="s">
        <v>300</v>
      </c>
      <c r="H504" s="350" t="s">
        <v>1133</v>
      </c>
      <c r="I504" s="350" t="s">
        <v>393</v>
      </c>
      <c r="J504" s="556">
        <v>4285.5</v>
      </c>
      <c r="K504" s="353" t="s">
        <v>394</v>
      </c>
      <c r="L504" s="353">
        <v>2801.6</v>
      </c>
      <c r="M504" s="560">
        <f t="shared" si="526"/>
        <v>1.5296616219303256</v>
      </c>
      <c r="N504" s="354" t="s">
        <v>395</v>
      </c>
      <c r="O504" s="354">
        <v>0</v>
      </c>
      <c r="P504" s="374">
        <f t="shared" si="495"/>
        <v>9.6381125744808699E-2</v>
      </c>
      <c r="Q504" s="354">
        <f t="shared" si="496"/>
        <v>9.0902104728673751E-3</v>
      </c>
      <c r="R504" s="354">
        <f t="shared" si="497"/>
        <v>1.532345099031117E-2</v>
      </c>
      <c r="S504" s="354">
        <f t="shared" si="498"/>
        <v>1.364992495919528E-2</v>
      </c>
      <c r="T504" s="354">
        <f t="shared" si="499"/>
        <v>5.8249444890396206E-2</v>
      </c>
      <c r="U504" s="374">
        <f t="shared" si="500"/>
        <v>0.38681927713466319</v>
      </c>
      <c r="V504" s="354">
        <f t="shared" si="501"/>
        <v>1.0239383286140718E-2</v>
      </c>
      <c r="W504" s="354">
        <f t="shared" si="502"/>
        <v>0.34928657125335577</v>
      </c>
      <c r="X504" s="354">
        <f t="shared" si="503"/>
        <v>2.729332259516673E-2</v>
      </c>
      <c r="Y504" s="374">
        <f t="shared" si="504"/>
        <v>5.6707114478354234E-2</v>
      </c>
      <c r="Z504" s="354">
        <f t="shared" si="505"/>
        <v>2.9252933577447331E-2</v>
      </c>
      <c r="AA504" s="354">
        <f t="shared" si="506"/>
        <v>2.7454180900906899E-2</v>
      </c>
      <c r="AB504" s="374">
        <f t="shared" si="507"/>
        <v>0.30981341228279646</v>
      </c>
      <c r="AC504" s="354">
        <f t="shared" si="508"/>
        <v>8.7922747199109988E-2</v>
      </c>
      <c r="AD504" s="354">
        <f t="shared" si="509"/>
        <v>0.19138829014754777</v>
      </c>
      <c r="AE504" s="354">
        <f t="shared" si="510"/>
        <v>3.0502374936138704E-2</v>
      </c>
      <c r="AF504" s="374">
        <f t="shared" si="511"/>
        <v>0.24795892229783636</v>
      </c>
      <c r="AG504" s="354">
        <f t="shared" si="512"/>
        <v>1.593550222140179E-2</v>
      </c>
      <c r="AH504" s="354">
        <f t="shared" si="513"/>
        <v>8.0177917793360559E-2</v>
      </c>
      <c r="AI504" s="354">
        <f t="shared" si="514"/>
        <v>0</v>
      </c>
      <c r="AJ504" s="354">
        <f t="shared" si="515"/>
        <v>0.15184550228307403</v>
      </c>
      <c r="AK504" s="374">
        <f t="shared" si="516"/>
        <v>0.16377514257555645</v>
      </c>
      <c r="AL504" s="354">
        <f t="shared" si="517"/>
        <v>4.6922665487900507E-2</v>
      </c>
      <c r="AM504" s="354">
        <f t="shared" si="518"/>
        <v>0.11067003226013884</v>
      </c>
      <c r="AN504" s="354">
        <f t="shared" si="519"/>
        <v>6.1824448275171013E-3</v>
      </c>
      <c r="AO504" s="374">
        <f t="shared" si="520"/>
        <v>9.4964227188884795E-2</v>
      </c>
      <c r="AP504" s="354">
        <f t="shared" si="521"/>
        <v>2.1776296163232747E-2</v>
      </c>
      <c r="AQ504" s="354">
        <f t="shared" si="522"/>
        <v>7.3187931025652048E-2</v>
      </c>
      <c r="AR504" s="374">
        <f t="shared" si="523"/>
        <v>0.17324240022742535</v>
      </c>
      <c r="AS504" s="354">
        <f t="shared" si="524"/>
        <v>7.5071813274140017E-2</v>
      </c>
      <c r="AT504" s="354">
        <f t="shared" si="525"/>
        <v>9.8170586953285344E-2</v>
      </c>
      <c r="AU504" s="355" t="s">
        <v>396</v>
      </c>
      <c r="AV504" s="354" t="s">
        <v>345</v>
      </c>
      <c r="AW504" s="353">
        <v>0</v>
      </c>
      <c r="AX504" s="353">
        <v>0</v>
      </c>
      <c r="AY504" s="353">
        <v>0</v>
      </c>
      <c r="AZ504" s="353">
        <v>0</v>
      </c>
      <c r="BA504" s="353">
        <v>0</v>
      </c>
      <c r="BB504" s="353">
        <v>0</v>
      </c>
    </row>
    <row r="505" spans="1:54" x14ac:dyDescent="0.25">
      <c r="A505" s="348" t="s">
        <v>1132</v>
      </c>
      <c r="B505" s="436">
        <v>38</v>
      </c>
      <c r="C505" s="569">
        <v>45161</v>
      </c>
      <c r="D505" s="351" t="s">
        <v>1037</v>
      </c>
      <c r="E505" s="352">
        <v>4325</v>
      </c>
      <c r="F505" s="352">
        <v>6</v>
      </c>
      <c r="G505" s="429" t="s">
        <v>301</v>
      </c>
      <c r="H505" s="350" t="s">
        <v>1134</v>
      </c>
      <c r="I505" s="350" t="s">
        <v>393</v>
      </c>
      <c r="J505" s="556">
        <v>187012</v>
      </c>
      <c r="K505" s="353" t="s">
        <v>394</v>
      </c>
      <c r="L505" s="353">
        <v>2801.6</v>
      </c>
      <c r="M505" s="560">
        <f t="shared" si="526"/>
        <v>66.751856082238717</v>
      </c>
      <c r="N505" s="354" t="s">
        <v>395</v>
      </c>
      <c r="O505" s="354">
        <v>0</v>
      </c>
      <c r="P505" s="374">
        <f t="shared" si="495"/>
        <v>4.2059099493147034</v>
      </c>
      <c r="Q505" s="354">
        <f t="shared" si="496"/>
        <v>0.39668147029561857</v>
      </c>
      <c r="R505" s="354">
        <f t="shared" si="497"/>
        <v>0.66868958501926778</v>
      </c>
      <c r="S505" s="354">
        <f t="shared" si="498"/>
        <v>0.59565972849586446</v>
      </c>
      <c r="T505" s="354">
        <f t="shared" si="499"/>
        <v>2.5419076392119413</v>
      </c>
      <c r="U505" s="374">
        <f t="shared" si="500"/>
        <v>16.880141560029781</v>
      </c>
      <c r="V505" s="354">
        <f t="shared" si="501"/>
        <v>0.44682943579693102</v>
      </c>
      <c r="W505" s="354">
        <f t="shared" si="502"/>
        <v>15.242277508629696</v>
      </c>
      <c r="X505" s="354">
        <f t="shared" si="503"/>
        <v>1.1910346156031548</v>
      </c>
      <c r="Y505" s="374">
        <f t="shared" si="504"/>
        <v>2.474602938472986</v>
      </c>
      <c r="Z505" s="354">
        <f t="shared" si="505"/>
        <v>1.2765487374135061</v>
      </c>
      <c r="AA505" s="354">
        <f t="shared" si="506"/>
        <v>1.1980542010594799</v>
      </c>
      <c r="AB505" s="374">
        <f t="shared" si="507"/>
        <v>13.519735353594756</v>
      </c>
      <c r="AC505" s="354">
        <f t="shared" si="508"/>
        <v>3.8368005598413149</v>
      </c>
      <c r="AD505" s="354">
        <f t="shared" si="509"/>
        <v>8.3518625404441025</v>
      </c>
      <c r="AE505" s="354">
        <f t="shared" si="510"/>
        <v>1.3310722533093386</v>
      </c>
      <c r="AF505" s="374">
        <f t="shared" si="511"/>
        <v>10.820509620059029</v>
      </c>
      <c r="AG505" s="354">
        <f t="shared" si="512"/>
        <v>0.69539846959019747</v>
      </c>
      <c r="AH505" s="354">
        <f t="shared" si="513"/>
        <v>3.498829252682754</v>
      </c>
      <c r="AI505" s="354">
        <f t="shared" si="514"/>
        <v>0</v>
      </c>
      <c r="AJ505" s="354">
        <f t="shared" si="515"/>
        <v>6.6262818977860789</v>
      </c>
      <c r="AK505" s="374">
        <f t="shared" si="516"/>
        <v>7.1468713016777405</v>
      </c>
      <c r="AL505" s="354">
        <f t="shared" si="517"/>
        <v>2.047626068888869</v>
      </c>
      <c r="AM505" s="354">
        <f t="shared" si="518"/>
        <v>4.8294537563955391</v>
      </c>
      <c r="AN505" s="354">
        <f t="shared" si="519"/>
        <v>0.26979147639333284</v>
      </c>
      <c r="AO505" s="374">
        <f t="shared" si="520"/>
        <v>4.1440788834553075</v>
      </c>
      <c r="AP505" s="354">
        <f t="shared" si="521"/>
        <v>0.95028087692882557</v>
      </c>
      <c r="AQ505" s="354">
        <f t="shared" si="522"/>
        <v>3.1937980065264822</v>
      </c>
      <c r="AR505" s="374">
        <f t="shared" si="523"/>
        <v>7.5600064756344105</v>
      </c>
      <c r="AS505" s="354">
        <f t="shared" si="524"/>
        <v>3.2760074539781754</v>
      </c>
      <c r="AT505" s="354">
        <f t="shared" si="525"/>
        <v>4.2839990216562356</v>
      </c>
      <c r="AU505" s="355" t="s">
        <v>396</v>
      </c>
      <c r="AV505" s="354" t="s">
        <v>345</v>
      </c>
      <c r="AW505" s="353">
        <v>0</v>
      </c>
      <c r="AX505" s="353">
        <v>0</v>
      </c>
      <c r="AY505" s="353">
        <v>0</v>
      </c>
      <c r="AZ505" s="353">
        <v>0</v>
      </c>
      <c r="BA505" s="353">
        <v>0</v>
      </c>
      <c r="BB505" s="353">
        <v>0</v>
      </c>
    </row>
    <row r="506" spans="1:54" x14ac:dyDescent="0.25">
      <c r="A506" s="348" t="s">
        <v>1132</v>
      </c>
      <c r="B506" s="436">
        <v>38</v>
      </c>
      <c r="C506" s="569">
        <v>45161</v>
      </c>
      <c r="D506" s="351" t="s">
        <v>1037</v>
      </c>
      <c r="E506" s="352">
        <v>4325</v>
      </c>
      <c r="F506" s="352">
        <v>6</v>
      </c>
      <c r="G506" s="429" t="s">
        <v>302</v>
      </c>
      <c r="H506" s="350" t="s">
        <v>1135</v>
      </c>
      <c r="I506" s="350" t="s">
        <v>393</v>
      </c>
      <c r="J506" s="556">
        <v>4285.5</v>
      </c>
      <c r="K506" s="353" t="s">
        <v>394</v>
      </c>
      <c r="L506" s="353">
        <v>2801.6</v>
      </c>
      <c r="M506" s="560">
        <f t="shared" si="526"/>
        <v>1.5296616219303256</v>
      </c>
      <c r="N506" s="354" t="s">
        <v>395</v>
      </c>
      <c r="O506" s="354">
        <v>0</v>
      </c>
      <c r="P506" s="374">
        <f t="shared" si="495"/>
        <v>9.6381125744808699E-2</v>
      </c>
      <c r="Q506" s="354">
        <f t="shared" si="496"/>
        <v>9.0902104728673751E-3</v>
      </c>
      <c r="R506" s="354">
        <f t="shared" si="497"/>
        <v>1.532345099031117E-2</v>
      </c>
      <c r="S506" s="354">
        <f t="shared" si="498"/>
        <v>1.364992495919528E-2</v>
      </c>
      <c r="T506" s="354">
        <f t="shared" si="499"/>
        <v>5.8249444890396206E-2</v>
      </c>
      <c r="U506" s="374">
        <f t="shared" si="500"/>
        <v>0.38681927713466319</v>
      </c>
      <c r="V506" s="354">
        <f t="shared" si="501"/>
        <v>1.0239383286140718E-2</v>
      </c>
      <c r="W506" s="354">
        <f t="shared" si="502"/>
        <v>0.34928657125335577</v>
      </c>
      <c r="X506" s="354">
        <f t="shared" si="503"/>
        <v>2.729332259516673E-2</v>
      </c>
      <c r="Y506" s="374">
        <f t="shared" si="504"/>
        <v>5.6707114478354234E-2</v>
      </c>
      <c r="Z506" s="354">
        <f t="shared" si="505"/>
        <v>2.9252933577447331E-2</v>
      </c>
      <c r="AA506" s="354">
        <f t="shared" si="506"/>
        <v>2.7454180900906899E-2</v>
      </c>
      <c r="AB506" s="374">
        <f t="shared" si="507"/>
        <v>0.30981341228279646</v>
      </c>
      <c r="AC506" s="354">
        <f t="shared" si="508"/>
        <v>8.7922747199109988E-2</v>
      </c>
      <c r="AD506" s="354">
        <f t="shared" si="509"/>
        <v>0.19138829014754777</v>
      </c>
      <c r="AE506" s="354">
        <f t="shared" si="510"/>
        <v>3.0502374936138704E-2</v>
      </c>
      <c r="AF506" s="374">
        <f t="shared" si="511"/>
        <v>0.24795892229783636</v>
      </c>
      <c r="AG506" s="354">
        <f t="shared" si="512"/>
        <v>1.593550222140179E-2</v>
      </c>
      <c r="AH506" s="354">
        <f t="shared" si="513"/>
        <v>8.0177917793360559E-2</v>
      </c>
      <c r="AI506" s="354">
        <f t="shared" si="514"/>
        <v>0</v>
      </c>
      <c r="AJ506" s="354">
        <f t="shared" si="515"/>
        <v>0.15184550228307403</v>
      </c>
      <c r="AK506" s="374">
        <f t="shared" si="516"/>
        <v>0.16377514257555645</v>
      </c>
      <c r="AL506" s="354">
        <f t="shared" si="517"/>
        <v>4.6922665487900507E-2</v>
      </c>
      <c r="AM506" s="354">
        <f t="shared" si="518"/>
        <v>0.11067003226013884</v>
      </c>
      <c r="AN506" s="354">
        <f t="shared" si="519"/>
        <v>6.1824448275171013E-3</v>
      </c>
      <c r="AO506" s="374">
        <f t="shared" si="520"/>
        <v>9.4964227188884795E-2</v>
      </c>
      <c r="AP506" s="354">
        <f t="shared" si="521"/>
        <v>2.1776296163232747E-2</v>
      </c>
      <c r="AQ506" s="354">
        <f t="shared" si="522"/>
        <v>7.3187931025652048E-2</v>
      </c>
      <c r="AR506" s="374">
        <f t="shared" si="523"/>
        <v>0.17324240022742535</v>
      </c>
      <c r="AS506" s="354">
        <f t="shared" si="524"/>
        <v>7.5071813274140017E-2</v>
      </c>
      <c r="AT506" s="354">
        <f t="shared" si="525"/>
        <v>9.8170586953285344E-2</v>
      </c>
      <c r="AU506" s="355" t="s">
        <v>396</v>
      </c>
      <c r="AV506" s="354" t="s">
        <v>345</v>
      </c>
      <c r="AW506" s="353">
        <v>0</v>
      </c>
      <c r="AX506" s="353">
        <v>0</v>
      </c>
      <c r="AY506" s="353">
        <v>0</v>
      </c>
      <c r="AZ506" s="353">
        <v>0</v>
      </c>
      <c r="BA506" s="353">
        <v>0</v>
      </c>
      <c r="BB506" s="353">
        <v>0</v>
      </c>
    </row>
    <row r="507" spans="1:54" x14ac:dyDescent="0.25">
      <c r="A507" s="348" t="s">
        <v>1136</v>
      </c>
      <c r="B507" s="436">
        <v>77</v>
      </c>
      <c r="C507" s="380">
        <v>45192</v>
      </c>
      <c r="D507" s="351" t="s">
        <v>1138</v>
      </c>
      <c r="E507" s="352">
        <v>6311</v>
      </c>
      <c r="F507" s="352">
        <v>6</v>
      </c>
      <c r="G507" s="429" t="s">
        <v>322</v>
      </c>
      <c r="H507" s="350" t="s">
        <v>1139</v>
      </c>
      <c r="I507" s="350" t="s">
        <v>393</v>
      </c>
      <c r="J507" s="556">
        <v>150000</v>
      </c>
      <c r="K507" s="353" t="s">
        <v>394</v>
      </c>
      <c r="L507" s="353">
        <v>2801.6</v>
      </c>
      <c r="M507" s="560">
        <f t="shared" si="526"/>
        <v>53.540833809251858</v>
      </c>
      <c r="N507" s="354" t="s">
        <v>395</v>
      </c>
      <c r="O507" s="354">
        <v>0</v>
      </c>
      <c r="P507" s="374">
        <f t="shared" si="495"/>
        <v>3.3735080764721279</v>
      </c>
      <c r="Q507" s="354">
        <f t="shared" si="496"/>
        <v>0.31817327521411881</v>
      </c>
      <c r="R507" s="354">
        <f t="shared" si="497"/>
        <v>0.53634760204099297</v>
      </c>
      <c r="S507" s="354">
        <f t="shared" si="498"/>
        <v>0.47777126213494153</v>
      </c>
      <c r="T507" s="354">
        <f t="shared" si="499"/>
        <v>2.0388325127895066</v>
      </c>
      <c r="U507" s="374">
        <f t="shared" si="500"/>
        <v>13.539351667296577</v>
      </c>
      <c r="V507" s="354">
        <f t="shared" si="501"/>
        <v>0.35839633483166677</v>
      </c>
      <c r="W507" s="354">
        <f t="shared" si="502"/>
        <v>12.225641275931249</v>
      </c>
      <c r="X507" s="354">
        <f t="shared" si="503"/>
        <v>0.9553140565336623</v>
      </c>
      <c r="Y507" s="374">
        <f t="shared" si="504"/>
        <v>1.9848482491548558</v>
      </c>
      <c r="Z507" s="354">
        <f t="shared" si="505"/>
        <v>1.0239038704041767</v>
      </c>
      <c r="AA507" s="354">
        <f t="shared" si="506"/>
        <v>0.96094437875067895</v>
      </c>
      <c r="AB507" s="374">
        <f t="shared" si="507"/>
        <v>10.8440116304794</v>
      </c>
      <c r="AC507" s="354">
        <f t="shared" si="508"/>
        <v>3.0774500244700729</v>
      </c>
      <c r="AD507" s="354">
        <f t="shared" si="509"/>
        <v>6.6989251014192428</v>
      </c>
      <c r="AE507" s="354">
        <f t="shared" si="510"/>
        <v>1.0676365045900842</v>
      </c>
      <c r="AF507" s="374">
        <f t="shared" si="511"/>
        <v>8.6789962302357839</v>
      </c>
      <c r="AG507" s="354">
        <f t="shared" si="512"/>
        <v>0.55777046627237625</v>
      </c>
      <c r="AH507" s="354">
        <f t="shared" si="513"/>
        <v>2.8063674411396762</v>
      </c>
      <c r="AI507" s="354">
        <f t="shared" si="514"/>
        <v>0</v>
      </c>
      <c r="AJ507" s="354">
        <f t="shared" si="515"/>
        <v>5.3148583228237323</v>
      </c>
      <c r="AK507" s="374">
        <f t="shared" si="516"/>
        <v>5.7324166109750241</v>
      </c>
      <c r="AL507" s="354">
        <f t="shared" si="517"/>
        <v>1.6423754108470601</v>
      </c>
      <c r="AM507" s="354">
        <f t="shared" si="518"/>
        <v>3.8736448113454265</v>
      </c>
      <c r="AN507" s="354">
        <f t="shared" si="519"/>
        <v>0.21639638878253767</v>
      </c>
      <c r="AO507" s="374">
        <f t="shared" si="520"/>
        <v>3.3239141473183338</v>
      </c>
      <c r="AP507" s="354">
        <f t="shared" si="521"/>
        <v>0.76220847613695297</v>
      </c>
      <c r="AQ507" s="354">
        <f t="shared" si="522"/>
        <v>2.561705671181381</v>
      </c>
      <c r="AR507" s="374">
        <f t="shared" si="523"/>
        <v>6.063787197319753</v>
      </c>
      <c r="AS507" s="354">
        <f t="shared" si="524"/>
        <v>2.6276448468372422</v>
      </c>
      <c r="AT507" s="354">
        <f t="shared" si="525"/>
        <v>3.4361423504825108</v>
      </c>
      <c r="AU507" s="355" t="s">
        <v>396</v>
      </c>
      <c r="AV507" s="354" t="s">
        <v>345</v>
      </c>
      <c r="AW507" s="353">
        <v>0</v>
      </c>
      <c r="AX507" s="353">
        <v>0</v>
      </c>
      <c r="AY507" s="353">
        <v>0</v>
      </c>
      <c r="AZ507" s="353">
        <v>0</v>
      </c>
      <c r="BA507" s="353">
        <v>0</v>
      </c>
      <c r="BB507" s="353">
        <v>0</v>
      </c>
    </row>
    <row r="508" spans="1:54" x14ac:dyDescent="0.25">
      <c r="A508" s="353" t="s">
        <v>1140</v>
      </c>
      <c r="B508" s="436">
        <v>75</v>
      </c>
      <c r="C508" s="380">
        <v>45192</v>
      </c>
      <c r="D508" s="351" t="s">
        <v>1138</v>
      </c>
      <c r="E508" s="352">
        <v>6176</v>
      </c>
      <c r="F508" s="352">
        <v>6</v>
      </c>
      <c r="G508" s="429" t="s">
        <v>328</v>
      </c>
      <c r="H508" s="350" t="s">
        <v>1141</v>
      </c>
      <c r="I508" s="350" t="s">
        <v>393</v>
      </c>
      <c r="J508" s="556">
        <v>27000</v>
      </c>
      <c r="K508" s="353" t="s">
        <v>394</v>
      </c>
      <c r="L508" s="353">
        <v>2801.6</v>
      </c>
      <c r="M508" s="560">
        <f t="shared" si="526"/>
        <v>9.637350085665334</v>
      </c>
      <c r="N508" s="354" t="s">
        <v>395</v>
      </c>
      <c r="O508" s="354">
        <v>0</v>
      </c>
      <c r="P508" s="374">
        <f t="shared" si="495"/>
        <v>0.607231453764983</v>
      </c>
      <c r="Q508" s="354">
        <f t="shared" si="496"/>
        <v>5.7271189538541385E-2</v>
      </c>
      <c r="R508" s="354">
        <f t="shared" si="497"/>
        <v>9.6542568367378734E-2</v>
      </c>
      <c r="S508" s="354">
        <f t="shared" si="498"/>
        <v>8.5998827184289472E-2</v>
      </c>
      <c r="T508" s="354">
        <f t="shared" si="499"/>
        <v>0.36698985230211117</v>
      </c>
      <c r="U508" s="374">
        <f t="shared" si="500"/>
        <v>2.4370833001133838</v>
      </c>
      <c r="V508" s="354">
        <f t="shared" si="501"/>
        <v>6.4511340269700013E-2</v>
      </c>
      <c r="W508" s="354">
        <f t="shared" si="502"/>
        <v>2.2006154296676246</v>
      </c>
      <c r="X508" s="354">
        <f t="shared" si="503"/>
        <v>0.17195653017605919</v>
      </c>
      <c r="Y508" s="374">
        <f t="shared" si="504"/>
        <v>0.35727268484787406</v>
      </c>
      <c r="Z508" s="354">
        <f t="shared" si="505"/>
        <v>0.18430269667275181</v>
      </c>
      <c r="AA508" s="354">
        <f t="shared" si="506"/>
        <v>0.17296998817512221</v>
      </c>
      <c r="AB508" s="374">
        <f t="shared" si="507"/>
        <v>1.951922093486292</v>
      </c>
      <c r="AC508" s="354">
        <f t="shared" si="508"/>
        <v>0.55394100440461314</v>
      </c>
      <c r="AD508" s="354">
        <f t="shared" si="509"/>
        <v>1.2058065182554636</v>
      </c>
      <c r="AE508" s="354">
        <f t="shared" si="510"/>
        <v>0.19217457082621514</v>
      </c>
      <c r="AF508" s="374">
        <f t="shared" si="511"/>
        <v>1.5622193214424411</v>
      </c>
      <c r="AG508" s="354">
        <f t="shared" si="512"/>
        <v>0.10039868392902772</v>
      </c>
      <c r="AH508" s="354">
        <f t="shared" si="513"/>
        <v>0.50514613940514175</v>
      </c>
      <c r="AI508" s="354">
        <f t="shared" si="514"/>
        <v>0</v>
      </c>
      <c r="AJ508" s="354">
        <f t="shared" si="515"/>
        <v>0.95667449810827176</v>
      </c>
      <c r="AK508" s="374">
        <f t="shared" si="516"/>
        <v>1.0318349899755044</v>
      </c>
      <c r="AL508" s="354">
        <f t="shared" si="517"/>
        <v>0.29562757395247086</v>
      </c>
      <c r="AM508" s="354">
        <f t="shared" si="518"/>
        <v>0.69725606604217683</v>
      </c>
      <c r="AN508" s="354">
        <f t="shared" si="519"/>
        <v>3.8951349980856781E-2</v>
      </c>
      <c r="AO508" s="374">
        <f t="shared" si="520"/>
        <v>0.59830454651730003</v>
      </c>
      <c r="AP508" s="354">
        <f t="shared" si="521"/>
        <v>0.13719752570465152</v>
      </c>
      <c r="AQ508" s="354">
        <f t="shared" si="522"/>
        <v>0.46110702081264854</v>
      </c>
      <c r="AR508" s="374">
        <f t="shared" si="523"/>
        <v>1.0914816955175555</v>
      </c>
      <c r="AS508" s="354">
        <f t="shared" si="524"/>
        <v>0.47297607243070361</v>
      </c>
      <c r="AT508" s="354">
        <f t="shared" si="525"/>
        <v>0.61850562308685197</v>
      </c>
      <c r="AU508" s="355" t="s">
        <v>396</v>
      </c>
      <c r="AV508" s="354" t="s">
        <v>345</v>
      </c>
      <c r="AW508" s="353">
        <v>0</v>
      </c>
      <c r="AX508" s="353">
        <v>0</v>
      </c>
      <c r="AY508" s="353">
        <v>0</v>
      </c>
      <c r="AZ508" s="353">
        <v>0</v>
      </c>
      <c r="BA508" s="353">
        <v>0</v>
      </c>
      <c r="BB508" s="353">
        <v>0</v>
      </c>
    </row>
    <row r="509" spans="1:54" x14ac:dyDescent="0.25">
      <c r="A509" s="353" t="s">
        <v>1140</v>
      </c>
      <c r="B509" s="436">
        <v>75</v>
      </c>
      <c r="C509" s="380">
        <v>45192</v>
      </c>
      <c r="D509" s="351" t="s">
        <v>1138</v>
      </c>
      <c r="E509" s="352">
        <v>6176</v>
      </c>
      <c r="F509" s="352">
        <v>6</v>
      </c>
      <c r="G509" s="429" t="s">
        <v>324</v>
      </c>
      <c r="H509" s="350" t="s">
        <v>1142</v>
      </c>
      <c r="I509" s="350" t="s">
        <v>393</v>
      </c>
      <c r="J509" s="556">
        <v>90000</v>
      </c>
      <c r="K509" s="353" t="s">
        <v>394</v>
      </c>
      <c r="L509" s="353">
        <v>2801.6</v>
      </c>
      <c r="M509" s="560">
        <f t="shared" si="526"/>
        <v>32.124500285551115</v>
      </c>
      <c r="N509" s="354" t="s">
        <v>395</v>
      </c>
      <c r="O509" s="354">
        <v>0</v>
      </c>
      <c r="P509" s="374">
        <f t="shared" si="495"/>
        <v>2.0241048458832767</v>
      </c>
      <c r="Q509" s="354">
        <f t="shared" si="496"/>
        <v>0.19090396512847127</v>
      </c>
      <c r="R509" s="354">
        <f t="shared" si="497"/>
        <v>0.32180856122459578</v>
      </c>
      <c r="S509" s="354">
        <f t="shared" si="498"/>
        <v>0.28666275728096491</v>
      </c>
      <c r="T509" s="354">
        <f t="shared" si="499"/>
        <v>1.2232995076737039</v>
      </c>
      <c r="U509" s="374">
        <f t="shared" si="500"/>
        <v>8.1236110003779451</v>
      </c>
      <c r="V509" s="354">
        <f t="shared" si="501"/>
        <v>0.21503780089900004</v>
      </c>
      <c r="W509" s="354">
        <f t="shared" si="502"/>
        <v>7.3353847655587483</v>
      </c>
      <c r="X509" s="354">
        <f t="shared" si="503"/>
        <v>0.57318843392019725</v>
      </c>
      <c r="Y509" s="374">
        <f t="shared" si="504"/>
        <v>1.1909089494929135</v>
      </c>
      <c r="Z509" s="354">
        <f t="shared" si="505"/>
        <v>0.61434232224250607</v>
      </c>
      <c r="AA509" s="354">
        <f t="shared" si="506"/>
        <v>0.57656662725040742</v>
      </c>
      <c r="AB509" s="374">
        <f t="shared" si="507"/>
        <v>6.5064069782876404</v>
      </c>
      <c r="AC509" s="354">
        <f t="shared" si="508"/>
        <v>1.8464700146820439</v>
      </c>
      <c r="AD509" s="354">
        <f t="shared" si="509"/>
        <v>4.019355060851546</v>
      </c>
      <c r="AE509" s="354">
        <f t="shared" si="510"/>
        <v>0.64058190275405047</v>
      </c>
      <c r="AF509" s="374">
        <f t="shared" si="511"/>
        <v>5.2073977381414709</v>
      </c>
      <c r="AG509" s="354">
        <f t="shared" si="512"/>
        <v>0.33466227976342577</v>
      </c>
      <c r="AH509" s="354">
        <f t="shared" si="513"/>
        <v>1.683820464683806</v>
      </c>
      <c r="AI509" s="354">
        <f t="shared" si="514"/>
        <v>0</v>
      </c>
      <c r="AJ509" s="354">
        <f t="shared" si="515"/>
        <v>3.1889149936942398</v>
      </c>
      <c r="AK509" s="374">
        <f t="shared" si="516"/>
        <v>3.4394499665850145</v>
      </c>
      <c r="AL509" s="354">
        <f t="shared" si="517"/>
        <v>0.98542524650823604</v>
      </c>
      <c r="AM509" s="354">
        <f t="shared" si="518"/>
        <v>2.3241868868072557</v>
      </c>
      <c r="AN509" s="354">
        <f t="shared" si="519"/>
        <v>0.12983783326952258</v>
      </c>
      <c r="AO509" s="374">
        <f t="shared" si="520"/>
        <v>1.9943484883910001</v>
      </c>
      <c r="AP509" s="354">
        <f t="shared" si="521"/>
        <v>0.45732508568217178</v>
      </c>
      <c r="AQ509" s="354">
        <f t="shared" si="522"/>
        <v>1.5370234027088283</v>
      </c>
      <c r="AR509" s="374">
        <f t="shared" si="523"/>
        <v>3.6382723183918517</v>
      </c>
      <c r="AS509" s="354">
        <f t="shared" si="524"/>
        <v>1.5765869081023454</v>
      </c>
      <c r="AT509" s="354">
        <f t="shared" si="525"/>
        <v>2.0616854102895066</v>
      </c>
      <c r="AU509" s="355" t="s">
        <v>396</v>
      </c>
      <c r="AV509" s="354" t="s">
        <v>345</v>
      </c>
      <c r="AW509" s="353">
        <v>0</v>
      </c>
      <c r="AX509" s="353">
        <v>0</v>
      </c>
      <c r="AY509" s="353">
        <v>0</v>
      </c>
      <c r="AZ509" s="353">
        <v>0</v>
      </c>
      <c r="BA509" s="353">
        <v>0</v>
      </c>
      <c r="BB509" s="353">
        <v>0</v>
      </c>
    </row>
    <row r="510" spans="1:54" x14ac:dyDescent="0.25">
      <c r="A510" s="353" t="s">
        <v>1143</v>
      </c>
      <c r="B510" s="436">
        <v>80</v>
      </c>
      <c r="C510" s="380">
        <v>45192</v>
      </c>
      <c r="D510" s="351" t="s">
        <v>1138</v>
      </c>
      <c r="E510" s="352">
        <v>6176</v>
      </c>
      <c r="F510" s="352">
        <v>6</v>
      </c>
      <c r="G510" s="429" t="s">
        <v>325</v>
      </c>
      <c r="H510" s="350" t="s">
        <v>326</v>
      </c>
      <c r="I510" s="350" t="s">
        <v>393</v>
      </c>
      <c r="J510" s="556">
        <v>98000</v>
      </c>
      <c r="K510" s="353" t="s">
        <v>394</v>
      </c>
      <c r="L510" s="353">
        <v>2801.6</v>
      </c>
      <c r="M510" s="560">
        <f t="shared" si="526"/>
        <v>34.980011422044548</v>
      </c>
      <c r="N510" s="354" t="s">
        <v>395</v>
      </c>
      <c r="O510" s="354">
        <v>0</v>
      </c>
      <c r="P510" s="374">
        <f t="shared" si="495"/>
        <v>2.2040252766284572</v>
      </c>
      <c r="Q510" s="354">
        <f t="shared" si="496"/>
        <v>0.20787320647322433</v>
      </c>
      <c r="R510" s="354">
        <f t="shared" si="497"/>
        <v>0.35041376666678209</v>
      </c>
      <c r="S510" s="354">
        <f t="shared" si="498"/>
        <v>0.31214389126149517</v>
      </c>
      <c r="T510" s="354">
        <f t="shared" si="499"/>
        <v>1.3320372416891446</v>
      </c>
      <c r="U510" s="374">
        <f t="shared" si="500"/>
        <v>8.8457097559670963</v>
      </c>
      <c r="V510" s="354">
        <f t="shared" si="501"/>
        <v>0.23415227209002226</v>
      </c>
      <c r="W510" s="354">
        <f t="shared" si="502"/>
        <v>7.9874189669417488</v>
      </c>
      <c r="X510" s="354">
        <f t="shared" si="503"/>
        <v>0.62413851693532596</v>
      </c>
      <c r="Y510" s="374">
        <f t="shared" si="504"/>
        <v>1.2967675227811726</v>
      </c>
      <c r="Z510" s="354">
        <f t="shared" si="505"/>
        <v>0.66895052866406224</v>
      </c>
      <c r="AA510" s="354">
        <f t="shared" si="506"/>
        <v>0.62781699411711034</v>
      </c>
      <c r="AB510" s="374">
        <f t="shared" si="507"/>
        <v>7.0847542652465414</v>
      </c>
      <c r="AC510" s="354">
        <f t="shared" si="508"/>
        <v>2.0106006826537812</v>
      </c>
      <c r="AD510" s="354">
        <f t="shared" si="509"/>
        <v>4.3766310662605719</v>
      </c>
      <c r="AE510" s="354">
        <f t="shared" si="510"/>
        <v>0.69752251633218831</v>
      </c>
      <c r="AF510" s="374">
        <f t="shared" si="511"/>
        <v>5.6702775370873795</v>
      </c>
      <c r="AG510" s="354">
        <f t="shared" si="512"/>
        <v>0.36441003796461918</v>
      </c>
      <c r="AH510" s="354">
        <f t="shared" si="513"/>
        <v>1.833493394877922</v>
      </c>
      <c r="AI510" s="354">
        <f t="shared" si="514"/>
        <v>0</v>
      </c>
      <c r="AJ510" s="354">
        <f t="shared" si="515"/>
        <v>3.4723741042448388</v>
      </c>
      <c r="AK510" s="374">
        <f t="shared" si="516"/>
        <v>3.7451788525036824</v>
      </c>
      <c r="AL510" s="354">
        <f t="shared" si="517"/>
        <v>1.0730186017534127</v>
      </c>
      <c r="AM510" s="354">
        <f t="shared" si="518"/>
        <v>2.5307812767456785</v>
      </c>
      <c r="AN510" s="354">
        <f t="shared" si="519"/>
        <v>0.14137897400459126</v>
      </c>
      <c r="AO510" s="374">
        <f t="shared" si="520"/>
        <v>2.1716239095813115</v>
      </c>
      <c r="AP510" s="354">
        <f t="shared" si="521"/>
        <v>0.49797620440947599</v>
      </c>
      <c r="AQ510" s="354">
        <f t="shared" si="522"/>
        <v>1.6736477051718355</v>
      </c>
      <c r="AR510" s="374">
        <f t="shared" si="523"/>
        <v>3.9616743022489054</v>
      </c>
      <c r="AS510" s="354">
        <f t="shared" si="524"/>
        <v>1.7167279666003317</v>
      </c>
      <c r="AT510" s="354">
        <f t="shared" si="525"/>
        <v>2.2449463356485739</v>
      </c>
      <c r="AU510" s="355" t="s">
        <v>396</v>
      </c>
      <c r="AV510" s="354" t="s">
        <v>345</v>
      </c>
      <c r="AW510" s="353">
        <v>0</v>
      </c>
      <c r="AX510" s="353">
        <v>0</v>
      </c>
      <c r="AY510" s="353">
        <v>0</v>
      </c>
      <c r="AZ510" s="353">
        <v>0</v>
      </c>
      <c r="BA510" s="353">
        <v>0</v>
      </c>
      <c r="BB510" s="353">
        <v>0</v>
      </c>
    </row>
    <row r="511" spans="1:54" x14ac:dyDescent="0.25">
      <c r="A511" s="348" t="s">
        <v>1144</v>
      </c>
      <c r="B511" s="436">
        <v>76</v>
      </c>
      <c r="C511" s="380">
        <v>45192</v>
      </c>
      <c r="D511" s="351" t="s">
        <v>1138</v>
      </c>
      <c r="E511" s="352">
        <v>6176</v>
      </c>
      <c r="F511" s="352">
        <v>6</v>
      </c>
      <c r="G511" s="429" t="s">
        <v>327</v>
      </c>
      <c r="H511" s="353" t="s">
        <v>333</v>
      </c>
      <c r="I511" s="350" t="s">
        <v>393</v>
      </c>
      <c r="J511" s="353">
        <v>45000</v>
      </c>
      <c r="K511" s="353" t="s">
        <v>394</v>
      </c>
      <c r="L511" s="353">
        <v>2801.6</v>
      </c>
      <c r="M511" s="560">
        <f t="shared" si="526"/>
        <v>16.062250142775557</v>
      </c>
      <c r="N511" s="354" t="s">
        <v>395</v>
      </c>
      <c r="O511" s="354">
        <v>0</v>
      </c>
      <c r="P511" s="374">
        <f t="shared" si="495"/>
        <v>1.0120524229416383</v>
      </c>
      <c r="Q511" s="354">
        <f t="shared" si="496"/>
        <v>9.5451982564235635E-2</v>
      </c>
      <c r="R511" s="354">
        <f t="shared" si="497"/>
        <v>0.16090428061229789</v>
      </c>
      <c r="S511" s="354">
        <f t="shared" si="498"/>
        <v>0.14333137864048245</v>
      </c>
      <c r="T511" s="354">
        <f t="shared" si="499"/>
        <v>0.61164975383685194</v>
      </c>
      <c r="U511" s="374">
        <f t="shared" si="500"/>
        <v>4.0618055001889726</v>
      </c>
      <c r="V511" s="354">
        <f t="shared" si="501"/>
        <v>0.10751890044950002</v>
      </c>
      <c r="W511" s="354">
        <f t="shared" si="502"/>
        <v>3.6676923827793741</v>
      </c>
      <c r="X511" s="354">
        <f t="shared" si="503"/>
        <v>0.28659421696009862</v>
      </c>
      <c r="Y511" s="374">
        <f t="shared" si="504"/>
        <v>0.59545447474645674</v>
      </c>
      <c r="Z511" s="354">
        <f t="shared" si="505"/>
        <v>0.30717116112125303</v>
      </c>
      <c r="AA511" s="354">
        <f t="shared" si="506"/>
        <v>0.28828331362520371</v>
      </c>
      <c r="AB511" s="374">
        <f t="shared" si="507"/>
        <v>3.2532034891438202</v>
      </c>
      <c r="AC511" s="354">
        <f t="shared" si="508"/>
        <v>0.92323500734102193</v>
      </c>
      <c r="AD511" s="354">
        <f t="shared" si="509"/>
        <v>2.009677530425773</v>
      </c>
      <c r="AE511" s="354">
        <f t="shared" si="510"/>
        <v>0.32029095137702523</v>
      </c>
      <c r="AF511" s="374">
        <f t="shared" si="511"/>
        <v>2.6036988690707354</v>
      </c>
      <c r="AG511" s="354">
        <f t="shared" si="512"/>
        <v>0.16733113988171289</v>
      </c>
      <c r="AH511" s="354">
        <f t="shared" si="513"/>
        <v>0.84191023234190299</v>
      </c>
      <c r="AI511" s="354">
        <f t="shared" si="514"/>
        <v>0</v>
      </c>
      <c r="AJ511" s="354">
        <f t="shared" si="515"/>
        <v>1.5944574968471199</v>
      </c>
      <c r="AK511" s="374">
        <f t="shared" si="516"/>
        <v>1.7197249832925072</v>
      </c>
      <c r="AL511" s="354">
        <f t="shared" si="517"/>
        <v>0.49271262325411802</v>
      </c>
      <c r="AM511" s="354">
        <f t="shared" si="518"/>
        <v>1.1620934434036279</v>
      </c>
      <c r="AN511" s="354">
        <f t="shared" si="519"/>
        <v>6.4918916634761292E-2</v>
      </c>
      <c r="AO511" s="374">
        <f t="shared" si="520"/>
        <v>0.99717424419550005</v>
      </c>
      <c r="AP511" s="354">
        <f t="shared" si="521"/>
        <v>0.22866254284108589</v>
      </c>
      <c r="AQ511" s="354">
        <f t="shared" si="522"/>
        <v>0.76851170135441416</v>
      </c>
      <c r="AR511" s="374">
        <f t="shared" si="523"/>
        <v>1.8191361591959259</v>
      </c>
      <c r="AS511" s="354">
        <f t="shared" si="524"/>
        <v>0.78829345405117268</v>
      </c>
      <c r="AT511" s="354">
        <f t="shared" si="525"/>
        <v>1.0308427051447533</v>
      </c>
      <c r="AU511" s="355" t="s">
        <v>396</v>
      </c>
      <c r="AV511" s="354" t="s">
        <v>345</v>
      </c>
      <c r="AW511" s="353">
        <v>0</v>
      </c>
      <c r="AX511" s="353">
        <v>0</v>
      </c>
      <c r="AY511" s="353">
        <v>0</v>
      </c>
      <c r="AZ511" s="353">
        <v>0</v>
      </c>
      <c r="BA511" s="353">
        <v>0</v>
      </c>
      <c r="BB511" s="353">
        <v>0</v>
      </c>
    </row>
    <row r="512" spans="1:54" x14ac:dyDescent="0.25">
      <c r="A512" s="348" t="s">
        <v>1145</v>
      </c>
      <c r="B512" s="436">
        <v>70</v>
      </c>
      <c r="C512" s="380">
        <v>45192</v>
      </c>
      <c r="D512" s="351" t="s">
        <v>1146</v>
      </c>
      <c r="E512" s="352">
        <v>421</v>
      </c>
      <c r="F512" s="352">
        <v>6</v>
      </c>
      <c r="G512" s="429" t="s">
        <v>300</v>
      </c>
      <c r="H512" s="564" t="s">
        <v>1147</v>
      </c>
      <c r="I512" s="350" t="s">
        <v>393</v>
      </c>
      <c r="J512" s="556">
        <v>295714</v>
      </c>
      <c r="K512" s="353" t="s">
        <v>394</v>
      </c>
      <c r="L512" s="353">
        <v>2801.6</v>
      </c>
      <c r="M512" s="560">
        <f t="shared" si="526"/>
        <v>105.55182752712736</v>
      </c>
      <c r="N512" s="354" t="s">
        <v>395</v>
      </c>
      <c r="O512" s="354">
        <v>0</v>
      </c>
      <c r="P512" s="374">
        <f t="shared" si="495"/>
        <v>6.6506237821725254</v>
      </c>
      <c r="Q512" s="354">
        <f t="shared" si="496"/>
        <v>0.62725527937778625</v>
      </c>
      <c r="R512" s="354">
        <f t="shared" si="497"/>
        <v>1.0573699652663346</v>
      </c>
      <c r="S512" s="354">
        <f t="shared" si="498"/>
        <v>0.94189100673981396</v>
      </c>
      <c r="T512" s="354">
        <f t="shared" si="499"/>
        <v>4.0194087845802411</v>
      </c>
      <c r="U512" s="374">
        <f t="shared" si="500"/>
        <v>26.691838926286266</v>
      </c>
      <c r="V512" s="354">
        <f t="shared" si="501"/>
        <v>0.70655209172274336</v>
      </c>
      <c r="W512" s="354">
        <f t="shared" si="502"/>
        <v>24.101955228471557</v>
      </c>
      <c r="X512" s="354">
        <f t="shared" si="503"/>
        <v>1.8833316060919694</v>
      </c>
      <c r="Y512" s="374">
        <f t="shared" si="504"/>
        <v>3.9129827676705271</v>
      </c>
      <c r="Z512" s="354">
        <f t="shared" si="505"/>
        <v>2.0185513942180049</v>
      </c>
      <c r="AA512" s="354">
        <f t="shared" si="506"/>
        <v>1.894431373452522</v>
      </c>
      <c r="AB512" s="374">
        <f t="shared" si="507"/>
        <v>21.378173701970567</v>
      </c>
      <c r="AC512" s="354">
        <f t="shared" si="508"/>
        <v>6.0669670435742873</v>
      </c>
      <c r="AD512" s="354">
        <f t="shared" si="509"/>
        <v>13.206439582940598</v>
      </c>
      <c r="AE512" s="354">
        <f t="shared" si="510"/>
        <v>2.1047670754556806</v>
      </c>
      <c r="AF512" s="374">
        <f t="shared" si="511"/>
        <v>17.110004608186298</v>
      </c>
      <c r="AG512" s="354">
        <f t="shared" si="512"/>
        <v>1.0996035710884631</v>
      </c>
      <c r="AH512" s="354">
        <f t="shared" si="513"/>
        <v>5.532547609927855</v>
      </c>
      <c r="AI512" s="354">
        <f t="shared" si="514"/>
        <v>0</v>
      </c>
      <c r="AJ512" s="354">
        <f t="shared" si="515"/>
        <v>10.477853427169981</v>
      </c>
      <c r="AK512" s="374">
        <f t="shared" si="516"/>
        <v>11.301038971319121</v>
      </c>
      <c r="AL512" s="354">
        <f t="shared" si="517"/>
        <v>3.2378226816215165</v>
      </c>
      <c r="AM512" s="354">
        <f t="shared" si="518"/>
        <v>7.6366066782813427</v>
      </c>
      <c r="AN512" s="354">
        <f t="shared" si="519"/>
        <v>0.42660961141626225</v>
      </c>
      <c r="AO512" s="374">
        <f t="shared" si="520"/>
        <v>6.5528529877339583</v>
      </c>
      <c r="AP512" s="354">
        <f t="shared" si="521"/>
        <v>1.5026381154157529</v>
      </c>
      <c r="AQ512" s="354">
        <f t="shared" si="522"/>
        <v>5.0502148723182057</v>
      </c>
      <c r="AR512" s="374">
        <f t="shared" si="523"/>
        <v>11.954311781788089</v>
      </c>
      <c r="AS512" s="354">
        <f t="shared" si="524"/>
        <v>5.1802091215841886</v>
      </c>
      <c r="AT512" s="354">
        <f t="shared" si="525"/>
        <v>6.7741026602039014</v>
      </c>
      <c r="AU512" s="355" t="s">
        <v>396</v>
      </c>
      <c r="AV512" s="354" t="s">
        <v>345</v>
      </c>
      <c r="AW512" s="353">
        <v>0</v>
      </c>
      <c r="AX512" s="353">
        <v>0</v>
      </c>
      <c r="AY512" s="353">
        <v>0</v>
      </c>
      <c r="AZ512" s="353">
        <v>0</v>
      </c>
      <c r="BA512" s="353">
        <v>0</v>
      </c>
      <c r="BB512" s="353">
        <v>0</v>
      </c>
    </row>
    <row r="513" spans="1:54" x14ac:dyDescent="0.25">
      <c r="A513" s="348" t="s">
        <v>1145</v>
      </c>
      <c r="B513" s="436">
        <v>70</v>
      </c>
      <c r="C513" s="380">
        <v>45192</v>
      </c>
      <c r="D513" s="351" t="s">
        <v>1146</v>
      </c>
      <c r="E513" s="352">
        <v>421</v>
      </c>
      <c r="F513" s="352">
        <v>6</v>
      </c>
      <c r="G513" s="429" t="s">
        <v>301</v>
      </c>
      <c r="H513" s="564" t="s">
        <v>1148</v>
      </c>
      <c r="I513" s="350" t="s">
        <v>393</v>
      </c>
      <c r="J513" s="556">
        <v>1299897</v>
      </c>
      <c r="K513" s="353" t="s">
        <v>394</v>
      </c>
      <c r="L513" s="353">
        <v>2801.6</v>
      </c>
      <c r="M513" s="560">
        <f t="shared" si="526"/>
        <v>463.98379497430039</v>
      </c>
      <c r="N513" s="354" t="s">
        <v>395</v>
      </c>
      <c r="O513" s="354">
        <v>0</v>
      </c>
      <c r="P513" s="374">
        <f t="shared" si="495"/>
        <v>29.234753520545929</v>
      </c>
      <c r="Q513" s="354">
        <f t="shared" si="496"/>
        <v>2.7572832395400493</v>
      </c>
      <c r="R513" s="354">
        <f t="shared" si="497"/>
        <v>4.647977592335204</v>
      </c>
      <c r="S513" s="354">
        <f t="shared" si="498"/>
        <v>4.14035620223616</v>
      </c>
      <c r="T513" s="354">
        <f t="shared" si="499"/>
        <v>17.668481779183608</v>
      </c>
      <c r="U513" s="374">
        <f t="shared" si="500"/>
        <v>117.33175076175878</v>
      </c>
      <c r="V513" s="354">
        <f t="shared" si="501"/>
        <v>3.1058554697245273</v>
      </c>
      <c r="W513" s="354">
        <f t="shared" si="502"/>
        <v>105.94716278439468</v>
      </c>
      <c r="X513" s="354">
        <f t="shared" si="503"/>
        <v>8.2787325076395852</v>
      </c>
      <c r="Y513" s="374">
        <f t="shared" si="504"/>
        <v>17.200655230210998</v>
      </c>
      <c r="Z513" s="354">
        <f t="shared" si="505"/>
        <v>8.8731304628451877</v>
      </c>
      <c r="AA513" s="354">
        <f t="shared" si="506"/>
        <v>8.3275247673658086</v>
      </c>
      <c r="AB513" s="374">
        <f t="shared" si="507"/>
        <v>93.973987909501872</v>
      </c>
      <c r="AC513" s="354">
        <f t="shared" si="508"/>
        <v>26.669120363057164</v>
      </c>
      <c r="AD513" s="354">
        <f t="shared" si="509"/>
        <v>58.052750950397133</v>
      </c>
      <c r="AE513" s="354">
        <f t="shared" si="510"/>
        <v>9.2521165960475766</v>
      </c>
      <c r="AF513" s="374">
        <f t="shared" si="511"/>
        <v>75.2120077512987</v>
      </c>
      <c r="AG513" s="354">
        <f t="shared" si="512"/>
        <v>4.8336277053070864</v>
      </c>
      <c r="AH513" s="354">
        <f t="shared" si="513"/>
        <v>24.319924117567609</v>
      </c>
      <c r="AI513" s="354">
        <f t="shared" si="514"/>
        <v>0</v>
      </c>
      <c r="AJ513" s="354">
        <f t="shared" si="515"/>
        <v>46.05845592842401</v>
      </c>
      <c r="AK513" s="374">
        <f t="shared" si="516"/>
        <v>49.677007702377338</v>
      </c>
      <c r="AL513" s="354">
        <f t="shared" si="517"/>
        <v>14.232792462892405</v>
      </c>
      <c r="AM513" s="354">
        <f t="shared" si="518"/>
        <v>33.568928462223241</v>
      </c>
      <c r="AN513" s="354">
        <f t="shared" si="519"/>
        <v>1.8752867772616957</v>
      </c>
      <c r="AO513" s="374">
        <f t="shared" si="520"/>
        <v>28.804973522377733</v>
      </c>
      <c r="AP513" s="354">
        <f t="shared" si="521"/>
        <v>6.6052834100333113</v>
      </c>
      <c r="AQ513" s="354">
        <f t="shared" si="522"/>
        <v>22.19969011234442</v>
      </c>
      <c r="AR513" s="374">
        <f t="shared" si="523"/>
        <v>52.54865857622903</v>
      </c>
      <c r="AS513" s="354">
        <f t="shared" si="524"/>
        <v>22.771117689794604</v>
      </c>
      <c r="AT513" s="354">
        <f t="shared" si="525"/>
        <v>29.77754088643443</v>
      </c>
      <c r="AU513" s="355" t="s">
        <v>396</v>
      </c>
      <c r="AV513" s="354" t="s">
        <v>345</v>
      </c>
      <c r="AW513" s="353">
        <v>0</v>
      </c>
      <c r="AX513" s="353">
        <v>0</v>
      </c>
      <c r="AY513" s="353">
        <v>0</v>
      </c>
      <c r="AZ513" s="353">
        <v>0</v>
      </c>
      <c r="BA513" s="353">
        <v>0</v>
      </c>
      <c r="BB513" s="353">
        <v>0</v>
      </c>
    </row>
    <row r="514" spans="1:54" x14ac:dyDescent="0.25">
      <c r="A514" s="348" t="s">
        <v>1145</v>
      </c>
      <c r="B514" s="436">
        <v>70</v>
      </c>
      <c r="C514" s="380">
        <v>45192</v>
      </c>
      <c r="D514" s="351" t="s">
        <v>1146</v>
      </c>
      <c r="E514" s="352">
        <v>421</v>
      </c>
      <c r="F514" s="352">
        <v>6</v>
      </c>
      <c r="G514" s="429" t="s">
        <v>302</v>
      </c>
      <c r="H514" s="564" t="s">
        <v>1149</v>
      </c>
      <c r="I514" s="350" t="s">
        <v>393</v>
      </c>
      <c r="J514" s="556">
        <v>295714</v>
      </c>
      <c r="K514" s="353" t="s">
        <v>394</v>
      </c>
      <c r="L514" s="353">
        <v>2801.6</v>
      </c>
      <c r="M514" s="560">
        <f t="shared" si="526"/>
        <v>105.55182752712736</v>
      </c>
      <c r="N514" s="354" t="s">
        <v>395</v>
      </c>
      <c r="O514" s="354">
        <v>0</v>
      </c>
      <c r="P514" s="374">
        <f t="shared" si="495"/>
        <v>6.6506237821725254</v>
      </c>
      <c r="Q514" s="354">
        <f t="shared" si="496"/>
        <v>0.62725527937778625</v>
      </c>
      <c r="R514" s="354">
        <f t="shared" si="497"/>
        <v>1.0573699652663346</v>
      </c>
      <c r="S514" s="354">
        <f t="shared" si="498"/>
        <v>0.94189100673981396</v>
      </c>
      <c r="T514" s="354">
        <f t="shared" si="499"/>
        <v>4.0194087845802411</v>
      </c>
      <c r="U514" s="374">
        <f t="shared" si="500"/>
        <v>26.691838926286266</v>
      </c>
      <c r="V514" s="354">
        <f t="shared" si="501"/>
        <v>0.70655209172274336</v>
      </c>
      <c r="W514" s="354">
        <f t="shared" si="502"/>
        <v>24.101955228471557</v>
      </c>
      <c r="X514" s="354">
        <f t="shared" si="503"/>
        <v>1.8833316060919694</v>
      </c>
      <c r="Y514" s="374">
        <f t="shared" si="504"/>
        <v>3.9129827676705271</v>
      </c>
      <c r="Z514" s="354">
        <f t="shared" si="505"/>
        <v>2.0185513942180049</v>
      </c>
      <c r="AA514" s="354">
        <f t="shared" si="506"/>
        <v>1.894431373452522</v>
      </c>
      <c r="AB514" s="374">
        <f t="shared" si="507"/>
        <v>21.378173701970567</v>
      </c>
      <c r="AC514" s="354">
        <f t="shared" si="508"/>
        <v>6.0669670435742873</v>
      </c>
      <c r="AD514" s="354">
        <f t="shared" si="509"/>
        <v>13.206439582940598</v>
      </c>
      <c r="AE514" s="354">
        <f t="shared" si="510"/>
        <v>2.1047670754556806</v>
      </c>
      <c r="AF514" s="374">
        <f t="shared" si="511"/>
        <v>17.110004608186298</v>
      </c>
      <c r="AG514" s="354">
        <f t="shared" si="512"/>
        <v>1.0996035710884631</v>
      </c>
      <c r="AH514" s="354">
        <f t="shared" si="513"/>
        <v>5.532547609927855</v>
      </c>
      <c r="AI514" s="354">
        <f t="shared" si="514"/>
        <v>0</v>
      </c>
      <c r="AJ514" s="354">
        <f t="shared" si="515"/>
        <v>10.477853427169981</v>
      </c>
      <c r="AK514" s="374">
        <f t="shared" si="516"/>
        <v>11.301038971319121</v>
      </c>
      <c r="AL514" s="354">
        <f t="shared" si="517"/>
        <v>3.2378226816215165</v>
      </c>
      <c r="AM514" s="354">
        <f t="shared" si="518"/>
        <v>7.6366066782813427</v>
      </c>
      <c r="AN514" s="354">
        <f t="shared" si="519"/>
        <v>0.42660961141626225</v>
      </c>
      <c r="AO514" s="374">
        <f t="shared" si="520"/>
        <v>6.5528529877339583</v>
      </c>
      <c r="AP514" s="354">
        <f t="shared" si="521"/>
        <v>1.5026381154157529</v>
      </c>
      <c r="AQ514" s="354">
        <f t="shared" si="522"/>
        <v>5.0502148723182057</v>
      </c>
      <c r="AR514" s="374">
        <f t="shared" si="523"/>
        <v>11.954311781788089</v>
      </c>
      <c r="AS514" s="354">
        <f t="shared" si="524"/>
        <v>5.1802091215841886</v>
      </c>
      <c r="AT514" s="354">
        <f t="shared" si="525"/>
        <v>6.7741026602039014</v>
      </c>
      <c r="AU514" s="355" t="s">
        <v>396</v>
      </c>
      <c r="AV514" s="354" t="s">
        <v>345</v>
      </c>
      <c r="AW514" s="353">
        <v>0</v>
      </c>
      <c r="AX514" s="353">
        <v>0</v>
      </c>
      <c r="AY514" s="353">
        <v>0</v>
      </c>
      <c r="AZ514" s="353">
        <v>0</v>
      </c>
      <c r="BA514" s="353">
        <v>0</v>
      </c>
      <c r="BB514" s="353">
        <v>0</v>
      </c>
    </row>
    <row r="515" spans="1:54" x14ac:dyDescent="0.25">
      <c r="A515" s="348" t="s">
        <v>1145</v>
      </c>
      <c r="B515" s="436">
        <v>70</v>
      </c>
      <c r="C515" s="380">
        <v>45192</v>
      </c>
      <c r="D515" s="351" t="s">
        <v>1146</v>
      </c>
      <c r="E515" s="352">
        <v>421</v>
      </c>
      <c r="F515" s="352">
        <v>6</v>
      </c>
      <c r="G515" s="429" t="s">
        <v>303</v>
      </c>
      <c r="H515" s="564" t="s">
        <v>1150</v>
      </c>
      <c r="I515" s="350" t="s">
        <v>393</v>
      </c>
      <c r="J515" s="556">
        <v>73458</v>
      </c>
      <c r="K515" s="353" t="s">
        <v>394</v>
      </c>
      <c r="L515" s="353">
        <v>2801.6</v>
      </c>
      <c r="M515" s="560">
        <f t="shared" si="526"/>
        <v>26.220017133066818</v>
      </c>
      <c r="N515" s="354" t="s">
        <v>395</v>
      </c>
      <c r="O515" s="354">
        <v>0</v>
      </c>
      <c r="P515" s="374">
        <f t="shared" si="495"/>
        <v>1.6520743752099305</v>
      </c>
      <c r="Q515" s="354">
        <f t="shared" si="496"/>
        <v>0.15581581633785827</v>
      </c>
      <c r="R515" s="354">
        <f t="shared" si="497"/>
        <v>0.26266014767151508</v>
      </c>
      <c r="S515" s="354">
        <f t="shared" si="498"/>
        <v>0.23397414249272358</v>
      </c>
      <c r="T515" s="354">
        <f t="shared" si="499"/>
        <v>0.99845705816327723</v>
      </c>
      <c r="U515" s="374">
        <f t="shared" si="500"/>
        <v>6.6304912985084785</v>
      </c>
      <c r="V515" s="354">
        <f t="shared" si="501"/>
        <v>0.17551385309376383</v>
      </c>
      <c r="W515" s="354">
        <f t="shared" si="502"/>
        <v>5.9871410456490501</v>
      </c>
      <c r="X515" s="354">
        <f t="shared" si="503"/>
        <v>0.46783639976566499</v>
      </c>
      <c r="Y515" s="374">
        <f t="shared" si="504"/>
        <v>0.97201988457611599</v>
      </c>
      <c r="Z515" s="354">
        <f t="shared" si="505"/>
        <v>0.50142620341433342</v>
      </c>
      <c r="AA515" s="354">
        <f t="shared" si="506"/>
        <v>0.47059368116178252</v>
      </c>
      <c r="AB515" s="374">
        <f t="shared" si="507"/>
        <v>5.3105293756783718</v>
      </c>
      <c r="AC515" s="354">
        <f t="shared" si="508"/>
        <v>1.507088825983484</v>
      </c>
      <c r="AD515" s="354">
        <f t="shared" si="509"/>
        <v>3.2805976006670314</v>
      </c>
      <c r="AE515" s="354">
        <f t="shared" si="510"/>
        <v>0.522842949027856</v>
      </c>
      <c r="AF515" s="374">
        <f t="shared" si="511"/>
        <v>4.2502780338710684</v>
      </c>
      <c r="AG515" s="354">
        <f t="shared" si="512"/>
        <v>0.27315135274290808</v>
      </c>
      <c r="AH515" s="354">
        <f t="shared" si="513"/>
        <v>1.3743342632749223</v>
      </c>
      <c r="AI515" s="354">
        <f t="shared" si="514"/>
        <v>0</v>
      </c>
      <c r="AJ515" s="354">
        <f t="shared" si="515"/>
        <v>2.6027924178532382</v>
      </c>
      <c r="AK515" s="374">
        <f t="shared" si="516"/>
        <v>2.8072790627266886</v>
      </c>
      <c r="AL515" s="354">
        <f t="shared" si="517"/>
        <v>0.80430408620002225</v>
      </c>
      <c r="AM515" s="354">
        <f t="shared" si="518"/>
        <v>1.8970013370120822</v>
      </c>
      <c r="AN515" s="354">
        <f t="shared" si="519"/>
        <v>0.10597363951458434</v>
      </c>
      <c r="AO515" s="374">
        <f t="shared" si="520"/>
        <v>1.6277872362247343</v>
      </c>
      <c r="AP515" s="354">
        <f t="shared" si="521"/>
        <v>0.37326873493378859</v>
      </c>
      <c r="AQ515" s="354">
        <f t="shared" si="522"/>
        <v>1.2545185012909457</v>
      </c>
      <c r="AR515" s="374">
        <f t="shared" si="523"/>
        <v>2.9695578662714293</v>
      </c>
      <c r="AS515" s="354">
        <f t="shared" si="524"/>
        <v>1.2868102343931342</v>
      </c>
      <c r="AT515" s="354">
        <f t="shared" si="525"/>
        <v>1.6827476318782952</v>
      </c>
      <c r="AU515" s="355" t="s">
        <v>396</v>
      </c>
      <c r="AV515" s="354" t="s">
        <v>345</v>
      </c>
      <c r="AW515" s="353">
        <v>0</v>
      </c>
      <c r="AX515" s="353">
        <v>0</v>
      </c>
      <c r="AY515" s="353">
        <v>0</v>
      </c>
      <c r="AZ515" s="353">
        <v>0</v>
      </c>
      <c r="BA515" s="353">
        <v>0</v>
      </c>
      <c r="BB515" s="353">
        <v>0</v>
      </c>
    </row>
    <row r="516" spans="1:54" x14ac:dyDescent="0.25">
      <c r="A516" s="348" t="s">
        <v>1145</v>
      </c>
      <c r="B516" s="436">
        <v>70</v>
      </c>
      <c r="C516" s="380">
        <v>45192</v>
      </c>
      <c r="D516" s="351" t="s">
        <v>1146</v>
      </c>
      <c r="E516" s="352">
        <v>421</v>
      </c>
      <c r="F516" s="352">
        <v>6</v>
      </c>
      <c r="G516" s="429" t="s">
        <v>304</v>
      </c>
      <c r="H516" s="564" t="s">
        <v>1151</v>
      </c>
      <c r="I516" s="350" t="s">
        <v>393</v>
      </c>
      <c r="J516" s="556">
        <v>126698</v>
      </c>
      <c r="K516" s="353" t="s">
        <v>394</v>
      </c>
      <c r="L516" s="353">
        <v>2801.6</v>
      </c>
      <c r="M516" s="560">
        <f t="shared" si="526"/>
        <v>45.223443746430611</v>
      </c>
      <c r="N516" s="354" t="s">
        <v>395</v>
      </c>
      <c r="O516" s="354">
        <v>0</v>
      </c>
      <c r="P516" s="374">
        <f t="shared" si="495"/>
        <v>2.8494448418191043</v>
      </c>
      <c r="Q516" s="354">
        <f t="shared" si="496"/>
        <v>0.26874611748718952</v>
      </c>
      <c r="R516" s="354">
        <f t="shared" si="497"/>
        <v>0.45302778988926484</v>
      </c>
      <c r="S516" s="354">
        <f t="shared" si="498"/>
        <v>0.40355108913315213</v>
      </c>
      <c r="T516" s="354">
        <f t="shared" si="499"/>
        <v>1.7221066780360328</v>
      </c>
      <c r="U516" s="374">
        <f t="shared" si="500"/>
        <v>11.436058516954278</v>
      </c>
      <c r="V516" s="354">
        <f t="shared" si="501"/>
        <v>0.30272065887001676</v>
      </c>
      <c r="W516" s="354">
        <f t="shared" si="502"/>
        <v>10.326428655852915</v>
      </c>
      <c r="X516" s="354">
        <f t="shared" si="503"/>
        <v>0.80690920223134621</v>
      </c>
      <c r="Y516" s="374">
        <f t="shared" si="504"/>
        <v>1.6765086898094794</v>
      </c>
      <c r="Z516" s="354">
        <f t="shared" si="505"/>
        <v>0.8648438171497892</v>
      </c>
      <c r="AA516" s="354">
        <f t="shared" si="506"/>
        <v>0.81166487265969012</v>
      </c>
      <c r="AB516" s="374">
        <f t="shared" si="507"/>
        <v>9.1594305703898602</v>
      </c>
      <c r="AC516" s="354">
        <f t="shared" si="508"/>
        <v>2.5993784213353952</v>
      </c>
      <c r="AD516" s="354">
        <f t="shared" si="509"/>
        <v>5.6582694166641012</v>
      </c>
      <c r="AE516" s="354">
        <f t="shared" si="510"/>
        <v>0.90178273239036311</v>
      </c>
      <c r="AF516" s="374">
        <f t="shared" si="511"/>
        <v>7.3307430958560893</v>
      </c>
      <c r="AG516" s="354">
        <f t="shared" si="512"/>
        <v>0.47112268357185016</v>
      </c>
      <c r="AH516" s="354">
        <f t="shared" si="513"/>
        <v>2.3704076137167647</v>
      </c>
      <c r="AI516" s="354">
        <f t="shared" si="514"/>
        <v>0</v>
      </c>
      <c r="AJ516" s="354">
        <f t="shared" si="515"/>
        <v>4.4892127985674746</v>
      </c>
      <c r="AK516" s="374">
        <f t="shared" si="516"/>
        <v>4.841904798515424</v>
      </c>
      <c r="AL516" s="354">
        <f t="shared" si="517"/>
        <v>1.3872378653566722</v>
      </c>
      <c r="AM516" s="354">
        <f t="shared" si="518"/>
        <v>3.2718870020522854</v>
      </c>
      <c r="AN516" s="354">
        <f t="shared" si="519"/>
        <v>0.18277993110646637</v>
      </c>
      <c r="AO516" s="374">
        <f t="shared" si="520"/>
        <v>2.8075551642462546</v>
      </c>
      <c r="AP516" s="354">
        <f t="shared" si="521"/>
        <v>0.64380193006399777</v>
      </c>
      <c r="AQ516" s="354">
        <f t="shared" si="522"/>
        <v>2.163753234182257</v>
      </c>
      <c r="AR516" s="374">
        <f t="shared" si="523"/>
        <v>5.1217980688401203</v>
      </c>
      <c r="AS516" s="354">
        <f t="shared" si="524"/>
        <v>2.2194489786972329</v>
      </c>
      <c r="AT516" s="354">
        <f t="shared" si="525"/>
        <v>2.9023490901428879</v>
      </c>
      <c r="AU516" s="355" t="s">
        <v>396</v>
      </c>
      <c r="AV516" s="354" t="s">
        <v>345</v>
      </c>
      <c r="AW516" s="353">
        <v>0</v>
      </c>
      <c r="AX516" s="353">
        <v>0</v>
      </c>
      <c r="AY516" s="353">
        <v>0</v>
      </c>
      <c r="AZ516" s="353">
        <v>0</v>
      </c>
      <c r="BA516" s="353">
        <v>0</v>
      </c>
      <c r="BB516" s="353">
        <v>0</v>
      </c>
    </row>
    <row r="517" spans="1:54" x14ac:dyDescent="0.25">
      <c r="A517" s="348" t="s">
        <v>1145</v>
      </c>
      <c r="B517" s="436">
        <v>70</v>
      </c>
      <c r="C517" s="380">
        <v>45192</v>
      </c>
      <c r="D517" s="351" t="s">
        <v>1146</v>
      </c>
      <c r="E517" s="352">
        <v>421</v>
      </c>
      <c r="F517" s="352">
        <v>6</v>
      </c>
      <c r="G517" s="429" t="s">
        <v>305</v>
      </c>
      <c r="H517" s="564" t="s">
        <v>1152</v>
      </c>
      <c r="I517" s="350" t="s">
        <v>393</v>
      </c>
      <c r="J517" s="556">
        <v>26422</v>
      </c>
      <c r="K517" s="353" t="s">
        <v>394</v>
      </c>
      <c r="L517" s="353">
        <v>2801.6</v>
      </c>
      <c r="M517" s="560">
        <f t="shared" si="526"/>
        <v>9.4310394060536833</v>
      </c>
      <c r="N517" s="354" t="s">
        <v>395</v>
      </c>
      <c r="O517" s="354">
        <v>0</v>
      </c>
      <c r="P517" s="374">
        <f t="shared" si="495"/>
        <v>0.59423220264364374</v>
      </c>
      <c r="Q517" s="354">
        <f t="shared" si="496"/>
        <v>5.6045161851382981E-2</v>
      </c>
      <c r="R517" s="354">
        <f t="shared" si="497"/>
        <v>9.4475842274180766E-2</v>
      </c>
      <c r="S517" s="354">
        <f t="shared" si="498"/>
        <v>8.4157815254196161E-2</v>
      </c>
      <c r="T517" s="354">
        <f t="shared" si="499"/>
        <v>0.35913355101949562</v>
      </c>
      <c r="U517" s="374">
        <f t="shared" si="500"/>
        <v>2.3849116650220674</v>
      </c>
      <c r="V517" s="354">
        <f t="shared" si="501"/>
        <v>6.3130319726148659E-2</v>
      </c>
      <c r="W517" s="354">
        <f t="shared" si="502"/>
        <v>2.1535059586177026</v>
      </c>
      <c r="X517" s="354">
        <f t="shared" si="503"/>
        <v>0.16827538667821615</v>
      </c>
      <c r="Y517" s="374">
        <f t="shared" si="504"/>
        <v>0.34962440292779734</v>
      </c>
      <c r="Z517" s="354">
        <f t="shared" si="505"/>
        <v>0.18035725375879438</v>
      </c>
      <c r="AA517" s="354">
        <f t="shared" si="506"/>
        <v>0.16926714916900293</v>
      </c>
      <c r="AB517" s="374">
        <f t="shared" si="507"/>
        <v>1.9101365020035113</v>
      </c>
      <c r="AC517" s="354">
        <f t="shared" si="508"/>
        <v>0.54208256364365504</v>
      </c>
      <c r="AD517" s="354">
        <f t="shared" si="509"/>
        <v>1.1799933268646614</v>
      </c>
      <c r="AE517" s="354">
        <f t="shared" si="510"/>
        <v>0.18806061149519468</v>
      </c>
      <c r="AF517" s="374">
        <f t="shared" si="511"/>
        <v>1.5287762559685991</v>
      </c>
      <c r="AG517" s="354">
        <f t="shared" si="512"/>
        <v>9.8249408398991489E-2</v>
      </c>
      <c r="AH517" s="354">
        <f t="shared" si="513"/>
        <v>0.49433227019861681</v>
      </c>
      <c r="AI517" s="354">
        <f t="shared" si="514"/>
        <v>0</v>
      </c>
      <c r="AJ517" s="354">
        <f t="shared" si="515"/>
        <v>0.93619457737099099</v>
      </c>
      <c r="AK517" s="374">
        <f t="shared" si="516"/>
        <v>1.0097460779678804</v>
      </c>
      <c r="AL517" s="354">
        <f t="shared" si="517"/>
        <v>0.28929895403600675</v>
      </c>
      <c r="AM517" s="354">
        <f t="shared" si="518"/>
        <v>0.68232962136912556</v>
      </c>
      <c r="AN517" s="354">
        <f t="shared" si="519"/>
        <v>3.8117502562748061E-2</v>
      </c>
      <c r="AO517" s="374">
        <f t="shared" si="520"/>
        <v>0.58549639733629999</v>
      </c>
      <c r="AP517" s="354">
        <f t="shared" si="521"/>
        <v>0.13426048237660379</v>
      </c>
      <c r="AQ517" s="354">
        <f t="shared" si="522"/>
        <v>0.45123591495969623</v>
      </c>
      <c r="AR517" s="374">
        <f t="shared" si="523"/>
        <v>1.0681159021838833</v>
      </c>
      <c r="AS517" s="354">
        <f t="shared" si="524"/>
        <v>0.46285088095422405</v>
      </c>
      <c r="AT517" s="354">
        <f t="shared" si="525"/>
        <v>0.60526502122965931</v>
      </c>
      <c r="AU517" s="355" t="s">
        <v>396</v>
      </c>
      <c r="AV517" s="354" t="s">
        <v>345</v>
      </c>
      <c r="AW517" s="353">
        <v>0</v>
      </c>
      <c r="AX517" s="353">
        <v>0</v>
      </c>
      <c r="AY517" s="353">
        <v>0</v>
      </c>
      <c r="AZ517" s="353">
        <v>0</v>
      </c>
      <c r="BA517" s="353">
        <v>0</v>
      </c>
      <c r="BB517" s="353">
        <v>0</v>
      </c>
    </row>
    <row r="518" spans="1:54" x14ac:dyDescent="0.25">
      <c r="A518" s="348" t="s">
        <v>1145</v>
      </c>
      <c r="B518" s="436">
        <v>70</v>
      </c>
      <c r="C518" s="380">
        <v>45192</v>
      </c>
      <c r="D518" s="351" t="s">
        <v>1146</v>
      </c>
      <c r="E518" s="352">
        <v>421</v>
      </c>
      <c r="F518" s="352">
        <v>6</v>
      </c>
      <c r="G518" s="429" t="s">
        <v>323</v>
      </c>
      <c r="H518" s="564" t="s">
        <v>1153</v>
      </c>
      <c r="I518" s="350" t="s">
        <v>393</v>
      </c>
      <c r="J518" s="556">
        <v>133769</v>
      </c>
      <c r="K518" s="353" t="s">
        <v>394</v>
      </c>
      <c r="L518" s="353">
        <v>2801.6</v>
      </c>
      <c r="M518" s="560">
        <f t="shared" si="526"/>
        <v>47.747358652198749</v>
      </c>
      <c r="N518" s="354" t="s">
        <v>395</v>
      </c>
      <c r="O518" s="354">
        <v>0</v>
      </c>
      <c r="P518" s="374">
        <f t="shared" ref="P518:P523" si="527">M518*$P$2</f>
        <v>3.0084720125440008</v>
      </c>
      <c r="Q518" s="354">
        <f t="shared" ref="Q518:Q523" si="528">P518*$Q$2</f>
        <v>0.28374480568078309</v>
      </c>
      <c r="R518" s="354">
        <f t="shared" ref="R518:R523" si="529">P518*$R$2</f>
        <v>0.47831121584947728</v>
      </c>
      <c r="S518" s="354">
        <f t="shared" ref="S518:S523" si="530">P518*$S$2</f>
        <v>0.4260732264301933</v>
      </c>
      <c r="T518" s="354">
        <f t="shared" ref="T518:T523" si="531">P518*$T$2</f>
        <v>1.8182172426889303</v>
      </c>
      <c r="U518" s="374">
        <f t="shared" ref="U518:U523" si="532">M518*$U$2</f>
        <v>12.074303554550639</v>
      </c>
      <c r="V518" s="354">
        <f t="shared" ref="V518:V523" si="533">U518*$V$2</f>
        <v>0.31961546209398156</v>
      </c>
      <c r="W518" s="354">
        <f t="shared" ref="W518:W523" si="534">U518*$W$2</f>
        <v>10.902745385600316</v>
      </c>
      <c r="X518" s="354">
        <f t="shared" ref="X518:X523" si="535">U518*$X$2</f>
        <v>0.8519427068563431</v>
      </c>
      <c r="Y518" s="374">
        <f t="shared" ref="Y518:Y523" si="536">M518*$Y$2</f>
        <v>1.7700744362746395</v>
      </c>
      <c r="Z518" s="354">
        <f t="shared" ref="Z518:Z523" si="537">Y518*$Z$2</f>
        <v>0.91311064560064215</v>
      </c>
      <c r="AA518" s="354">
        <f t="shared" ref="AA518:AA523" si="538">Y518*$AA$2</f>
        <v>0.85696379067399719</v>
      </c>
      <c r="AB518" s="374">
        <f t="shared" ref="AB518:AB523" si="539">M518*$AB$2</f>
        <v>9.6706172786506599</v>
      </c>
      <c r="AC518" s="354">
        <f t="shared" ref="AC518:AC523" si="540">AB518*$AC$2</f>
        <v>2.7444494154889147</v>
      </c>
      <c r="AD518" s="354">
        <f t="shared" ref="AD518:AD523" si="541">AB518*$AD$2</f>
        <v>5.9740567459450054</v>
      </c>
      <c r="AE518" s="354">
        <f t="shared" ref="AE518:AE523" si="542">AB518*$AE$2</f>
        <v>0.9521111172167398</v>
      </c>
      <c r="AF518" s="374">
        <f t="shared" ref="AF518:AF523" si="543">M518*$AF$2</f>
        <v>7.7398709781494048</v>
      </c>
      <c r="AG518" s="354">
        <f t="shared" ref="AG518:AG523" si="544">AF518*$AG$2</f>
        <v>0.49741598335192999</v>
      </c>
      <c r="AH518" s="354">
        <f t="shared" ref="AH518:AH523" si="545">AF518*$AH$2</f>
        <v>2.5026997748920894</v>
      </c>
      <c r="AI518" s="354">
        <f t="shared" ref="AI518:AI523" si="546">AF518*$AI$2</f>
        <v>0</v>
      </c>
      <c r="AJ518" s="354">
        <f t="shared" ref="AJ518:AJ523" si="547">AF518*$AJ$2</f>
        <v>4.7397552199053861</v>
      </c>
      <c r="AK518" s="374">
        <f t="shared" ref="AK518:AK523" si="548">M518*$AK$2</f>
        <v>5.1121309175567866</v>
      </c>
      <c r="AL518" s="354">
        <f t="shared" ref="AL518:AL523" si="549">AK518*$AL$2</f>
        <v>1.4646594422240025</v>
      </c>
      <c r="AM518" s="354">
        <f t="shared" ref="AM518:AM523" si="550">AK518*$AM$2</f>
        <v>3.4544906184591091</v>
      </c>
      <c r="AN518" s="354">
        <f t="shared" ref="AN518:AN523" si="551">AK518*$AN$2</f>
        <v>0.19298085687367519</v>
      </c>
      <c r="AO518" s="374">
        <f t="shared" ref="AO518:AO523" si="552">M518*$AO$2</f>
        <v>2.9642444771508414</v>
      </c>
      <c r="AP518" s="354">
        <f t="shared" ref="AP518:AP523" si="553">AO518*$AP$2</f>
        <v>0.67973243762909386</v>
      </c>
      <c r="AQ518" s="354">
        <f t="shared" ref="AQ518:AQ523" si="554">AO518*$AQ$2</f>
        <v>2.2845120395217475</v>
      </c>
      <c r="AR518" s="374">
        <f t="shared" ref="AR518:AR523" si="555">M518*$AR$2</f>
        <v>5.4076449973217739</v>
      </c>
      <c r="AS518" s="354">
        <f t="shared" ref="AS518:AS521" si="556">AR518*$AS$2</f>
        <v>2.3433161567771408</v>
      </c>
      <c r="AT518" s="354">
        <f t="shared" ref="AT518:AT521" si="557">AR518*$AT$2</f>
        <v>3.0643288405446336</v>
      </c>
      <c r="AU518" s="355" t="s">
        <v>396</v>
      </c>
      <c r="AV518" s="354" t="s">
        <v>345</v>
      </c>
      <c r="AW518" s="353">
        <v>0</v>
      </c>
      <c r="AX518" s="353">
        <v>0</v>
      </c>
      <c r="AY518" s="353">
        <v>0</v>
      </c>
      <c r="AZ518" s="353">
        <v>0</v>
      </c>
      <c r="BA518" s="353">
        <v>0</v>
      </c>
      <c r="BB518" s="353">
        <v>0</v>
      </c>
    </row>
    <row r="519" spans="1:54" x14ac:dyDescent="0.25">
      <c r="A519" s="348" t="s">
        <v>1145</v>
      </c>
      <c r="B519" s="436">
        <v>70</v>
      </c>
      <c r="C519" s="380">
        <v>45192</v>
      </c>
      <c r="D519" s="351" t="s">
        <v>1146</v>
      </c>
      <c r="E519" s="352">
        <v>421</v>
      </c>
      <c r="F519" s="352">
        <v>6</v>
      </c>
      <c r="G519" s="429" t="s">
        <v>323</v>
      </c>
      <c r="H519" s="564" t="s">
        <v>1154</v>
      </c>
      <c r="I519" s="350" t="s">
        <v>393</v>
      </c>
      <c r="J519" s="556">
        <v>150000</v>
      </c>
      <c r="K519" s="353" t="s">
        <v>394</v>
      </c>
      <c r="L519" s="353">
        <v>2801.6</v>
      </c>
      <c r="M519" s="560">
        <f t="shared" si="526"/>
        <v>53.540833809251858</v>
      </c>
      <c r="N519" s="354" t="s">
        <v>395</v>
      </c>
      <c r="O519" s="354">
        <v>0</v>
      </c>
      <c r="P519" s="374">
        <f t="shared" si="527"/>
        <v>3.3735080764721279</v>
      </c>
      <c r="Q519" s="354">
        <f t="shared" si="528"/>
        <v>0.31817327521411881</v>
      </c>
      <c r="R519" s="354">
        <f t="shared" si="529"/>
        <v>0.53634760204099297</v>
      </c>
      <c r="S519" s="354">
        <f t="shared" si="530"/>
        <v>0.47777126213494153</v>
      </c>
      <c r="T519" s="354">
        <f t="shared" si="531"/>
        <v>2.0388325127895066</v>
      </c>
      <c r="U519" s="374">
        <f t="shared" si="532"/>
        <v>13.539351667296577</v>
      </c>
      <c r="V519" s="354">
        <f t="shared" si="533"/>
        <v>0.35839633483166677</v>
      </c>
      <c r="W519" s="354">
        <f t="shared" si="534"/>
        <v>12.225641275931249</v>
      </c>
      <c r="X519" s="354">
        <f t="shared" si="535"/>
        <v>0.9553140565336623</v>
      </c>
      <c r="Y519" s="374">
        <f t="shared" si="536"/>
        <v>1.9848482491548558</v>
      </c>
      <c r="Z519" s="354">
        <f t="shared" si="537"/>
        <v>1.0239038704041767</v>
      </c>
      <c r="AA519" s="354">
        <f t="shared" si="538"/>
        <v>0.96094437875067895</v>
      </c>
      <c r="AB519" s="374">
        <f t="shared" si="539"/>
        <v>10.8440116304794</v>
      </c>
      <c r="AC519" s="354">
        <f t="shared" si="540"/>
        <v>3.0774500244700729</v>
      </c>
      <c r="AD519" s="354">
        <f t="shared" si="541"/>
        <v>6.6989251014192428</v>
      </c>
      <c r="AE519" s="354">
        <f t="shared" si="542"/>
        <v>1.0676365045900842</v>
      </c>
      <c r="AF519" s="374">
        <f t="shared" si="543"/>
        <v>8.6789962302357839</v>
      </c>
      <c r="AG519" s="354">
        <f t="shared" si="544"/>
        <v>0.55777046627237625</v>
      </c>
      <c r="AH519" s="354">
        <f t="shared" si="545"/>
        <v>2.8063674411396762</v>
      </c>
      <c r="AI519" s="354">
        <f t="shared" si="546"/>
        <v>0</v>
      </c>
      <c r="AJ519" s="354">
        <f t="shared" si="547"/>
        <v>5.3148583228237323</v>
      </c>
      <c r="AK519" s="374">
        <f t="shared" si="548"/>
        <v>5.7324166109750241</v>
      </c>
      <c r="AL519" s="354">
        <f t="shared" si="549"/>
        <v>1.6423754108470601</v>
      </c>
      <c r="AM519" s="354">
        <f t="shared" si="550"/>
        <v>3.8736448113454265</v>
      </c>
      <c r="AN519" s="354">
        <f t="shared" si="551"/>
        <v>0.21639638878253767</v>
      </c>
      <c r="AO519" s="374">
        <f t="shared" si="552"/>
        <v>3.3239141473183338</v>
      </c>
      <c r="AP519" s="354">
        <f t="shared" si="553"/>
        <v>0.76220847613695297</v>
      </c>
      <c r="AQ519" s="354">
        <f t="shared" si="554"/>
        <v>2.561705671181381</v>
      </c>
      <c r="AR519" s="374">
        <f t="shared" si="555"/>
        <v>6.063787197319753</v>
      </c>
      <c r="AS519" s="354">
        <f t="shared" si="556"/>
        <v>2.6276448468372422</v>
      </c>
      <c r="AT519" s="354">
        <f t="shared" si="557"/>
        <v>3.4361423504825108</v>
      </c>
      <c r="AU519" s="355" t="s">
        <v>396</v>
      </c>
      <c r="AV519" s="354" t="s">
        <v>345</v>
      </c>
      <c r="AW519" s="353">
        <v>0</v>
      </c>
      <c r="AX519" s="353">
        <v>0</v>
      </c>
      <c r="AY519" s="353">
        <v>0</v>
      </c>
      <c r="AZ519" s="353">
        <v>0</v>
      </c>
      <c r="BA519" s="353">
        <v>0</v>
      </c>
      <c r="BB519" s="353">
        <v>0</v>
      </c>
    </row>
    <row r="520" spans="1:54" x14ac:dyDescent="0.25">
      <c r="A520" s="348" t="s">
        <v>1132</v>
      </c>
      <c r="B520" s="436">
        <v>84</v>
      </c>
      <c r="C520" s="380">
        <v>45192</v>
      </c>
      <c r="D520" s="351" t="s">
        <v>1037</v>
      </c>
      <c r="E520" s="352">
        <v>4325</v>
      </c>
      <c r="F520" s="352">
        <v>6</v>
      </c>
      <c r="G520" s="429" t="s">
        <v>300</v>
      </c>
      <c r="H520" s="350" t="s">
        <v>1155</v>
      </c>
      <c r="I520" s="350" t="s">
        <v>393</v>
      </c>
      <c r="J520" s="556">
        <v>4285.5</v>
      </c>
      <c r="K520" s="353" t="s">
        <v>394</v>
      </c>
      <c r="L520" s="353">
        <v>2801.6</v>
      </c>
      <c r="M520" s="560">
        <f t="shared" si="526"/>
        <v>1.5296616219303256</v>
      </c>
      <c r="N520" s="354" t="s">
        <v>395</v>
      </c>
      <c r="O520" s="354">
        <v>0</v>
      </c>
      <c r="P520" s="374">
        <f t="shared" si="527"/>
        <v>9.6381125744808699E-2</v>
      </c>
      <c r="Q520" s="354">
        <f t="shared" si="528"/>
        <v>9.0902104728673751E-3</v>
      </c>
      <c r="R520" s="354">
        <f t="shared" si="529"/>
        <v>1.532345099031117E-2</v>
      </c>
      <c r="S520" s="354">
        <f t="shared" si="530"/>
        <v>1.364992495919528E-2</v>
      </c>
      <c r="T520" s="354">
        <f t="shared" si="531"/>
        <v>5.8249444890396206E-2</v>
      </c>
      <c r="U520" s="374">
        <f t="shared" si="532"/>
        <v>0.38681927713466319</v>
      </c>
      <c r="V520" s="354">
        <f t="shared" si="533"/>
        <v>1.0239383286140718E-2</v>
      </c>
      <c r="W520" s="354">
        <f t="shared" si="534"/>
        <v>0.34928657125335577</v>
      </c>
      <c r="X520" s="354">
        <f t="shared" si="535"/>
        <v>2.729332259516673E-2</v>
      </c>
      <c r="Y520" s="374">
        <f t="shared" si="536"/>
        <v>5.6707114478354234E-2</v>
      </c>
      <c r="Z520" s="354">
        <f t="shared" si="537"/>
        <v>2.9252933577447331E-2</v>
      </c>
      <c r="AA520" s="354">
        <f t="shared" si="538"/>
        <v>2.7454180900906899E-2</v>
      </c>
      <c r="AB520" s="374">
        <f t="shared" si="539"/>
        <v>0.30981341228279646</v>
      </c>
      <c r="AC520" s="354">
        <f t="shared" si="540"/>
        <v>8.7922747199109988E-2</v>
      </c>
      <c r="AD520" s="354">
        <f t="shared" si="541"/>
        <v>0.19138829014754777</v>
      </c>
      <c r="AE520" s="354">
        <f t="shared" si="542"/>
        <v>3.0502374936138704E-2</v>
      </c>
      <c r="AF520" s="374">
        <f t="shared" si="543"/>
        <v>0.24795892229783636</v>
      </c>
      <c r="AG520" s="354">
        <f t="shared" si="544"/>
        <v>1.593550222140179E-2</v>
      </c>
      <c r="AH520" s="354">
        <f t="shared" si="545"/>
        <v>8.0177917793360559E-2</v>
      </c>
      <c r="AI520" s="354">
        <f t="shared" si="546"/>
        <v>0</v>
      </c>
      <c r="AJ520" s="354">
        <f t="shared" si="547"/>
        <v>0.15184550228307403</v>
      </c>
      <c r="AK520" s="374">
        <f t="shared" si="548"/>
        <v>0.16377514257555645</v>
      </c>
      <c r="AL520" s="354">
        <f t="shared" si="549"/>
        <v>4.6922665487900507E-2</v>
      </c>
      <c r="AM520" s="354">
        <f t="shared" si="550"/>
        <v>0.11067003226013884</v>
      </c>
      <c r="AN520" s="354">
        <f t="shared" si="551"/>
        <v>6.1824448275171013E-3</v>
      </c>
      <c r="AO520" s="374">
        <f t="shared" si="552"/>
        <v>9.4964227188884795E-2</v>
      </c>
      <c r="AP520" s="354">
        <f t="shared" si="553"/>
        <v>2.1776296163232747E-2</v>
      </c>
      <c r="AQ520" s="354">
        <f t="shared" si="554"/>
        <v>7.3187931025652048E-2</v>
      </c>
      <c r="AR520" s="374">
        <f t="shared" si="555"/>
        <v>0.17324240022742535</v>
      </c>
      <c r="AS520" s="354">
        <f t="shared" si="556"/>
        <v>7.5071813274140017E-2</v>
      </c>
      <c r="AT520" s="354">
        <f t="shared" si="557"/>
        <v>9.8170586953285344E-2</v>
      </c>
      <c r="AU520" s="355" t="s">
        <v>396</v>
      </c>
      <c r="AV520" s="354" t="s">
        <v>345</v>
      </c>
      <c r="AW520" s="353">
        <v>0</v>
      </c>
      <c r="AX520" s="353">
        <v>0</v>
      </c>
      <c r="AY520" s="353">
        <v>0</v>
      </c>
      <c r="AZ520" s="353">
        <v>0</v>
      </c>
      <c r="BA520" s="353">
        <v>0</v>
      </c>
      <c r="BB520" s="353">
        <v>0</v>
      </c>
    </row>
    <row r="521" spans="1:54" x14ac:dyDescent="0.25">
      <c r="A521" s="348" t="s">
        <v>1132</v>
      </c>
      <c r="B521" s="436">
        <v>84</v>
      </c>
      <c r="C521" s="380">
        <v>45192</v>
      </c>
      <c r="D521" s="351" t="s">
        <v>1037</v>
      </c>
      <c r="E521" s="352">
        <v>4325</v>
      </c>
      <c r="F521" s="352">
        <v>6</v>
      </c>
      <c r="G521" s="429" t="s">
        <v>301</v>
      </c>
      <c r="H521" s="350" t="s">
        <v>1156</v>
      </c>
      <c r="I521" s="350" t="s">
        <v>393</v>
      </c>
      <c r="J521" s="556">
        <v>156703</v>
      </c>
      <c r="K521" s="353" t="s">
        <v>394</v>
      </c>
      <c r="L521" s="353">
        <v>2801.6</v>
      </c>
      <c r="M521" s="560">
        <f t="shared" si="526"/>
        <v>55.933395202741295</v>
      </c>
      <c r="N521" s="354" t="s">
        <v>395</v>
      </c>
      <c r="O521" s="354">
        <v>0</v>
      </c>
      <c r="P521" s="374">
        <f t="shared" si="527"/>
        <v>3.5242589073827459</v>
      </c>
      <c r="Q521" s="354">
        <f t="shared" si="528"/>
        <v>0.33239137830585375</v>
      </c>
      <c r="R521" s="354">
        <f t="shared" si="529"/>
        <v>0.56031518855086482</v>
      </c>
      <c r="S521" s="354">
        <f t="shared" si="530"/>
        <v>0.49912126726887829</v>
      </c>
      <c r="T521" s="354">
        <f t="shared" si="531"/>
        <v>2.1299411416776937</v>
      </c>
      <c r="U521" s="374">
        <f t="shared" si="532"/>
        <v>14.144380162135837</v>
      </c>
      <c r="V521" s="354">
        <f t="shared" si="533"/>
        <v>0.3744118723808445</v>
      </c>
      <c r="W521" s="354">
        <f t="shared" si="534"/>
        <v>12.771964432415031</v>
      </c>
      <c r="X521" s="354">
        <f t="shared" si="535"/>
        <v>0.99800385733996322</v>
      </c>
      <c r="Y521" s="374">
        <f t="shared" si="536"/>
        <v>2.0735445012487559</v>
      </c>
      <c r="Z521" s="354">
        <f t="shared" si="537"/>
        <v>1.069658721359638</v>
      </c>
      <c r="AA521" s="354">
        <f t="shared" si="538"/>
        <v>1.0038857798891176</v>
      </c>
      <c r="AB521" s="374">
        <f t="shared" si="539"/>
        <v>11.328594363540089</v>
      </c>
      <c r="AC521" s="354">
        <f t="shared" si="540"/>
        <v>3.2149710078968923</v>
      </c>
      <c r="AD521" s="354">
        <f t="shared" si="541"/>
        <v>6.9982777344513307</v>
      </c>
      <c r="AE521" s="354">
        <f t="shared" si="542"/>
        <v>1.1153456211918662</v>
      </c>
      <c r="AF521" s="374">
        <f t="shared" si="543"/>
        <v>9.066831641777588</v>
      </c>
      <c r="AG521" s="354">
        <f t="shared" si="544"/>
        <v>0.58269536917520115</v>
      </c>
      <c r="AH521" s="354">
        <f t="shared" si="545"/>
        <v>2.9317746475260713</v>
      </c>
      <c r="AI521" s="354">
        <f t="shared" si="546"/>
        <v>0</v>
      </c>
      <c r="AJ521" s="354">
        <f t="shared" si="547"/>
        <v>5.5523616250763164</v>
      </c>
      <c r="AK521" s="374">
        <f t="shared" si="548"/>
        <v>5.9885792012641286</v>
      </c>
      <c r="AL521" s="354">
        <f t="shared" si="549"/>
        <v>1.7157676933731125</v>
      </c>
      <c r="AM521" s="354">
        <f t="shared" si="550"/>
        <v>4.0467450858150826</v>
      </c>
      <c r="AN521" s="354">
        <f t="shared" si="551"/>
        <v>0.22606642207593336</v>
      </c>
      <c r="AO521" s="374">
        <f t="shared" si="552"/>
        <v>3.4724487908481656</v>
      </c>
      <c r="AP521" s="354">
        <f t="shared" si="553"/>
        <v>0.79626903224059298</v>
      </c>
      <c r="AQ521" s="354">
        <f t="shared" si="554"/>
        <v>2.6761797586075726</v>
      </c>
      <c r="AR521" s="374">
        <f t="shared" si="555"/>
        <v>6.3347576345439824</v>
      </c>
      <c r="AS521" s="354">
        <f t="shared" si="556"/>
        <v>2.7450655362262428</v>
      </c>
      <c r="AT521" s="354">
        <f t="shared" si="557"/>
        <v>3.5896920983177401</v>
      </c>
      <c r="AU521" s="355" t="s">
        <v>396</v>
      </c>
      <c r="AV521" s="354" t="s">
        <v>345</v>
      </c>
      <c r="AW521" s="353">
        <v>0</v>
      </c>
      <c r="AX521" s="353">
        <v>0</v>
      </c>
      <c r="AY521" s="353">
        <v>0</v>
      </c>
      <c r="AZ521" s="353">
        <v>0</v>
      </c>
      <c r="BA521" s="353">
        <v>0</v>
      </c>
      <c r="BB521" s="353">
        <v>0</v>
      </c>
    </row>
    <row r="522" spans="1:54" x14ac:dyDescent="0.25">
      <c r="A522" s="348" t="s">
        <v>1132</v>
      </c>
      <c r="B522" s="436">
        <v>84</v>
      </c>
      <c r="C522" s="380">
        <v>45192</v>
      </c>
      <c r="D522" s="351" t="s">
        <v>1037</v>
      </c>
      <c r="E522" s="352">
        <v>4325</v>
      </c>
      <c r="F522" s="352">
        <v>6</v>
      </c>
      <c r="G522" s="429" t="s">
        <v>302</v>
      </c>
      <c r="H522" s="350" t="s">
        <v>1157</v>
      </c>
      <c r="I522" s="350" t="s">
        <v>393</v>
      </c>
      <c r="J522" s="556">
        <v>4285.5</v>
      </c>
      <c r="K522" s="353" t="s">
        <v>394</v>
      </c>
      <c r="L522" s="353">
        <v>2801.6</v>
      </c>
      <c r="M522" s="560">
        <f t="shared" si="526"/>
        <v>1.5296616219303256</v>
      </c>
      <c r="N522" s="354" t="s">
        <v>395</v>
      </c>
      <c r="O522" s="354">
        <v>0</v>
      </c>
      <c r="P522" s="374">
        <f t="shared" si="527"/>
        <v>9.6381125744808699E-2</v>
      </c>
      <c r="Q522" s="354">
        <f t="shared" si="528"/>
        <v>9.0902104728673751E-3</v>
      </c>
      <c r="R522" s="354">
        <f t="shared" si="529"/>
        <v>1.532345099031117E-2</v>
      </c>
      <c r="S522" s="354">
        <f t="shared" si="530"/>
        <v>1.364992495919528E-2</v>
      </c>
      <c r="T522" s="354">
        <f t="shared" si="531"/>
        <v>5.8249444890396206E-2</v>
      </c>
      <c r="U522" s="374">
        <f t="shared" si="532"/>
        <v>0.38681927713466319</v>
      </c>
      <c r="V522" s="354">
        <f t="shared" si="533"/>
        <v>1.0239383286140718E-2</v>
      </c>
      <c r="W522" s="354">
        <f t="shared" si="534"/>
        <v>0.34928657125335577</v>
      </c>
      <c r="X522" s="354">
        <f t="shared" si="535"/>
        <v>2.729332259516673E-2</v>
      </c>
      <c r="Y522" s="374">
        <f t="shared" si="536"/>
        <v>5.6707114478354234E-2</v>
      </c>
      <c r="Z522" s="354">
        <f t="shared" si="537"/>
        <v>2.9252933577447331E-2</v>
      </c>
      <c r="AA522" s="354">
        <f t="shared" si="538"/>
        <v>2.7454180900906899E-2</v>
      </c>
      <c r="AB522" s="374">
        <f t="shared" si="539"/>
        <v>0.30981341228279646</v>
      </c>
      <c r="AC522" s="354">
        <f t="shared" si="540"/>
        <v>8.7922747199109988E-2</v>
      </c>
      <c r="AD522" s="354">
        <f t="shared" si="541"/>
        <v>0.19138829014754777</v>
      </c>
      <c r="AE522" s="354">
        <f t="shared" si="542"/>
        <v>3.0502374936138704E-2</v>
      </c>
      <c r="AF522" s="374">
        <f t="shared" si="543"/>
        <v>0.24795892229783636</v>
      </c>
      <c r="AG522" s="354">
        <f t="shared" si="544"/>
        <v>1.593550222140179E-2</v>
      </c>
      <c r="AH522" s="354">
        <f t="shared" si="545"/>
        <v>8.0177917793360559E-2</v>
      </c>
      <c r="AI522" s="354">
        <f t="shared" si="546"/>
        <v>0</v>
      </c>
      <c r="AJ522" s="354">
        <f t="shared" si="547"/>
        <v>0.15184550228307403</v>
      </c>
      <c r="AK522" s="374">
        <f t="shared" si="548"/>
        <v>0.16377514257555645</v>
      </c>
      <c r="AL522" s="354">
        <f t="shared" si="549"/>
        <v>4.6922665487900507E-2</v>
      </c>
      <c r="AM522" s="354">
        <f t="shared" si="550"/>
        <v>0.11067003226013884</v>
      </c>
      <c r="AN522" s="354">
        <f t="shared" si="551"/>
        <v>6.1824448275171013E-3</v>
      </c>
      <c r="AO522" s="374">
        <f t="shared" si="552"/>
        <v>9.4964227188884795E-2</v>
      </c>
      <c r="AP522" s="354">
        <f t="shared" si="553"/>
        <v>2.1776296163232747E-2</v>
      </c>
      <c r="AQ522" s="354">
        <f t="shared" si="554"/>
        <v>7.3187931025652048E-2</v>
      </c>
      <c r="AR522" s="374">
        <f t="shared" si="555"/>
        <v>0.17324240022742535</v>
      </c>
      <c r="AS522" s="354">
        <f t="shared" ref="AS522:AS523" si="558">AR522*$AS$2</f>
        <v>7.5071813274140017E-2</v>
      </c>
      <c r="AT522" s="354">
        <f t="shared" ref="AT522:AT523" si="559">AR522*$AT$2</f>
        <v>9.8170586953285344E-2</v>
      </c>
      <c r="AU522" s="355" t="s">
        <v>396</v>
      </c>
      <c r="AV522" s="354" t="s">
        <v>345</v>
      </c>
      <c r="AW522" s="353">
        <v>0</v>
      </c>
      <c r="AX522" s="353">
        <v>0</v>
      </c>
      <c r="AY522" s="353">
        <v>0</v>
      </c>
      <c r="AZ522" s="353">
        <v>0</v>
      </c>
      <c r="BA522" s="353">
        <v>0</v>
      </c>
      <c r="BB522" s="353">
        <v>0</v>
      </c>
    </row>
    <row r="523" spans="1:54" x14ac:dyDescent="0.25">
      <c r="A523" s="348" t="s">
        <v>1158</v>
      </c>
      <c r="B523" s="436">
        <v>85</v>
      </c>
      <c r="C523" s="380">
        <v>45192</v>
      </c>
      <c r="D523" s="351" t="s">
        <v>1028</v>
      </c>
      <c r="E523" s="352">
        <v>6341</v>
      </c>
      <c r="F523" s="352">
        <v>6</v>
      </c>
      <c r="G523" s="429" t="s">
        <v>325</v>
      </c>
      <c r="H523" s="350" t="s">
        <v>1159</v>
      </c>
      <c r="I523" s="350" t="s">
        <v>393</v>
      </c>
      <c r="J523" s="556">
        <v>36200</v>
      </c>
      <c r="K523" s="353" t="s">
        <v>394</v>
      </c>
      <c r="L523" s="353">
        <v>2801.6</v>
      </c>
      <c r="M523" s="560">
        <f t="shared" ref="M523" si="560">+J523/L523</f>
        <v>12.921187892632782</v>
      </c>
      <c r="N523" s="354" t="s">
        <v>395</v>
      </c>
      <c r="O523" s="354">
        <v>0</v>
      </c>
      <c r="P523" s="374">
        <f t="shared" si="527"/>
        <v>0.81413994912194021</v>
      </c>
      <c r="Q523" s="354">
        <f t="shared" si="528"/>
        <v>7.6785817085007341E-2</v>
      </c>
      <c r="R523" s="354">
        <f t="shared" si="529"/>
        <v>0.12943855462589296</v>
      </c>
      <c r="S523" s="354">
        <f t="shared" si="530"/>
        <v>0.11530213126189923</v>
      </c>
      <c r="T523" s="354">
        <f t="shared" si="531"/>
        <v>0.4920382464198676</v>
      </c>
      <c r="U523" s="374">
        <f t="shared" si="532"/>
        <v>3.2674968690409072</v>
      </c>
      <c r="V523" s="354">
        <f t="shared" si="533"/>
        <v>8.6492982139375577E-2</v>
      </c>
      <c r="W523" s="354">
        <f t="shared" si="534"/>
        <v>2.9504547612580745</v>
      </c>
      <c r="X523" s="354">
        <f t="shared" si="535"/>
        <v>0.23054912564345714</v>
      </c>
      <c r="Y523" s="374">
        <f t="shared" si="536"/>
        <v>0.47901004412937187</v>
      </c>
      <c r="Z523" s="354">
        <f t="shared" si="537"/>
        <v>0.24710213405754131</v>
      </c>
      <c r="AA523" s="354">
        <f t="shared" si="538"/>
        <v>0.23190791007183054</v>
      </c>
      <c r="AB523" s="374">
        <f t="shared" si="539"/>
        <v>2.6170214734890287</v>
      </c>
      <c r="AC523" s="354">
        <f t="shared" si="540"/>
        <v>0.74269127257211098</v>
      </c>
      <c r="AD523" s="354">
        <f t="shared" si="541"/>
        <v>1.6166739244758441</v>
      </c>
      <c r="AE523" s="354">
        <f t="shared" si="542"/>
        <v>0.25765627644107364</v>
      </c>
      <c r="AF523" s="374">
        <f t="shared" si="543"/>
        <v>2.0945310902302361</v>
      </c>
      <c r="AG523" s="354">
        <f t="shared" si="544"/>
        <v>0.13460860586040013</v>
      </c>
      <c r="AH523" s="354">
        <f t="shared" si="545"/>
        <v>0.67727000912837521</v>
      </c>
      <c r="AI523" s="354">
        <f t="shared" si="546"/>
        <v>0</v>
      </c>
      <c r="AJ523" s="354">
        <f t="shared" si="547"/>
        <v>1.2826524752414608</v>
      </c>
      <c r="AK523" s="374">
        <f t="shared" si="548"/>
        <v>1.3834232087819724</v>
      </c>
      <c r="AL523" s="354">
        <f t="shared" si="549"/>
        <v>0.3963599324844238</v>
      </c>
      <c r="AM523" s="354">
        <f t="shared" si="550"/>
        <v>0.93483961447136288</v>
      </c>
      <c r="AN523" s="354">
        <f t="shared" si="551"/>
        <v>5.2223661826185756E-2</v>
      </c>
      <c r="AO523" s="374">
        <f t="shared" si="552"/>
        <v>0.80217128088615786</v>
      </c>
      <c r="AP523" s="354">
        <f t="shared" si="553"/>
        <v>0.18394631224105132</v>
      </c>
      <c r="AQ523" s="354">
        <f t="shared" si="554"/>
        <v>0.61822496864510657</v>
      </c>
      <c r="AR523" s="374">
        <f t="shared" si="555"/>
        <v>1.4633939769531672</v>
      </c>
      <c r="AS523" s="354">
        <f t="shared" si="558"/>
        <v>0.63413828970338793</v>
      </c>
      <c r="AT523" s="354">
        <f t="shared" si="559"/>
        <v>0.82925568724977938</v>
      </c>
      <c r="AU523" s="355" t="s">
        <v>396</v>
      </c>
      <c r="AV523" s="354" t="s">
        <v>345</v>
      </c>
      <c r="AW523" s="353">
        <v>0</v>
      </c>
      <c r="AX523" s="353">
        <v>0</v>
      </c>
      <c r="AY523" s="353">
        <v>0</v>
      </c>
      <c r="AZ523" s="353">
        <v>0</v>
      </c>
      <c r="BA523" s="353">
        <v>0</v>
      </c>
      <c r="BB523" s="353">
        <v>0</v>
      </c>
    </row>
    <row r="524" spans="1:54" x14ac:dyDescent="0.25">
      <c r="A524" s="348" t="s">
        <v>1286</v>
      </c>
      <c r="B524" s="573">
        <v>46</v>
      </c>
      <c r="C524" s="423">
        <v>45108</v>
      </c>
      <c r="D524" s="351">
        <v>45138</v>
      </c>
      <c r="E524" s="352"/>
      <c r="F524" s="352">
        <v>6</v>
      </c>
      <c r="G524" s="352" t="s">
        <v>312</v>
      </c>
      <c r="H524" s="424" t="s">
        <v>1288</v>
      </c>
      <c r="I524" s="350" t="s">
        <v>393</v>
      </c>
      <c r="J524" s="375">
        <f>3827662*10%</f>
        <v>382766.2</v>
      </c>
      <c r="K524" s="350" t="s">
        <v>394</v>
      </c>
      <c r="L524" s="354">
        <v>2802.3999950000002</v>
      </c>
      <c r="M524" s="375">
        <f t="shared" ref="M524:M554" si="561">J524/L524</f>
        <v>136.58514155114392</v>
      </c>
      <c r="N524" s="354" t="s">
        <v>395</v>
      </c>
      <c r="O524" s="354">
        <v>0</v>
      </c>
      <c r="P524" s="374">
        <f t="shared" ref="P524:P573" si="562">M524*$P$2</f>
        <v>8.6059750169458802</v>
      </c>
      <c r="Q524" s="354">
        <f t="shared" ref="Q524:Q573" si="563">P524*$Q$2</f>
        <v>0.81167473012723212</v>
      </c>
      <c r="R524" s="354">
        <f t="shared" ref="R524:R573" si="564">P524*$R$2</f>
        <v>1.3682475212540826</v>
      </c>
      <c r="S524" s="354">
        <f t="shared" ref="S524:S573" si="565">P524*$S$2</f>
        <v>1.2188165709233567</v>
      </c>
      <c r="T524" s="354">
        <f t="shared" ref="T524:T573" si="566">P524*$T$2</f>
        <v>5.2011559691158347</v>
      </c>
      <c r="U524" s="374">
        <f t="shared" ref="U524:U573" si="567">M524*$U$2</f>
        <v>34.539511853266369</v>
      </c>
      <c r="V524" s="354">
        <f t="shared" ref="V524:V573" si="568">U524*$V$2</f>
        <v>0.91428561420602183</v>
      </c>
      <c r="W524" s="354">
        <f t="shared" ref="W524:W573" si="569">U524*$W$2</f>
        <v>31.188175928967858</v>
      </c>
      <c r="X524" s="354">
        <f t="shared" ref="X524:X573" si="570">U524*$X$2</f>
        <v>2.437050310092491</v>
      </c>
      <c r="Y524" s="374">
        <f t="shared" ref="Y524:Y573" si="571">M524*$Y$2</f>
        <v>5.0634396175860443</v>
      </c>
      <c r="Z524" s="354">
        <f t="shared" ref="Z524:Z573" si="572">Y524*$Z$2</f>
        <v>2.6120260953006023</v>
      </c>
      <c r="AA524" s="354">
        <f t="shared" ref="AA524:AA573" si="573">Y524*$AA$2</f>
        <v>2.4514135222854416</v>
      </c>
      <c r="AB524" s="374">
        <f t="shared" ref="AB524:AB573" si="574">M524*$AB$2</f>
        <v>27.663574848461558</v>
      </c>
      <c r="AC524" s="354">
        <f t="shared" ref="AC524:AC573" si="575">AB524*$AC$2</f>
        <v>7.8507172433347971</v>
      </c>
      <c r="AD524" s="354">
        <f t="shared" ref="AD524:AD573" si="576">AB524*$AD$2</f>
        <v>17.089267538821016</v>
      </c>
      <c r="AE524" s="354">
        <f t="shared" ref="AE524:AE573" si="577">AB524*$AE$2</f>
        <v>2.7235900663057455</v>
      </c>
      <c r="AF524" s="374">
        <f t="shared" ref="AF524:AF573" si="578">M524*$AF$2</f>
        <v>22.140520501639219</v>
      </c>
      <c r="AG524" s="354">
        <f t="shared" ref="AG524:AG573" si="579">AF524*$AG$2</f>
        <v>1.4228982380116688</v>
      </c>
      <c r="AH524" s="354">
        <f t="shared" ref="AH524:AH573" si="580">AF524*$AH$2</f>
        <v>7.1591730445996262</v>
      </c>
      <c r="AI524" s="354">
        <f t="shared" ref="AI524:AI573" si="581">AF524*$AI$2</f>
        <v>0</v>
      </c>
      <c r="AJ524" s="354">
        <f t="shared" ref="AJ524:AJ573" si="582">AF524*$AJ$2</f>
        <v>13.558449219027926</v>
      </c>
      <c r="AK524" s="374">
        <f t="shared" ref="AK524:AK573" si="583">M524*$AK$2</f>
        <v>14.623659710448072</v>
      </c>
      <c r="AL524" s="354">
        <f t="shared" ref="AL524:AL573" si="584">AK524*$AL$2</f>
        <v>4.1897755789507451</v>
      </c>
      <c r="AM524" s="354">
        <f t="shared" ref="AM524:AM573" si="585">AK524*$AM$2</f>
        <v>9.8818469424927748</v>
      </c>
      <c r="AN524" s="354">
        <f t="shared" ref="AN524:AN573" si="586">AK524*$AN$2</f>
        <v>0.55203718900455201</v>
      </c>
      <c r="AO524" s="374">
        <f t="shared" ref="AO524:AO573" si="587">M524*$AO$2</f>
        <v>8.4794586115854198</v>
      </c>
      <c r="AP524" s="354">
        <f t="shared" ref="AP524:AP573" si="588">AO524*$AP$2</f>
        <v>1.9444290497145349</v>
      </c>
      <c r="AQ524" s="354">
        <f t="shared" ref="AQ524:AQ573" si="589">AO524*$AQ$2</f>
        <v>6.5350295618708856</v>
      </c>
      <c r="AR524" s="374">
        <f t="shared" ref="AR524:AR573" si="590">M524*$AR$2</f>
        <v>15.469001391211352</v>
      </c>
      <c r="AS524" s="354">
        <f t="shared" ref="AS524:AS573" si="591">AR524*$AS$2</f>
        <v>6.7032434464885231</v>
      </c>
      <c r="AT524" s="354">
        <f t="shared" ref="AT524:AT573" si="592">AR524*$AT$2</f>
        <v>8.7657579447228304</v>
      </c>
      <c r="AU524" s="355" t="s">
        <v>396</v>
      </c>
      <c r="AV524" s="354" t="s">
        <v>397</v>
      </c>
      <c r="AW524" s="353">
        <v>0</v>
      </c>
      <c r="AX524" s="353">
        <v>0</v>
      </c>
      <c r="AY524" s="353">
        <v>0</v>
      </c>
      <c r="AZ524" s="353">
        <v>0</v>
      </c>
      <c r="BA524" s="353">
        <v>0</v>
      </c>
      <c r="BB524" s="353">
        <v>0</v>
      </c>
    </row>
    <row r="525" spans="1:54" ht="30" x14ac:dyDescent="0.25">
      <c r="A525" s="348" t="s">
        <v>1286</v>
      </c>
      <c r="B525" s="573">
        <v>46</v>
      </c>
      <c r="C525" s="423">
        <v>45108</v>
      </c>
      <c r="D525" s="351">
        <v>45138</v>
      </c>
      <c r="E525" s="352"/>
      <c r="F525" s="352">
        <v>6</v>
      </c>
      <c r="G525" s="352" t="s">
        <v>313</v>
      </c>
      <c r="H525" s="424" t="s">
        <v>1289</v>
      </c>
      <c r="I525" s="350" t="s">
        <v>393</v>
      </c>
      <c r="J525" s="375">
        <f>2279846*5%</f>
        <v>113992.3</v>
      </c>
      <c r="K525" s="350" t="s">
        <v>394</v>
      </c>
      <c r="L525" s="354">
        <v>2802.3999950000002</v>
      </c>
      <c r="M525" s="375">
        <f t="shared" si="561"/>
        <v>40.676670069720004</v>
      </c>
      <c r="N525" s="354" t="s">
        <v>395</v>
      </c>
      <c r="O525" s="354">
        <v>0</v>
      </c>
      <c r="P525" s="374">
        <f t="shared" si="562"/>
        <v>2.562961112878305</v>
      </c>
      <c r="Q525" s="354">
        <f t="shared" si="563"/>
        <v>0.24172633147619221</v>
      </c>
      <c r="R525" s="354">
        <f t="shared" si="564"/>
        <v>0.4074802893177395</v>
      </c>
      <c r="S525" s="354">
        <f t="shared" si="565"/>
        <v>0.36297798551091126</v>
      </c>
      <c r="T525" s="354">
        <f t="shared" si="566"/>
        <v>1.5489657435223982</v>
      </c>
      <c r="U525" s="374">
        <f t="shared" si="567"/>
        <v>10.286275008167115</v>
      </c>
      <c r="V525" s="354">
        <f t="shared" si="568"/>
        <v>0.27228506597567154</v>
      </c>
      <c r="W525" s="354">
        <f t="shared" si="569"/>
        <v>9.288207545357146</v>
      </c>
      <c r="X525" s="354">
        <f t="shared" si="570"/>
        <v>0.72578239683429779</v>
      </c>
      <c r="Y525" s="374">
        <f t="shared" si="571"/>
        <v>1.5079521857461644</v>
      </c>
      <c r="Z525" s="354">
        <f t="shared" si="572"/>
        <v>0.77789225449722255</v>
      </c>
      <c r="AA525" s="354">
        <f t="shared" si="573"/>
        <v>0.73005993124894175</v>
      </c>
      <c r="AB525" s="374">
        <f t="shared" si="574"/>
        <v>8.2385396704261868</v>
      </c>
      <c r="AC525" s="354">
        <f t="shared" si="575"/>
        <v>2.338036418099072</v>
      </c>
      <c r="AD525" s="354">
        <f t="shared" si="576"/>
        <v>5.0893859281868314</v>
      </c>
      <c r="AE525" s="354">
        <f t="shared" si="577"/>
        <v>0.81111732414028292</v>
      </c>
      <c r="AF525" s="374">
        <f t="shared" si="578"/>
        <v>6.5937087840540993</v>
      </c>
      <c r="AG525" s="354">
        <f t="shared" si="579"/>
        <v>0.42375591893144571</v>
      </c>
      <c r="AH525" s="354">
        <f t="shared" si="580"/>
        <v>2.1320863792359774</v>
      </c>
      <c r="AI525" s="354">
        <f t="shared" si="581"/>
        <v>0</v>
      </c>
      <c r="AJ525" s="354">
        <f t="shared" si="582"/>
        <v>4.0378664858866768</v>
      </c>
      <c r="AK525" s="374">
        <f t="shared" si="583"/>
        <v>4.3550987647585115</v>
      </c>
      <c r="AL525" s="354">
        <f t="shared" si="584"/>
        <v>1.2477647052650598</v>
      </c>
      <c r="AM525" s="354">
        <f t="shared" si="585"/>
        <v>2.9429308575906621</v>
      </c>
      <c r="AN525" s="354">
        <f t="shared" si="586"/>
        <v>0.1644032019027897</v>
      </c>
      <c r="AO525" s="374">
        <f t="shared" si="587"/>
        <v>2.5252830314939732</v>
      </c>
      <c r="AP525" s="354">
        <f t="shared" si="588"/>
        <v>0.57907396098133568</v>
      </c>
      <c r="AQ525" s="354">
        <f t="shared" si="589"/>
        <v>1.9462090705126376</v>
      </c>
      <c r="AR525" s="374">
        <f t="shared" si="590"/>
        <v>4.6068515121956475</v>
      </c>
      <c r="AS525" s="354">
        <f t="shared" si="591"/>
        <v>1.9963051542303203</v>
      </c>
      <c r="AT525" s="354">
        <f t="shared" si="592"/>
        <v>2.6105463579653274</v>
      </c>
      <c r="AU525" s="355" t="s">
        <v>396</v>
      </c>
      <c r="AV525" s="354" t="s">
        <v>397</v>
      </c>
      <c r="AW525" s="353">
        <v>0</v>
      </c>
      <c r="AX525" s="353">
        <v>0</v>
      </c>
      <c r="AY525" s="353">
        <v>0</v>
      </c>
      <c r="AZ525" s="353">
        <v>0</v>
      </c>
      <c r="BA525" s="353">
        <v>0</v>
      </c>
      <c r="BB525" s="353">
        <v>0</v>
      </c>
    </row>
    <row r="526" spans="1:54" x14ac:dyDescent="0.25">
      <c r="A526" s="348" t="s">
        <v>1286</v>
      </c>
      <c r="B526" s="573">
        <v>46</v>
      </c>
      <c r="C526" s="423">
        <v>45108</v>
      </c>
      <c r="D526" s="351">
        <v>45138</v>
      </c>
      <c r="E526" s="352"/>
      <c r="F526" s="352">
        <v>6</v>
      </c>
      <c r="G526" s="352" t="s">
        <v>314</v>
      </c>
      <c r="H526" s="424" t="s">
        <v>1290</v>
      </c>
      <c r="I526" s="350" t="s">
        <v>393</v>
      </c>
      <c r="J526" s="375">
        <f>1831466*10%</f>
        <v>183146.6</v>
      </c>
      <c r="K526" s="350" t="s">
        <v>394</v>
      </c>
      <c r="L526" s="354">
        <v>2802.3999950000002</v>
      </c>
      <c r="M526" s="375">
        <f t="shared" si="561"/>
        <v>65.353482845692056</v>
      </c>
      <c r="N526" s="354" t="s">
        <v>395</v>
      </c>
      <c r="O526" s="354">
        <v>0</v>
      </c>
      <c r="P526" s="374">
        <f t="shared" si="562"/>
        <v>4.117801059859989</v>
      </c>
      <c r="Q526" s="354">
        <f t="shared" si="563"/>
        <v>0.38837145789967908</v>
      </c>
      <c r="R526" s="354">
        <f t="shared" si="564"/>
        <v>0.65468132106782928</v>
      </c>
      <c r="S526" s="354">
        <f t="shared" si="565"/>
        <v>0.5831813545403739</v>
      </c>
      <c r="T526" s="354">
        <f t="shared" si="566"/>
        <v>2.4886576500570592</v>
      </c>
      <c r="U526" s="374">
        <f t="shared" si="567"/>
        <v>16.526522356429158</v>
      </c>
      <c r="V526" s="354">
        <f t="shared" si="568"/>
        <v>0.43746888223344849</v>
      </c>
      <c r="W526" s="354">
        <f t="shared" si="569"/>
        <v>14.922969639409919</v>
      </c>
      <c r="X526" s="354">
        <f t="shared" si="570"/>
        <v>1.166083834785792</v>
      </c>
      <c r="Y526" s="374">
        <f t="shared" si="571"/>
        <v>2.4227629040029766</v>
      </c>
      <c r="Z526" s="354">
        <f t="shared" si="572"/>
        <v>1.2498065358581329</v>
      </c>
      <c r="AA526" s="354">
        <f t="shared" si="573"/>
        <v>1.1729563681448436</v>
      </c>
      <c r="AB526" s="374">
        <f t="shared" si="574"/>
        <v>13.236512725891808</v>
      </c>
      <c r="AC526" s="354">
        <f t="shared" si="575"/>
        <v>3.7564240799687658</v>
      </c>
      <c r="AD526" s="354">
        <f t="shared" si="576"/>
        <v>8.176900797994799</v>
      </c>
      <c r="AE526" s="354">
        <f t="shared" si="577"/>
        <v>1.3031878479282439</v>
      </c>
      <c r="AF526" s="374">
        <f t="shared" si="578"/>
        <v>10.593832611410091</v>
      </c>
      <c r="AG526" s="354">
        <f t="shared" si="579"/>
        <v>0.68083068577588057</v>
      </c>
      <c r="AH526" s="354">
        <f t="shared" si="580"/>
        <v>3.4255328760221508</v>
      </c>
      <c r="AI526" s="354">
        <f t="shared" si="581"/>
        <v>0</v>
      </c>
      <c r="AJ526" s="354">
        <f t="shared" si="582"/>
        <v>6.4874690496120602</v>
      </c>
      <c r="AK526" s="374">
        <f t="shared" si="583"/>
        <v>6.9971527149616364</v>
      </c>
      <c r="AL526" s="354">
        <f t="shared" si="584"/>
        <v>2.0047306999621717</v>
      </c>
      <c r="AM526" s="354">
        <f t="shared" si="585"/>
        <v>4.7282823541836949</v>
      </c>
      <c r="AN526" s="354">
        <f t="shared" si="586"/>
        <v>0.26413966081576973</v>
      </c>
      <c r="AO526" s="374">
        <f t="shared" si="587"/>
        <v>4.0572652824428861</v>
      </c>
      <c r="AP526" s="354">
        <f t="shared" si="588"/>
        <v>0.93037360507915279</v>
      </c>
      <c r="AQ526" s="354">
        <f t="shared" si="589"/>
        <v>3.1268916773637332</v>
      </c>
      <c r="AR526" s="374">
        <f t="shared" si="590"/>
        <v>7.4016331906935067</v>
      </c>
      <c r="AS526" s="354">
        <f t="shared" si="591"/>
        <v>3.2073789331363503</v>
      </c>
      <c r="AT526" s="354">
        <f t="shared" si="592"/>
        <v>4.1942542575571569</v>
      </c>
      <c r="AU526" s="355" t="s">
        <v>396</v>
      </c>
      <c r="AV526" s="354" t="s">
        <v>397</v>
      </c>
      <c r="AW526" s="353">
        <v>0</v>
      </c>
      <c r="AX526" s="353">
        <v>0</v>
      </c>
      <c r="AY526" s="353">
        <v>0</v>
      </c>
      <c r="AZ526" s="353">
        <v>0</v>
      </c>
      <c r="BA526" s="353">
        <v>0</v>
      </c>
      <c r="BB526" s="353">
        <v>0</v>
      </c>
    </row>
    <row r="527" spans="1:54" ht="30" x14ac:dyDescent="0.25">
      <c r="A527" s="348" t="s">
        <v>1286</v>
      </c>
      <c r="B527" s="573">
        <v>46</v>
      </c>
      <c r="C527" s="423">
        <v>45108</v>
      </c>
      <c r="D527" s="351">
        <v>45138</v>
      </c>
      <c r="E527" s="352"/>
      <c r="F527" s="352">
        <v>6</v>
      </c>
      <c r="G527" s="352" t="s">
        <v>315</v>
      </c>
      <c r="H527" s="424" t="s">
        <v>1291</v>
      </c>
      <c r="I527" s="350" t="s">
        <v>393</v>
      </c>
      <c r="J527" s="375">
        <f>1334036*10%</f>
        <v>133403.6</v>
      </c>
      <c r="K527" s="350" t="s">
        <v>394</v>
      </c>
      <c r="L527" s="354">
        <v>2802.3999950000002</v>
      </c>
      <c r="M527" s="375">
        <f t="shared" si="561"/>
        <v>47.60334007922377</v>
      </c>
      <c r="N527" s="354" t="s">
        <v>395</v>
      </c>
      <c r="O527" s="354">
        <v>0</v>
      </c>
      <c r="P527" s="374">
        <f t="shared" si="562"/>
        <v>2.9993976708775265</v>
      </c>
      <c r="Q527" s="354">
        <f t="shared" si="563"/>
        <v>0.28288895683056975</v>
      </c>
      <c r="R527" s="354">
        <f t="shared" si="564"/>
        <v>0.47686850360969996</v>
      </c>
      <c r="S527" s="354">
        <f t="shared" si="565"/>
        <v>0.42478807768510157</v>
      </c>
      <c r="T527" s="354">
        <f t="shared" si="566"/>
        <v>1.8127330219897713</v>
      </c>
      <c r="U527" s="374">
        <f t="shared" si="567"/>
        <v>12.037884284109738</v>
      </c>
      <c r="V527" s="354">
        <f t="shared" si="568"/>
        <v>0.31865141792377288</v>
      </c>
      <c r="W527" s="354">
        <f t="shared" si="569"/>
        <v>10.869859842268351</v>
      </c>
      <c r="X527" s="354">
        <f t="shared" si="570"/>
        <v>0.84937302391761493</v>
      </c>
      <c r="Y527" s="374">
        <f t="shared" si="571"/>
        <v>1.7647354269227573</v>
      </c>
      <c r="Z527" s="354">
        <f t="shared" si="572"/>
        <v>0.91035646409490545</v>
      </c>
      <c r="AA527" s="354">
        <f t="shared" si="573"/>
        <v>0.85437896282785175</v>
      </c>
      <c r="AB527" s="374">
        <f t="shared" si="574"/>
        <v>9.6414481572673498</v>
      </c>
      <c r="AC527" s="354">
        <f t="shared" si="575"/>
        <v>2.7361714353120465</v>
      </c>
      <c r="AD527" s="354">
        <f t="shared" si="576"/>
        <v>5.9560374219088912</v>
      </c>
      <c r="AE527" s="354">
        <f t="shared" si="577"/>
        <v>0.94923930004641233</v>
      </c>
      <c r="AF527" s="374">
        <f t="shared" si="578"/>
        <v>7.7165254946556869</v>
      </c>
      <c r="AG527" s="354">
        <f t="shared" si="579"/>
        <v>0.49591564611612371</v>
      </c>
      <c r="AH527" s="354">
        <f t="shared" si="580"/>
        <v>2.4951509751188863</v>
      </c>
      <c r="AI527" s="354">
        <f t="shared" si="581"/>
        <v>0</v>
      </c>
      <c r="AJ527" s="354">
        <f t="shared" si="582"/>
        <v>4.7254588734206777</v>
      </c>
      <c r="AK527" s="374">
        <f t="shared" si="583"/>
        <v>5.0967113881756809</v>
      </c>
      <c r="AL527" s="354">
        <f t="shared" si="584"/>
        <v>1.4602416447014226</v>
      </c>
      <c r="AM527" s="354">
        <f t="shared" si="585"/>
        <v>3.4440709675450161</v>
      </c>
      <c r="AN527" s="354">
        <f t="shared" si="586"/>
        <v>0.19239877592924259</v>
      </c>
      <c r="AO527" s="374">
        <f t="shared" si="587"/>
        <v>2.9553035373460261</v>
      </c>
      <c r="AP527" s="354">
        <f t="shared" si="588"/>
        <v>0.677682186087742</v>
      </c>
      <c r="AQ527" s="354">
        <f t="shared" si="589"/>
        <v>2.2776213512582841</v>
      </c>
      <c r="AR527" s="374">
        <f t="shared" si="590"/>
        <v>5.3913341198690024</v>
      </c>
      <c r="AS527" s="354">
        <f t="shared" si="591"/>
        <v>2.3362480998530599</v>
      </c>
      <c r="AT527" s="354">
        <f t="shared" si="592"/>
        <v>3.0550860200159429</v>
      </c>
      <c r="AU527" s="355" t="s">
        <v>396</v>
      </c>
      <c r="AV527" s="354" t="s">
        <v>397</v>
      </c>
      <c r="AW527" s="353">
        <v>0</v>
      </c>
      <c r="AX527" s="353">
        <v>0</v>
      </c>
      <c r="AY527" s="353">
        <v>0</v>
      </c>
      <c r="AZ527" s="353">
        <v>0</v>
      </c>
      <c r="BA527" s="353">
        <v>0</v>
      </c>
      <c r="BB527" s="353">
        <v>0</v>
      </c>
    </row>
    <row r="528" spans="1:54" x14ac:dyDescent="0.25">
      <c r="A528" s="348" t="s">
        <v>1286</v>
      </c>
      <c r="B528" s="573">
        <v>46</v>
      </c>
      <c r="C528" s="423">
        <v>45108</v>
      </c>
      <c r="D528" s="351">
        <v>45138</v>
      </c>
      <c r="E528" s="352"/>
      <c r="F528" s="352">
        <v>6</v>
      </c>
      <c r="G528" s="352" t="s">
        <v>316</v>
      </c>
      <c r="H528" s="424" t="s">
        <v>1292</v>
      </c>
      <c r="I528" s="350" t="s">
        <v>393</v>
      </c>
      <c r="J528" s="375">
        <f>690937*50%</f>
        <v>345468.5</v>
      </c>
      <c r="K528" s="350" t="s">
        <v>394</v>
      </c>
      <c r="L528" s="354">
        <v>2802.3999950000002</v>
      </c>
      <c r="M528" s="375">
        <f t="shared" si="561"/>
        <v>123.27594226961878</v>
      </c>
      <c r="N528" s="354" t="s">
        <v>395</v>
      </c>
      <c r="O528" s="354">
        <v>0</v>
      </c>
      <c r="P528" s="374">
        <f t="shared" si="562"/>
        <v>7.7673871939104542</v>
      </c>
      <c r="Q528" s="354">
        <f t="shared" si="563"/>
        <v>0.73258310557452477</v>
      </c>
      <c r="R528" s="354">
        <f t="shared" si="564"/>
        <v>1.2349220458764802</v>
      </c>
      <c r="S528" s="354">
        <f t="shared" si="565"/>
        <v>1.1000520227022021</v>
      </c>
      <c r="T528" s="354">
        <f t="shared" si="566"/>
        <v>4.6943422666800094</v>
      </c>
      <c r="U528" s="374">
        <f t="shared" si="567"/>
        <v>31.17389505834149</v>
      </c>
      <c r="V528" s="354">
        <f t="shared" si="568"/>
        <v>0.82519532735997325</v>
      </c>
      <c r="W528" s="354">
        <f t="shared" si="569"/>
        <v>28.149121724741189</v>
      </c>
      <c r="X528" s="354">
        <f t="shared" si="570"/>
        <v>2.1995780062403303</v>
      </c>
      <c r="Y528" s="374">
        <f t="shared" si="571"/>
        <v>4.570045342373553</v>
      </c>
      <c r="Z528" s="354">
        <f t="shared" si="572"/>
        <v>2.3575037114153652</v>
      </c>
      <c r="AA528" s="354">
        <f t="shared" si="573"/>
        <v>2.2125416309581878</v>
      </c>
      <c r="AB528" s="374">
        <f t="shared" si="574"/>
        <v>24.967966626979447</v>
      </c>
      <c r="AC528" s="354">
        <f t="shared" si="575"/>
        <v>7.0857236348951584</v>
      </c>
      <c r="AD528" s="354">
        <f t="shared" si="576"/>
        <v>15.42404638323652</v>
      </c>
      <c r="AE528" s="354">
        <f t="shared" si="577"/>
        <v>2.4581966088477674</v>
      </c>
      <c r="AF528" s="374">
        <f t="shared" si="578"/>
        <v>19.983092569094524</v>
      </c>
      <c r="AG528" s="354">
        <f t="shared" si="579"/>
        <v>1.2842474595158457</v>
      </c>
      <c r="AH528" s="354">
        <f t="shared" si="580"/>
        <v>6.4615652399774737</v>
      </c>
      <c r="AI528" s="354">
        <f t="shared" si="581"/>
        <v>0</v>
      </c>
      <c r="AJ528" s="354">
        <f t="shared" si="582"/>
        <v>12.237279869601204</v>
      </c>
      <c r="AK528" s="374">
        <f t="shared" si="583"/>
        <v>13.198693575030735</v>
      </c>
      <c r="AL528" s="354">
        <f t="shared" si="584"/>
        <v>3.7815133222231885</v>
      </c>
      <c r="AM528" s="354">
        <f t="shared" si="585"/>
        <v>8.9189349541640954</v>
      </c>
      <c r="AN528" s="354">
        <f t="shared" si="586"/>
        <v>0.49824529864345146</v>
      </c>
      <c r="AO528" s="374">
        <f t="shared" si="587"/>
        <v>7.6531988648853977</v>
      </c>
      <c r="AP528" s="354">
        <f t="shared" si="588"/>
        <v>1.7549589988909826</v>
      </c>
      <c r="AQ528" s="354">
        <f t="shared" si="589"/>
        <v>5.8982398659944151</v>
      </c>
      <c r="AR528" s="374">
        <f t="shared" si="590"/>
        <v>13.961663039003177</v>
      </c>
      <c r="AS528" s="354">
        <f t="shared" si="591"/>
        <v>6.0500625671577577</v>
      </c>
      <c r="AT528" s="354">
        <f t="shared" si="592"/>
        <v>7.9116004718454196</v>
      </c>
      <c r="AU528" s="355" t="s">
        <v>396</v>
      </c>
      <c r="AV528" s="354" t="s">
        <v>397</v>
      </c>
      <c r="AW528" s="353">
        <v>0</v>
      </c>
      <c r="AX528" s="353">
        <v>0</v>
      </c>
      <c r="AY528" s="353">
        <v>0</v>
      </c>
      <c r="AZ528" s="353">
        <v>0</v>
      </c>
      <c r="BA528" s="353">
        <v>0</v>
      </c>
      <c r="BB528" s="353">
        <v>0</v>
      </c>
    </row>
    <row r="529" spans="1:54" x14ac:dyDescent="0.25">
      <c r="A529" s="348" t="s">
        <v>1286</v>
      </c>
      <c r="B529" s="573">
        <v>46</v>
      </c>
      <c r="C529" s="423">
        <v>45108</v>
      </c>
      <c r="D529" s="351">
        <v>45138</v>
      </c>
      <c r="E529" s="352"/>
      <c r="F529" s="352">
        <v>6</v>
      </c>
      <c r="G529" s="352" t="s">
        <v>317</v>
      </c>
      <c r="H529" s="424" t="s">
        <v>1293</v>
      </c>
      <c r="I529" s="350" t="s">
        <v>393</v>
      </c>
      <c r="J529" s="375">
        <f>1251995+169809+29400+18000+40000</f>
        <v>1509204</v>
      </c>
      <c r="K529" s="350" t="s">
        <v>394</v>
      </c>
      <c r="L529" s="354">
        <v>2802.3999950000002</v>
      </c>
      <c r="M529" s="375">
        <f t="shared" si="561"/>
        <v>538.53982396970423</v>
      </c>
      <c r="N529" s="354" t="s">
        <v>395</v>
      </c>
      <c r="O529" s="354">
        <v>0</v>
      </c>
      <c r="P529" s="374">
        <f t="shared" si="562"/>
        <v>33.932389849142353</v>
      </c>
      <c r="Q529" s="354">
        <f t="shared" si="563"/>
        <v>3.200342008795289</v>
      </c>
      <c r="R529" s="354">
        <f t="shared" si="564"/>
        <v>5.3948458146689715</v>
      </c>
      <c r="S529" s="354">
        <f t="shared" si="565"/>
        <v>4.8056564140298015</v>
      </c>
      <c r="T529" s="354">
        <f t="shared" si="566"/>
        <v>20.507571967466028</v>
      </c>
      <c r="U529" s="374">
        <f t="shared" si="567"/>
        <v>136.18540364064805</v>
      </c>
      <c r="V529" s="354">
        <f t="shared" si="568"/>
        <v>3.6049251634605799</v>
      </c>
      <c r="W529" s="354">
        <f t="shared" si="569"/>
        <v>122.97146368906661</v>
      </c>
      <c r="X529" s="354">
        <f t="shared" si="570"/>
        <v>9.609014788120863</v>
      </c>
      <c r="Y529" s="374">
        <f t="shared" si="571"/>
        <v>19.964571910004928</v>
      </c>
      <c r="Z529" s="354">
        <f t="shared" si="572"/>
        <v>10.298924594522845</v>
      </c>
      <c r="AA529" s="354">
        <f t="shared" si="573"/>
        <v>9.6656473154820812</v>
      </c>
      <c r="AB529" s="374">
        <f t="shared" si="574"/>
        <v>109.0743587484934</v>
      </c>
      <c r="AC529" s="354">
        <f t="shared" si="575"/>
        <v>30.954493543342771</v>
      </c>
      <c r="AD529" s="354">
        <f t="shared" si="576"/>
        <v>67.381056442963953</v>
      </c>
      <c r="AE529" s="354">
        <f t="shared" si="577"/>
        <v>10.73880876218667</v>
      </c>
      <c r="AF529" s="374">
        <f t="shared" si="578"/>
        <v>87.297577746300263</v>
      </c>
      <c r="AG529" s="354">
        <f t="shared" si="579"/>
        <v>5.6103274333004389</v>
      </c>
      <c r="AH529" s="354">
        <f t="shared" si="580"/>
        <v>28.227812684615134</v>
      </c>
      <c r="AI529" s="354">
        <f t="shared" si="581"/>
        <v>0</v>
      </c>
      <c r="AJ529" s="354">
        <f t="shared" si="582"/>
        <v>53.459437628384691</v>
      </c>
      <c r="AK529" s="374">
        <f t="shared" si="583"/>
        <v>57.659442577863643</v>
      </c>
      <c r="AL529" s="354">
        <f t="shared" si="584"/>
        <v>16.519813042151529</v>
      </c>
      <c r="AM529" s="354">
        <f t="shared" si="585"/>
        <v>38.963009097976425</v>
      </c>
      <c r="AN529" s="354">
        <f t="shared" si="586"/>
        <v>2.1766204377356879</v>
      </c>
      <c r="AO529" s="374">
        <f t="shared" si="587"/>
        <v>33.433549917519258</v>
      </c>
      <c r="AP529" s="354">
        <f t="shared" si="588"/>
        <v>7.666664662515589</v>
      </c>
      <c r="AQ529" s="354">
        <f t="shared" si="589"/>
        <v>25.766885255003672</v>
      </c>
      <c r="AR529" s="374">
        <f t="shared" si="590"/>
        <v>60.99252957973232</v>
      </c>
      <c r="AS529" s="354">
        <f t="shared" si="591"/>
        <v>26.430133649246628</v>
      </c>
      <c r="AT529" s="354">
        <f t="shared" si="592"/>
        <v>34.562395930485692</v>
      </c>
      <c r="AU529" s="355" t="s">
        <v>396</v>
      </c>
      <c r="AV529" s="354" t="s">
        <v>397</v>
      </c>
      <c r="AW529" s="353">
        <v>0</v>
      </c>
      <c r="AX529" s="353">
        <v>0</v>
      </c>
      <c r="AY529" s="353">
        <v>0</v>
      </c>
      <c r="AZ529" s="353">
        <v>0</v>
      </c>
      <c r="BA529" s="353">
        <v>0</v>
      </c>
      <c r="BB529" s="353">
        <v>0</v>
      </c>
    </row>
    <row r="530" spans="1:54" x14ac:dyDescent="0.25">
      <c r="A530" s="348" t="s">
        <v>1294</v>
      </c>
      <c r="B530" s="349">
        <v>47</v>
      </c>
      <c r="C530" s="423">
        <v>45108</v>
      </c>
      <c r="D530" s="351">
        <v>45138</v>
      </c>
      <c r="E530" s="352"/>
      <c r="F530" s="352">
        <v>6</v>
      </c>
      <c r="G530" s="352" t="s">
        <v>1295</v>
      </c>
      <c r="H530" s="424" t="s">
        <v>1296</v>
      </c>
      <c r="I530" s="350" t="s">
        <v>393</v>
      </c>
      <c r="J530" s="375">
        <v>2750000</v>
      </c>
      <c r="K530" s="350" t="s">
        <v>394</v>
      </c>
      <c r="L530" s="354">
        <v>2802.3999950000002</v>
      </c>
      <c r="M530" s="375">
        <f t="shared" si="561"/>
        <v>981.30174311536848</v>
      </c>
      <c r="N530" s="354" t="s">
        <v>395</v>
      </c>
      <c r="O530" s="354">
        <v>0</v>
      </c>
      <c r="P530" s="374">
        <f t="shared" si="562"/>
        <v>61.829992555772094</v>
      </c>
      <c r="Q530" s="354">
        <f t="shared" si="563"/>
        <v>5.8315115280552163</v>
      </c>
      <c r="R530" s="354">
        <f t="shared" si="564"/>
        <v>9.8302323544992412</v>
      </c>
      <c r="S530" s="354">
        <f t="shared" si="565"/>
        <v>8.7566393533160216</v>
      </c>
      <c r="T530" s="354">
        <f t="shared" si="566"/>
        <v>37.367925681704776</v>
      </c>
      <c r="U530" s="374">
        <f t="shared" si="567"/>
        <v>248.15058799988742</v>
      </c>
      <c r="V530" s="354">
        <f t="shared" si="568"/>
        <v>6.5687237772472074</v>
      </c>
      <c r="W530" s="354">
        <f t="shared" si="569"/>
        <v>224.07277289546883</v>
      </c>
      <c r="X530" s="354">
        <f t="shared" si="570"/>
        <v>17.50909132717139</v>
      </c>
      <c r="Y530" s="374">
        <f t="shared" si="571"/>
        <v>36.378496712514377</v>
      </c>
      <c r="Z530" s="354">
        <f t="shared" si="572"/>
        <v>18.766212278086872</v>
      </c>
      <c r="AA530" s="354">
        <f t="shared" si="573"/>
        <v>17.612284434427501</v>
      </c>
      <c r="AB530" s="374">
        <f t="shared" si="574"/>
        <v>198.75012692674869</v>
      </c>
      <c r="AC530" s="354">
        <f t="shared" si="575"/>
        <v>56.403811044890304</v>
      </c>
      <c r="AD530" s="354">
        <f t="shared" si="576"/>
        <v>122.7785675217869</v>
      </c>
      <c r="AE530" s="354">
        <f t="shared" si="577"/>
        <v>19.567748360071498</v>
      </c>
      <c r="AF530" s="374">
        <f t="shared" si="578"/>
        <v>159.06950869619064</v>
      </c>
      <c r="AG530" s="354">
        <f t="shared" si="579"/>
        <v>10.222872747207273</v>
      </c>
      <c r="AH530" s="354">
        <f t="shared" si="580"/>
        <v>51.435382415294164</v>
      </c>
      <c r="AI530" s="354">
        <f t="shared" si="581"/>
        <v>0</v>
      </c>
      <c r="AJ530" s="354">
        <f t="shared" si="582"/>
        <v>97.411253533689205</v>
      </c>
      <c r="AK530" s="374">
        <f t="shared" si="583"/>
        <v>105.06430349318251</v>
      </c>
      <c r="AL530" s="354">
        <f t="shared" si="584"/>
        <v>30.101620368032886</v>
      </c>
      <c r="AM530" s="354">
        <f t="shared" si="585"/>
        <v>70.996548524543513</v>
      </c>
      <c r="AN530" s="354">
        <f t="shared" si="586"/>
        <v>3.9661346006061091</v>
      </c>
      <c r="AO530" s="374">
        <f t="shared" si="587"/>
        <v>60.921030074912316</v>
      </c>
      <c r="AP530" s="354">
        <f t="shared" si="588"/>
        <v>13.969832986076018</v>
      </c>
      <c r="AQ530" s="354">
        <f t="shared" si="589"/>
        <v>46.951197088836302</v>
      </c>
      <c r="AR530" s="374">
        <f t="shared" si="590"/>
        <v>111.13769665616037</v>
      </c>
      <c r="AS530" s="354">
        <f t="shared" si="591"/>
        <v>48.159736878134581</v>
      </c>
      <c r="AT530" s="354">
        <f t="shared" si="592"/>
        <v>62.977959778025799</v>
      </c>
      <c r="AU530" s="355" t="s">
        <v>396</v>
      </c>
      <c r="AV530" s="354" t="s">
        <v>397</v>
      </c>
      <c r="AW530" s="353">
        <v>0</v>
      </c>
      <c r="AX530" s="353">
        <v>0</v>
      </c>
      <c r="AY530" s="353">
        <v>0</v>
      </c>
      <c r="AZ530" s="353">
        <v>0</v>
      </c>
      <c r="BA530" s="353">
        <v>0</v>
      </c>
      <c r="BB530" s="353">
        <v>0</v>
      </c>
    </row>
    <row r="531" spans="1:54" x14ac:dyDescent="0.25">
      <c r="A531" s="348" t="s">
        <v>1297</v>
      </c>
      <c r="B531" s="349">
        <v>48</v>
      </c>
      <c r="C531" s="423">
        <v>45108</v>
      </c>
      <c r="D531" s="351">
        <v>45138</v>
      </c>
      <c r="E531" s="352"/>
      <c r="F531" s="352">
        <v>6</v>
      </c>
      <c r="G531" s="352" t="s">
        <v>1298</v>
      </c>
      <c r="H531" s="424" t="s">
        <v>320</v>
      </c>
      <c r="I531" s="350" t="s">
        <v>393</v>
      </c>
      <c r="J531" s="375">
        <v>1100000</v>
      </c>
      <c r="K531" s="350" t="s">
        <v>394</v>
      </c>
      <c r="L531" s="354">
        <v>2802.3999950000002</v>
      </c>
      <c r="M531" s="375">
        <f t="shared" si="561"/>
        <v>392.52069724614739</v>
      </c>
      <c r="N531" s="354" t="s">
        <v>395</v>
      </c>
      <c r="O531" s="354">
        <v>0</v>
      </c>
      <c r="P531" s="374">
        <f t="shared" si="562"/>
        <v>24.731997022308835</v>
      </c>
      <c r="Q531" s="354">
        <f t="shared" si="563"/>
        <v>2.3326046112220862</v>
      </c>
      <c r="R531" s="354">
        <f t="shared" si="564"/>
        <v>3.9320929417996959</v>
      </c>
      <c r="S531" s="354">
        <f t="shared" si="565"/>
        <v>3.5026557413264086</v>
      </c>
      <c r="T531" s="354">
        <f t="shared" si="566"/>
        <v>14.947170272681909</v>
      </c>
      <c r="U531" s="374">
        <f t="shared" si="567"/>
        <v>99.260235199954963</v>
      </c>
      <c r="V531" s="354">
        <f t="shared" si="568"/>
        <v>2.6274895108988825</v>
      </c>
      <c r="W531" s="354">
        <f t="shared" si="569"/>
        <v>89.629109158187532</v>
      </c>
      <c r="X531" s="354">
        <f t="shared" si="570"/>
        <v>7.0036365308685555</v>
      </c>
      <c r="Y531" s="374">
        <f t="shared" si="571"/>
        <v>14.551398685005751</v>
      </c>
      <c r="Z531" s="354">
        <f t="shared" si="572"/>
        <v>7.5064849112347494</v>
      </c>
      <c r="AA531" s="354">
        <f t="shared" si="573"/>
        <v>7.0449137737710004</v>
      </c>
      <c r="AB531" s="374">
        <f t="shared" si="574"/>
        <v>79.500050770699474</v>
      </c>
      <c r="AC531" s="354">
        <f t="shared" si="575"/>
        <v>22.561524417956118</v>
      </c>
      <c r="AD531" s="354">
        <f t="shared" si="576"/>
        <v>49.111427008714756</v>
      </c>
      <c r="AE531" s="354">
        <f t="shared" si="577"/>
        <v>7.827099344028599</v>
      </c>
      <c r="AF531" s="374">
        <f t="shared" si="578"/>
        <v>63.62780347847626</v>
      </c>
      <c r="AG531" s="354">
        <f t="shared" si="579"/>
        <v>4.0891490988829098</v>
      </c>
      <c r="AH531" s="354">
        <f t="shared" si="580"/>
        <v>20.574152966117666</v>
      </c>
      <c r="AI531" s="354">
        <f t="shared" si="581"/>
        <v>0</v>
      </c>
      <c r="AJ531" s="354">
        <f t="shared" si="582"/>
        <v>38.964501413475688</v>
      </c>
      <c r="AK531" s="374">
        <f t="shared" si="583"/>
        <v>42.025721397273003</v>
      </c>
      <c r="AL531" s="354">
        <f t="shared" si="584"/>
        <v>12.040648147213155</v>
      </c>
      <c r="AM531" s="354">
        <f t="shared" si="585"/>
        <v>28.398619409817407</v>
      </c>
      <c r="AN531" s="354">
        <f t="shared" si="586"/>
        <v>1.5864538402424435</v>
      </c>
      <c r="AO531" s="374">
        <f t="shared" si="587"/>
        <v>24.368412029964926</v>
      </c>
      <c r="AP531" s="354">
        <f t="shared" si="588"/>
        <v>5.5879331944304074</v>
      </c>
      <c r="AQ531" s="354">
        <f t="shared" si="589"/>
        <v>18.78047883553452</v>
      </c>
      <c r="AR531" s="374">
        <f t="shared" si="590"/>
        <v>44.455078662464153</v>
      </c>
      <c r="AS531" s="354">
        <f t="shared" si="591"/>
        <v>19.263894751253833</v>
      </c>
      <c r="AT531" s="354">
        <f t="shared" si="592"/>
        <v>25.191183911210324</v>
      </c>
      <c r="AU531" s="355" t="s">
        <v>396</v>
      </c>
      <c r="AV531" s="354" t="s">
        <v>397</v>
      </c>
      <c r="AW531" s="353">
        <v>0</v>
      </c>
      <c r="AX531" s="353">
        <v>0</v>
      </c>
      <c r="AY531" s="353">
        <v>0</v>
      </c>
      <c r="AZ531" s="353">
        <v>0</v>
      </c>
      <c r="BA531" s="353">
        <v>0</v>
      </c>
      <c r="BB531" s="353">
        <v>0</v>
      </c>
    </row>
    <row r="532" spans="1:54" x14ac:dyDescent="0.25">
      <c r="A532" s="348" t="s">
        <v>1299</v>
      </c>
      <c r="B532" s="349">
        <v>49</v>
      </c>
      <c r="C532" s="423">
        <v>45108</v>
      </c>
      <c r="D532" s="351">
        <v>45114</v>
      </c>
      <c r="E532" s="352"/>
      <c r="F532" s="352">
        <v>6</v>
      </c>
      <c r="G532" s="352" t="s">
        <v>335</v>
      </c>
      <c r="H532" s="424" t="s">
        <v>1300</v>
      </c>
      <c r="I532" s="350" t="s">
        <v>393</v>
      </c>
      <c r="J532" s="375">
        <v>200000</v>
      </c>
      <c r="K532" s="350" t="s">
        <v>394</v>
      </c>
      <c r="L532" s="354">
        <v>2802.3999950000002</v>
      </c>
      <c r="M532" s="375">
        <f t="shared" si="561"/>
        <v>71.367399499299523</v>
      </c>
      <c r="N532" s="354" t="s">
        <v>395</v>
      </c>
      <c r="O532" s="354">
        <v>0</v>
      </c>
      <c r="P532" s="374">
        <f t="shared" si="562"/>
        <v>4.496726731328879</v>
      </c>
      <c r="Q532" s="354">
        <f t="shared" si="563"/>
        <v>0.42410992931310659</v>
      </c>
      <c r="R532" s="354">
        <f t="shared" si="564"/>
        <v>0.71492598941812646</v>
      </c>
      <c r="S532" s="354">
        <f t="shared" si="565"/>
        <v>0.63684649842298335</v>
      </c>
      <c r="T532" s="354">
        <f t="shared" si="566"/>
        <v>2.7176673223058017</v>
      </c>
      <c r="U532" s="374">
        <f t="shared" si="567"/>
        <v>18.047315490900903</v>
      </c>
      <c r="V532" s="354">
        <f t="shared" si="568"/>
        <v>0.47772536561797868</v>
      </c>
      <c r="W532" s="354">
        <f t="shared" si="569"/>
        <v>16.296201665125007</v>
      </c>
      <c r="X532" s="354">
        <f t="shared" si="570"/>
        <v>1.2733884601579193</v>
      </c>
      <c r="Y532" s="374">
        <f t="shared" si="571"/>
        <v>2.6457088518192271</v>
      </c>
      <c r="Z532" s="354">
        <f t="shared" si="572"/>
        <v>1.364815438406318</v>
      </c>
      <c r="AA532" s="354">
        <f t="shared" si="573"/>
        <v>1.2808934134129091</v>
      </c>
      <c r="AB532" s="374">
        <f t="shared" si="574"/>
        <v>14.454554685581723</v>
      </c>
      <c r="AC532" s="354">
        <f t="shared" si="575"/>
        <v>4.1020953487192946</v>
      </c>
      <c r="AD532" s="354">
        <f t="shared" si="576"/>
        <v>8.9293503652208646</v>
      </c>
      <c r="AE532" s="354">
        <f t="shared" si="577"/>
        <v>1.4231089716415635</v>
      </c>
      <c r="AF532" s="374">
        <f t="shared" si="578"/>
        <v>11.568691541541138</v>
      </c>
      <c r="AG532" s="354">
        <f t="shared" si="579"/>
        <v>0.74348165434234714</v>
      </c>
      <c r="AH532" s="354">
        <f t="shared" si="580"/>
        <v>3.7407550847486668</v>
      </c>
      <c r="AI532" s="354">
        <f t="shared" si="581"/>
        <v>0</v>
      </c>
      <c r="AJ532" s="354">
        <f t="shared" si="582"/>
        <v>7.084454802450125</v>
      </c>
      <c r="AK532" s="374">
        <f t="shared" si="583"/>
        <v>7.6410402540496367</v>
      </c>
      <c r="AL532" s="354">
        <f t="shared" si="584"/>
        <v>2.1892087540387553</v>
      </c>
      <c r="AM532" s="354">
        <f t="shared" si="585"/>
        <v>5.1633853472395286</v>
      </c>
      <c r="AN532" s="354">
        <f t="shared" si="586"/>
        <v>0.28844615277135338</v>
      </c>
      <c r="AO532" s="374">
        <f t="shared" si="587"/>
        <v>4.4306203690845321</v>
      </c>
      <c r="AP532" s="354">
        <f t="shared" si="588"/>
        <v>1.0159878535328013</v>
      </c>
      <c r="AQ532" s="354">
        <f t="shared" si="589"/>
        <v>3.4146325155517308</v>
      </c>
      <c r="AR532" s="374">
        <f t="shared" si="590"/>
        <v>8.0827415749934826</v>
      </c>
      <c r="AS532" s="354">
        <f t="shared" si="591"/>
        <v>3.5025263184097879</v>
      </c>
      <c r="AT532" s="354">
        <f t="shared" si="592"/>
        <v>4.5802152565836947</v>
      </c>
      <c r="AU532" s="355" t="s">
        <v>396</v>
      </c>
      <c r="AV532" s="354" t="s">
        <v>397</v>
      </c>
      <c r="AW532" s="353">
        <v>0</v>
      </c>
      <c r="AX532" s="353">
        <v>0</v>
      </c>
      <c r="AY532" s="353">
        <v>0</v>
      </c>
      <c r="AZ532" s="353">
        <v>0</v>
      </c>
      <c r="BA532" s="353">
        <v>0</v>
      </c>
      <c r="BB532" s="353">
        <v>0</v>
      </c>
    </row>
    <row r="533" spans="1:54" x14ac:dyDescent="0.25">
      <c r="A533" s="348" t="s">
        <v>1299</v>
      </c>
      <c r="B533" s="349">
        <v>49</v>
      </c>
      <c r="C533" s="423">
        <v>45108</v>
      </c>
      <c r="D533" s="351">
        <v>45114</v>
      </c>
      <c r="E533" s="352"/>
      <c r="F533" s="352">
        <v>6</v>
      </c>
      <c r="G533" s="352" t="s">
        <v>337</v>
      </c>
      <c r="H533" s="424" t="s">
        <v>1301</v>
      </c>
      <c r="I533" s="350" t="s">
        <v>393</v>
      </c>
      <c r="J533" s="375">
        <f>100000*30%</f>
        <v>30000</v>
      </c>
      <c r="K533" s="350" t="s">
        <v>394</v>
      </c>
      <c r="L533" s="354">
        <v>2802.3999950000002</v>
      </c>
      <c r="M533" s="375">
        <f t="shared" si="561"/>
        <v>10.705109924894929</v>
      </c>
      <c r="N533" s="354" t="s">
        <v>395</v>
      </c>
      <c r="O533" s="354">
        <v>0</v>
      </c>
      <c r="P533" s="374">
        <f t="shared" si="562"/>
        <v>0.67450900969933192</v>
      </c>
      <c r="Q533" s="354">
        <f t="shared" si="563"/>
        <v>6.3616489396966E-2</v>
      </c>
      <c r="R533" s="354">
        <f t="shared" si="564"/>
        <v>0.10723889841271898</v>
      </c>
      <c r="S533" s="354">
        <f t="shared" si="565"/>
        <v>9.5526974763447514E-2</v>
      </c>
      <c r="T533" s="354">
        <f t="shared" si="566"/>
        <v>0.40765009834587029</v>
      </c>
      <c r="U533" s="374">
        <f t="shared" si="567"/>
        <v>2.7070973236351357</v>
      </c>
      <c r="V533" s="354">
        <f t="shared" si="568"/>
        <v>7.1658804842696808E-2</v>
      </c>
      <c r="W533" s="354">
        <f t="shared" si="569"/>
        <v>2.4444302497687511</v>
      </c>
      <c r="X533" s="354">
        <f t="shared" si="570"/>
        <v>0.19100826902368789</v>
      </c>
      <c r="Y533" s="374">
        <f t="shared" si="571"/>
        <v>0.3968563277728841</v>
      </c>
      <c r="Z533" s="354">
        <f t="shared" si="572"/>
        <v>0.20472231576094771</v>
      </c>
      <c r="AA533" s="354">
        <f t="shared" si="573"/>
        <v>0.19213401201193636</v>
      </c>
      <c r="AB533" s="374">
        <f t="shared" si="574"/>
        <v>2.1681832028372585</v>
      </c>
      <c r="AC533" s="354">
        <f t="shared" si="575"/>
        <v>0.61531430230789419</v>
      </c>
      <c r="AD533" s="354">
        <f t="shared" si="576"/>
        <v>1.3394025547831296</v>
      </c>
      <c r="AE533" s="354">
        <f t="shared" si="577"/>
        <v>0.21346634574623452</v>
      </c>
      <c r="AF533" s="374">
        <f t="shared" si="578"/>
        <v>1.7353037312311708</v>
      </c>
      <c r="AG533" s="354">
        <f t="shared" si="579"/>
        <v>0.11152224815135207</v>
      </c>
      <c r="AH533" s="354">
        <f t="shared" si="580"/>
        <v>0.5611132627123</v>
      </c>
      <c r="AI533" s="354">
        <f t="shared" si="581"/>
        <v>0</v>
      </c>
      <c r="AJ533" s="354">
        <f t="shared" si="582"/>
        <v>1.0626682203675188</v>
      </c>
      <c r="AK533" s="374">
        <f t="shared" si="583"/>
        <v>1.1461560381074456</v>
      </c>
      <c r="AL533" s="354">
        <f t="shared" si="584"/>
        <v>0.32838131310581331</v>
      </c>
      <c r="AM533" s="354">
        <f t="shared" si="585"/>
        <v>0.77450780208592929</v>
      </c>
      <c r="AN533" s="354">
        <f t="shared" si="586"/>
        <v>4.3266922915703006E-2</v>
      </c>
      <c r="AO533" s="374">
        <f t="shared" si="587"/>
        <v>0.66459305536267976</v>
      </c>
      <c r="AP533" s="354">
        <f t="shared" si="588"/>
        <v>0.1523981780299202</v>
      </c>
      <c r="AQ533" s="354">
        <f t="shared" si="589"/>
        <v>0.51219487733275959</v>
      </c>
      <c r="AR533" s="374">
        <f t="shared" si="590"/>
        <v>1.2124112362490223</v>
      </c>
      <c r="AS533" s="354">
        <f t="shared" si="591"/>
        <v>0.5253789477614681</v>
      </c>
      <c r="AT533" s="354">
        <f t="shared" si="592"/>
        <v>0.68703228848755415</v>
      </c>
      <c r="AU533" s="355" t="s">
        <v>396</v>
      </c>
      <c r="AV533" s="354" t="s">
        <v>397</v>
      </c>
      <c r="AW533" s="353">
        <v>0</v>
      </c>
      <c r="AX533" s="353">
        <v>0</v>
      </c>
      <c r="AY533" s="353">
        <v>0</v>
      </c>
      <c r="AZ533" s="353">
        <v>0</v>
      </c>
      <c r="BA533" s="353">
        <v>0</v>
      </c>
      <c r="BB533" s="353">
        <v>0</v>
      </c>
    </row>
    <row r="534" spans="1:54" x14ac:dyDescent="0.25">
      <c r="A534" s="348" t="s">
        <v>1299</v>
      </c>
      <c r="B534" s="349">
        <v>49</v>
      </c>
      <c r="C534" s="423">
        <v>45108</v>
      </c>
      <c r="D534" s="351">
        <v>45114</v>
      </c>
      <c r="E534" s="352"/>
      <c r="F534" s="352">
        <v>6</v>
      </c>
      <c r="G534" s="352" t="s">
        <v>338</v>
      </c>
      <c r="H534" s="424" t="s">
        <v>1302</v>
      </c>
      <c r="I534" s="350" t="s">
        <v>393</v>
      </c>
      <c r="J534" s="375">
        <v>70000</v>
      </c>
      <c r="K534" s="350" t="s">
        <v>394</v>
      </c>
      <c r="L534" s="354">
        <v>2802.3999950000002</v>
      </c>
      <c r="M534" s="375">
        <f t="shared" si="561"/>
        <v>24.978589824754835</v>
      </c>
      <c r="N534" s="354" t="s">
        <v>395</v>
      </c>
      <c r="O534" s="354">
        <v>0</v>
      </c>
      <c r="P534" s="374">
        <f t="shared" si="562"/>
        <v>1.5738543559651077</v>
      </c>
      <c r="Q534" s="354">
        <f t="shared" si="563"/>
        <v>0.14843847525958731</v>
      </c>
      <c r="R534" s="354">
        <f t="shared" si="564"/>
        <v>0.25022409629634429</v>
      </c>
      <c r="S534" s="354">
        <f t="shared" si="565"/>
        <v>0.22289627444804419</v>
      </c>
      <c r="T534" s="354">
        <f t="shared" si="566"/>
        <v>0.95118356280703054</v>
      </c>
      <c r="U534" s="374">
        <f t="shared" si="567"/>
        <v>6.316560421815316</v>
      </c>
      <c r="V534" s="354">
        <f t="shared" si="568"/>
        <v>0.16720387796629255</v>
      </c>
      <c r="W534" s="354">
        <f t="shared" si="569"/>
        <v>5.7036705827937517</v>
      </c>
      <c r="X534" s="354">
        <f t="shared" si="570"/>
        <v>0.4456859610552717</v>
      </c>
      <c r="Y534" s="374">
        <f t="shared" si="571"/>
        <v>0.92599809813672962</v>
      </c>
      <c r="Z534" s="354">
        <f t="shared" si="572"/>
        <v>0.47768540344221133</v>
      </c>
      <c r="AA534" s="354">
        <f t="shared" si="573"/>
        <v>0.44831269469451823</v>
      </c>
      <c r="AB534" s="374">
        <f t="shared" si="574"/>
        <v>5.0590941399536034</v>
      </c>
      <c r="AC534" s="354">
        <f t="shared" si="575"/>
        <v>1.4357333720517531</v>
      </c>
      <c r="AD534" s="354">
        <f t="shared" si="576"/>
        <v>3.1252726278273029</v>
      </c>
      <c r="AE534" s="354">
        <f t="shared" si="577"/>
        <v>0.49808814007454721</v>
      </c>
      <c r="AF534" s="374">
        <f t="shared" si="578"/>
        <v>4.0490420395393985</v>
      </c>
      <c r="AG534" s="354">
        <f t="shared" si="579"/>
        <v>0.26021857901982154</v>
      </c>
      <c r="AH534" s="354">
        <f t="shared" si="580"/>
        <v>1.3092642796620335</v>
      </c>
      <c r="AI534" s="354">
        <f t="shared" si="581"/>
        <v>0</v>
      </c>
      <c r="AJ534" s="354">
        <f t="shared" si="582"/>
        <v>2.4795591808575437</v>
      </c>
      <c r="AK534" s="374">
        <f t="shared" si="583"/>
        <v>2.6743640889173732</v>
      </c>
      <c r="AL534" s="354">
        <f t="shared" si="584"/>
        <v>0.76622306391356443</v>
      </c>
      <c r="AM534" s="354">
        <f t="shared" si="585"/>
        <v>1.8071848715338352</v>
      </c>
      <c r="AN534" s="354">
        <f t="shared" si="586"/>
        <v>0.10095615346997369</v>
      </c>
      <c r="AO534" s="374">
        <f t="shared" si="587"/>
        <v>1.5507171291795863</v>
      </c>
      <c r="AP534" s="354">
        <f t="shared" si="588"/>
        <v>0.35559574873648048</v>
      </c>
      <c r="AQ534" s="354">
        <f t="shared" si="589"/>
        <v>1.1951213804431058</v>
      </c>
      <c r="AR534" s="374">
        <f t="shared" si="590"/>
        <v>2.8289595512477188</v>
      </c>
      <c r="AS534" s="354">
        <f t="shared" si="591"/>
        <v>1.2258842114434256</v>
      </c>
      <c r="AT534" s="354">
        <f t="shared" si="592"/>
        <v>1.6030753398042932</v>
      </c>
      <c r="AU534" s="355" t="s">
        <v>396</v>
      </c>
      <c r="AV534" s="354" t="s">
        <v>397</v>
      </c>
      <c r="AW534" s="353">
        <v>0</v>
      </c>
      <c r="AX534" s="353">
        <v>0</v>
      </c>
      <c r="AY534" s="353">
        <v>0</v>
      </c>
      <c r="AZ534" s="353">
        <v>0</v>
      </c>
      <c r="BA534" s="353">
        <v>0</v>
      </c>
      <c r="BB534" s="353">
        <v>0</v>
      </c>
    </row>
    <row r="535" spans="1:54" x14ac:dyDescent="0.25">
      <c r="A535" s="348" t="s">
        <v>1299</v>
      </c>
      <c r="B535" s="349">
        <v>49</v>
      </c>
      <c r="C535" s="423">
        <v>45108</v>
      </c>
      <c r="D535" s="351">
        <v>45114</v>
      </c>
      <c r="E535" s="352"/>
      <c r="F535" s="352">
        <v>6</v>
      </c>
      <c r="G535" s="352" t="s">
        <v>339</v>
      </c>
      <c r="H535" s="424" t="s">
        <v>1303</v>
      </c>
      <c r="I535" s="350" t="s">
        <v>393</v>
      </c>
      <c r="J535" s="375">
        <v>60000</v>
      </c>
      <c r="K535" s="350" t="s">
        <v>394</v>
      </c>
      <c r="L535" s="354">
        <v>2802.3999950000002</v>
      </c>
      <c r="M535" s="375">
        <f t="shared" si="561"/>
        <v>21.410219849789858</v>
      </c>
      <c r="N535" s="354" t="s">
        <v>395</v>
      </c>
      <c r="O535" s="354">
        <v>0</v>
      </c>
      <c r="P535" s="374">
        <f t="shared" si="562"/>
        <v>1.3490180193986638</v>
      </c>
      <c r="Q535" s="354">
        <f t="shared" si="563"/>
        <v>0.127232978793932</v>
      </c>
      <c r="R535" s="354">
        <f t="shared" si="564"/>
        <v>0.21447779682543797</v>
      </c>
      <c r="S535" s="354">
        <f t="shared" si="565"/>
        <v>0.19105394952689503</v>
      </c>
      <c r="T535" s="354">
        <f t="shared" si="566"/>
        <v>0.81530019669174059</v>
      </c>
      <c r="U535" s="374">
        <f t="shared" si="567"/>
        <v>5.4141946472702713</v>
      </c>
      <c r="V535" s="354">
        <f t="shared" si="568"/>
        <v>0.14331760968539362</v>
      </c>
      <c r="W535" s="354">
        <f t="shared" si="569"/>
        <v>4.8888604995375022</v>
      </c>
      <c r="X535" s="354">
        <f t="shared" si="570"/>
        <v>0.38201653804737579</v>
      </c>
      <c r="Y535" s="374">
        <f t="shared" si="571"/>
        <v>0.7937126555457682</v>
      </c>
      <c r="Z535" s="354">
        <f t="shared" si="572"/>
        <v>0.40944463152189542</v>
      </c>
      <c r="AA535" s="354">
        <f t="shared" si="573"/>
        <v>0.38426802402387272</v>
      </c>
      <c r="AB535" s="374">
        <f t="shared" si="574"/>
        <v>4.336366405674517</v>
      </c>
      <c r="AC535" s="354">
        <f t="shared" si="575"/>
        <v>1.2306286046157884</v>
      </c>
      <c r="AD535" s="354">
        <f t="shared" si="576"/>
        <v>2.6788051095662593</v>
      </c>
      <c r="AE535" s="354">
        <f t="shared" si="577"/>
        <v>0.42693269149246904</v>
      </c>
      <c r="AF535" s="374">
        <f t="shared" si="578"/>
        <v>3.4706074624623415</v>
      </c>
      <c r="AG535" s="354">
        <f t="shared" si="579"/>
        <v>0.22304449630270415</v>
      </c>
      <c r="AH535" s="354">
        <f t="shared" si="580"/>
        <v>1.1222265254246</v>
      </c>
      <c r="AI535" s="354">
        <f t="shared" si="581"/>
        <v>0</v>
      </c>
      <c r="AJ535" s="354">
        <f t="shared" si="582"/>
        <v>2.1253364407350377</v>
      </c>
      <c r="AK535" s="374">
        <f t="shared" si="583"/>
        <v>2.2923120762148912</v>
      </c>
      <c r="AL535" s="354">
        <f t="shared" si="584"/>
        <v>0.65676262621162662</v>
      </c>
      <c r="AM535" s="354">
        <f t="shared" si="585"/>
        <v>1.5490156041718586</v>
      </c>
      <c r="AN535" s="354">
        <f t="shared" si="586"/>
        <v>8.6533845831406012E-2</v>
      </c>
      <c r="AO535" s="374">
        <f t="shared" si="587"/>
        <v>1.3291861107253595</v>
      </c>
      <c r="AP535" s="354">
        <f t="shared" si="588"/>
        <v>0.3047963560598404</v>
      </c>
      <c r="AQ535" s="354">
        <f t="shared" si="589"/>
        <v>1.0243897546655192</v>
      </c>
      <c r="AR535" s="374">
        <f t="shared" si="590"/>
        <v>2.4248224724980445</v>
      </c>
      <c r="AS535" s="354">
        <f t="shared" si="591"/>
        <v>1.0507578955229362</v>
      </c>
      <c r="AT535" s="354">
        <f t="shared" si="592"/>
        <v>1.3740645769751083</v>
      </c>
      <c r="AU535" s="355" t="s">
        <v>396</v>
      </c>
      <c r="AV535" s="354" t="s">
        <v>397</v>
      </c>
      <c r="AW535" s="353">
        <v>0</v>
      </c>
      <c r="AX535" s="353">
        <v>0</v>
      </c>
      <c r="AY535" s="353">
        <v>0</v>
      </c>
      <c r="AZ535" s="353">
        <v>0</v>
      </c>
      <c r="BA535" s="353">
        <v>0</v>
      </c>
      <c r="BB535" s="353">
        <v>0</v>
      </c>
    </row>
    <row r="536" spans="1:54" x14ac:dyDescent="0.25">
      <c r="A536" s="348" t="s">
        <v>1299</v>
      </c>
      <c r="B536" s="349">
        <v>49</v>
      </c>
      <c r="C536" s="423">
        <v>45108</v>
      </c>
      <c r="D536" s="351">
        <v>45114</v>
      </c>
      <c r="E536" s="352"/>
      <c r="F536" s="352">
        <v>6</v>
      </c>
      <c r="G536" s="352" t="s">
        <v>340</v>
      </c>
      <c r="H536" s="424" t="s">
        <v>1304</v>
      </c>
      <c r="I536" s="350" t="s">
        <v>393</v>
      </c>
      <c r="J536" s="375">
        <v>29495</v>
      </c>
      <c r="K536" s="350" t="s">
        <v>394</v>
      </c>
      <c r="L536" s="354">
        <v>2802.3999950000002</v>
      </c>
      <c r="M536" s="375">
        <f t="shared" si="561"/>
        <v>10.524907241159196</v>
      </c>
      <c r="N536" s="354" t="s">
        <v>395</v>
      </c>
      <c r="O536" s="354">
        <v>0</v>
      </c>
      <c r="P536" s="374">
        <f t="shared" si="562"/>
        <v>0.66315477470272644</v>
      </c>
      <c r="Q536" s="354">
        <f t="shared" si="563"/>
        <v>6.254561182545039E-2</v>
      </c>
      <c r="R536" s="354">
        <f t="shared" si="564"/>
        <v>0.10543371028943821</v>
      </c>
      <c r="S536" s="354">
        <f t="shared" si="565"/>
        <v>9.3918937354929469E-2</v>
      </c>
      <c r="T536" s="354">
        <f t="shared" si="566"/>
        <v>0.4007879883570481</v>
      </c>
      <c r="U536" s="374">
        <f t="shared" si="567"/>
        <v>2.6615278520206105</v>
      </c>
      <c r="V536" s="354">
        <f t="shared" si="568"/>
        <v>7.0452548294511405E-2</v>
      </c>
      <c r="W536" s="354">
        <f t="shared" si="569"/>
        <v>2.40328234056431</v>
      </c>
      <c r="X536" s="354">
        <f t="shared" si="570"/>
        <v>0.18779296316178912</v>
      </c>
      <c r="Y536" s="374">
        <f t="shared" si="571"/>
        <v>0.39017591292204051</v>
      </c>
      <c r="Z536" s="354">
        <f t="shared" si="572"/>
        <v>0.20127615677897173</v>
      </c>
      <c r="AA536" s="354">
        <f t="shared" si="573"/>
        <v>0.18889975614306875</v>
      </c>
      <c r="AB536" s="374">
        <f t="shared" si="574"/>
        <v>2.1316854522561646</v>
      </c>
      <c r="AC536" s="354">
        <f t="shared" si="575"/>
        <v>0.60495651155237795</v>
      </c>
      <c r="AD536" s="354">
        <f t="shared" si="576"/>
        <v>1.3168559451109469</v>
      </c>
      <c r="AE536" s="354">
        <f t="shared" si="577"/>
        <v>0.20987299559283956</v>
      </c>
      <c r="AF536" s="374">
        <f t="shared" si="578"/>
        <v>1.7060927850887793</v>
      </c>
      <c r="AG536" s="354">
        <f t="shared" si="579"/>
        <v>0.10964495697413765</v>
      </c>
      <c r="AH536" s="354">
        <f t="shared" si="580"/>
        <v>0.5516678561233096</v>
      </c>
      <c r="AI536" s="354">
        <f t="shared" si="581"/>
        <v>0</v>
      </c>
      <c r="AJ536" s="354">
        <f t="shared" si="582"/>
        <v>1.0447799719913322</v>
      </c>
      <c r="AK536" s="374">
        <f t="shared" si="583"/>
        <v>1.1268624114659702</v>
      </c>
      <c r="AL536" s="354">
        <f t="shared" si="584"/>
        <v>0.32285356100186546</v>
      </c>
      <c r="AM536" s="354">
        <f t="shared" si="585"/>
        <v>0.76147025408414948</v>
      </c>
      <c r="AN536" s="354">
        <f t="shared" si="586"/>
        <v>4.2538596379955343E-2</v>
      </c>
      <c r="AO536" s="374">
        <f t="shared" si="587"/>
        <v>0.65340573893074128</v>
      </c>
      <c r="AP536" s="354">
        <f t="shared" si="588"/>
        <v>0.14983280869974985</v>
      </c>
      <c r="AQ536" s="354">
        <f t="shared" si="589"/>
        <v>0.50357293023099148</v>
      </c>
      <c r="AR536" s="374">
        <f t="shared" si="590"/>
        <v>1.1920023137721636</v>
      </c>
      <c r="AS536" s="354">
        <f t="shared" si="591"/>
        <v>0.51653506880748334</v>
      </c>
      <c r="AT536" s="354">
        <f t="shared" si="592"/>
        <v>0.67546724496468025</v>
      </c>
      <c r="AU536" s="355" t="s">
        <v>396</v>
      </c>
      <c r="AV536" s="354" t="s">
        <v>397</v>
      </c>
      <c r="AW536" s="353">
        <v>0</v>
      </c>
      <c r="AX536" s="353">
        <v>0</v>
      </c>
      <c r="AY536" s="353">
        <v>0</v>
      </c>
      <c r="AZ536" s="353">
        <v>0</v>
      </c>
      <c r="BA536" s="353">
        <v>0</v>
      </c>
      <c r="BB536" s="353">
        <v>0</v>
      </c>
    </row>
    <row r="537" spans="1:54" x14ac:dyDescent="0.25">
      <c r="A537" s="348" t="s">
        <v>1305</v>
      </c>
      <c r="B537" s="349">
        <v>50</v>
      </c>
      <c r="C537" s="423">
        <v>45108</v>
      </c>
      <c r="D537" s="351">
        <v>45113</v>
      </c>
      <c r="E537" s="352"/>
      <c r="F537" s="352">
        <v>6</v>
      </c>
      <c r="G537" s="352" t="s">
        <v>1306</v>
      </c>
      <c r="H537" s="424" t="s">
        <v>1307</v>
      </c>
      <c r="I537" s="350" t="s">
        <v>393</v>
      </c>
      <c r="J537" s="375">
        <f>19500+19500+26000+19500</f>
        <v>84500</v>
      </c>
      <c r="K537" s="350" t="s">
        <v>394</v>
      </c>
      <c r="L537" s="354">
        <v>2802.3999950000002</v>
      </c>
      <c r="M537" s="375">
        <f t="shared" si="561"/>
        <v>30.152726288454048</v>
      </c>
      <c r="N537" s="354" t="s">
        <v>395</v>
      </c>
      <c r="O537" s="354">
        <v>0</v>
      </c>
      <c r="P537" s="374">
        <f t="shared" si="562"/>
        <v>1.8998670439864513</v>
      </c>
      <c r="Q537" s="354">
        <f t="shared" si="563"/>
        <v>0.17918644513478754</v>
      </c>
      <c r="R537" s="354">
        <f t="shared" si="564"/>
        <v>0.30205623052915842</v>
      </c>
      <c r="S537" s="354">
        <f t="shared" si="565"/>
        <v>0.26906764558371049</v>
      </c>
      <c r="T537" s="354">
        <f t="shared" si="566"/>
        <v>1.1482144436742012</v>
      </c>
      <c r="U537" s="374">
        <f t="shared" si="567"/>
        <v>7.6249907949056315</v>
      </c>
      <c r="V537" s="354">
        <f t="shared" si="568"/>
        <v>0.20183896697359599</v>
      </c>
      <c r="W537" s="354">
        <f t="shared" si="569"/>
        <v>6.8851452035153153</v>
      </c>
      <c r="X537" s="354">
        <f t="shared" si="570"/>
        <v>0.53800662441672087</v>
      </c>
      <c r="Y537" s="374">
        <f t="shared" si="571"/>
        <v>1.1178119898936234</v>
      </c>
      <c r="Z537" s="354">
        <f t="shared" si="572"/>
        <v>0.57663452272666926</v>
      </c>
      <c r="AA537" s="354">
        <f t="shared" si="573"/>
        <v>0.54117746716695403</v>
      </c>
      <c r="AB537" s="374">
        <f t="shared" si="574"/>
        <v>6.1070493546582778</v>
      </c>
      <c r="AC537" s="354">
        <f t="shared" si="575"/>
        <v>1.7331352848339019</v>
      </c>
      <c r="AD537" s="354">
        <f t="shared" si="576"/>
        <v>3.7726505293058152</v>
      </c>
      <c r="AE537" s="354">
        <f t="shared" si="577"/>
        <v>0.60126354051856057</v>
      </c>
      <c r="AF537" s="374">
        <f t="shared" si="578"/>
        <v>4.887772176301131</v>
      </c>
      <c r="AG537" s="354">
        <f t="shared" si="579"/>
        <v>0.31412099895964168</v>
      </c>
      <c r="AH537" s="354">
        <f t="shared" si="580"/>
        <v>1.5804690233063117</v>
      </c>
      <c r="AI537" s="354">
        <f t="shared" si="581"/>
        <v>0</v>
      </c>
      <c r="AJ537" s="354">
        <f t="shared" si="582"/>
        <v>2.993182154035178</v>
      </c>
      <c r="AK537" s="374">
        <f t="shared" si="583"/>
        <v>3.2283395073359715</v>
      </c>
      <c r="AL537" s="354">
        <f t="shared" si="584"/>
        <v>0.92494069858137407</v>
      </c>
      <c r="AM537" s="354">
        <f t="shared" si="585"/>
        <v>2.1815303092087008</v>
      </c>
      <c r="AN537" s="354">
        <f t="shared" si="586"/>
        <v>0.12186849954589681</v>
      </c>
      <c r="AO537" s="374">
        <f t="shared" si="587"/>
        <v>1.8719371059382146</v>
      </c>
      <c r="AP537" s="354">
        <f t="shared" si="588"/>
        <v>0.42925486811760849</v>
      </c>
      <c r="AQ537" s="354">
        <f t="shared" si="589"/>
        <v>1.4426822378206061</v>
      </c>
      <c r="AR537" s="374">
        <f t="shared" si="590"/>
        <v>3.4149583154347458</v>
      </c>
      <c r="AS537" s="354">
        <f t="shared" si="591"/>
        <v>1.4798173695281351</v>
      </c>
      <c r="AT537" s="354">
        <f t="shared" si="592"/>
        <v>1.9351409459066109</v>
      </c>
      <c r="AU537" s="355" t="s">
        <v>396</v>
      </c>
      <c r="AV537" s="354" t="s">
        <v>397</v>
      </c>
      <c r="AW537" s="353">
        <v>0</v>
      </c>
      <c r="AX537" s="353">
        <v>0</v>
      </c>
      <c r="AY537" s="353">
        <v>0</v>
      </c>
      <c r="AZ537" s="353">
        <v>0</v>
      </c>
      <c r="BA537" s="353">
        <v>0</v>
      </c>
      <c r="BB537" s="353">
        <v>0</v>
      </c>
    </row>
    <row r="538" spans="1:54" x14ac:dyDescent="0.25">
      <c r="A538" s="348" t="s">
        <v>1308</v>
      </c>
      <c r="B538" s="349">
        <v>51</v>
      </c>
      <c r="C538" s="423">
        <v>45108</v>
      </c>
      <c r="D538" s="351">
        <v>45135</v>
      </c>
      <c r="E538" s="352"/>
      <c r="F538" s="352">
        <v>6</v>
      </c>
      <c r="G538" s="352" t="s">
        <v>336</v>
      </c>
      <c r="H538" s="424" t="s">
        <v>1309</v>
      </c>
      <c r="I538" s="350" t="s">
        <v>393</v>
      </c>
      <c r="J538" s="375">
        <v>150000</v>
      </c>
      <c r="K538" s="350" t="s">
        <v>394</v>
      </c>
      <c r="L538" s="354">
        <v>2802.3999950000002</v>
      </c>
      <c r="M538" s="375">
        <f t="shared" si="561"/>
        <v>53.525549624474642</v>
      </c>
      <c r="N538" s="354" t="s">
        <v>395</v>
      </c>
      <c r="O538" s="354">
        <v>0</v>
      </c>
      <c r="P538" s="374">
        <f t="shared" si="562"/>
        <v>3.3725450484966593</v>
      </c>
      <c r="Q538" s="354">
        <f t="shared" si="563"/>
        <v>0.31808244698482996</v>
      </c>
      <c r="R538" s="354">
        <f t="shared" si="564"/>
        <v>0.53619449206359482</v>
      </c>
      <c r="S538" s="354">
        <f t="shared" si="565"/>
        <v>0.47763487381723752</v>
      </c>
      <c r="T538" s="354">
        <f t="shared" si="566"/>
        <v>2.0382504917293511</v>
      </c>
      <c r="U538" s="374">
        <f t="shared" si="567"/>
        <v>13.535486618175677</v>
      </c>
      <c r="V538" s="354">
        <f t="shared" si="568"/>
        <v>0.358294024213484</v>
      </c>
      <c r="W538" s="354">
        <f t="shared" si="569"/>
        <v>12.222151248843755</v>
      </c>
      <c r="X538" s="354">
        <f t="shared" si="570"/>
        <v>0.9550413451184393</v>
      </c>
      <c r="Y538" s="374">
        <f t="shared" si="571"/>
        <v>1.9842816388644204</v>
      </c>
      <c r="Z538" s="354">
        <f t="shared" si="572"/>
        <v>1.0236115788047384</v>
      </c>
      <c r="AA538" s="354">
        <f t="shared" si="573"/>
        <v>0.96067006005968181</v>
      </c>
      <c r="AB538" s="374">
        <f t="shared" si="574"/>
        <v>10.840916014186291</v>
      </c>
      <c r="AC538" s="354">
        <f t="shared" si="575"/>
        <v>3.0765715115394707</v>
      </c>
      <c r="AD538" s="354">
        <f t="shared" si="576"/>
        <v>6.697012773915648</v>
      </c>
      <c r="AE538" s="354">
        <f t="shared" si="577"/>
        <v>1.0673317287311725</v>
      </c>
      <c r="AF538" s="374">
        <f t="shared" si="578"/>
        <v>8.6765186561558529</v>
      </c>
      <c r="AG538" s="354">
        <f t="shared" si="579"/>
        <v>0.55761124075676038</v>
      </c>
      <c r="AH538" s="354">
        <f t="shared" si="580"/>
        <v>2.8055663135614997</v>
      </c>
      <c r="AI538" s="354">
        <f t="shared" si="581"/>
        <v>0</v>
      </c>
      <c r="AJ538" s="354">
        <f t="shared" si="582"/>
        <v>5.3133411018375929</v>
      </c>
      <c r="AK538" s="374">
        <f t="shared" si="583"/>
        <v>5.730780190537228</v>
      </c>
      <c r="AL538" s="354">
        <f t="shared" si="584"/>
        <v>1.6419065655290666</v>
      </c>
      <c r="AM538" s="354">
        <f t="shared" si="585"/>
        <v>3.8725390104296467</v>
      </c>
      <c r="AN538" s="354">
        <f t="shared" si="586"/>
        <v>0.21633461457851505</v>
      </c>
      <c r="AO538" s="374">
        <f t="shared" si="587"/>
        <v>3.3229652768133988</v>
      </c>
      <c r="AP538" s="354">
        <f t="shared" si="588"/>
        <v>0.76199089014960097</v>
      </c>
      <c r="AQ538" s="354">
        <f t="shared" si="589"/>
        <v>2.5609743866637982</v>
      </c>
      <c r="AR538" s="374">
        <f t="shared" si="590"/>
        <v>6.0620561812451115</v>
      </c>
      <c r="AS538" s="354">
        <f t="shared" si="591"/>
        <v>2.6268947388073407</v>
      </c>
      <c r="AT538" s="354">
        <f t="shared" si="592"/>
        <v>3.4351614424377712</v>
      </c>
      <c r="AU538" s="355" t="s">
        <v>396</v>
      </c>
      <c r="AV538" s="354" t="s">
        <v>397</v>
      </c>
      <c r="AW538" s="353">
        <v>0</v>
      </c>
      <c r="AX538" s="353">
        <v>0</v>
      </c>
      <c r="AY538" s="353">
        <v>0</v>
      </c>
      <c r="AZ538" s="353">
        <v>0</v>
      </c>
      <c r="BA538" s="353">
        <v>0</v>
      </c>
      <c r="BB538" s="353">
        <v>0</v>
      </c>
    </row>
    <row r="539" spans="1:54" x14ac:dyDescent="0.25">
      <c r="A539" s="348" t="s">
        <v>737</v>
      </c>
      <c r="B539" s="349">
        <v>52</v>
      </c>
      <c r="C539" s="423">
        <v>45108</v>
      </c>
      <c r="D539" s="351">
        <v>45138</v>
      </c>
      <c r="E539" s="352"/>
      <c r="F539" s="352">
        <v>6</v>
      </c>
      <c r="G539" s="352" t="s">
        <v>342</v>
      </c>
      <c r="H539" s="424" t="s">
        <v>1310</v>
      </c>
      <c r="I539" s="350" t="s">
        <v>393</v>
      </c>
      <c r="J539" s="375">
        <v>3000</v>
      </c>
      <c r="K539" s="350" t="s">
        <v>394</v>
      </c>
      <c r="L539" s="354">
        <v>2802.3999950000002</v>
      </c>
      <c r="M539" s="375">
        <f t="shared" si="561"/>
        <v>1.0705109924894929</v>
      </c>
      <c r="N539" s="354" t="s">
        <v>395</v>
      </c>
      <c r="O539" s="354">
        <v>0</v>
      </c>
      <c r="P539" s="374">
        <f t="shared" si="562"/>
        <v>6.7450900969933184E-2</v>
      </c>
      <c r="Q539" s="354">
        <f t="shared" si="563"/>
        <v>6.3616489396965984E-3</v>
      </c>
      <c r="R539" s="354">
        <f t="shared" si="564"/>
        <v>1.0723889841271896E-2</v>
      </c>
      <c r="S539" s="354">
        <f t="shared" si="565"/>
        <v>9.5526974763447507E-3</v>
      </c>
      <c r="T539" s="354">
        <f t="shared" si="566"/>
        <v>4.0765009834587022E-2</v>
      </c>
      <c r="U539" s="374">
        <f t="shared" si="567"/>
        <v>0.27070973236351353</v>
      </c>
      <c r="V539" s="354">
        <f t="shared" si="568"/>
        <v>7.1658804842696803E-3</v>
      </c>
      <c r="W539" s="354">
        <f t="shared" si="569"/>
        <v>0.24444302497687509</v>
      </c>
      <c r="X539" s="354">
        <f t="shared" si="570"/>
        <v>1.9100826902368789E-2</v>
      </c>
      <c r="Y539" s="374">
        <f t="shared" si="571"/>
        <v>3.9685632777288413E-2</v>
      </c>
      <c r="Z539" s="354">
        <f t="shared" si="572"/>
        <v>2.0472231576094773E-2</v>
      </c>
      <c r="AA539" s="354">
        <f t="shared" si="573"/>
        <v>1.921340120119364E-2</v>
      </c>
      <c r="AB539" s="374">
        <f t="shared" si="574"/>
        <v>0.21681832028372586</v>
      </c>
      <c r="AC539" s="354">
        <f t="shared" si="575"/>
        <v>6.153143023078942E-2</v>
      </c>
      <c r="AD539" s="354">
        <f t="shared" si="576"/>
        <v>0.13394025547831298</v>
      </c>
      <c r="AE539" s="354">
        <f t="shared" si="577"/>
        <v>2.1346634574623453E-2</v>
      </c>
      <c r="AF539" s="374">
        <f t="shared" si="578"/>
        <v>0.17353037312311709</v>
      </c>
      <c r="AG539" s="354">
        <f t="shared" si="579"/>
        <v>1.1152224815135208E-2</v>
      </c>
      <c r="AH539" s="354">
        <f t="shared" si="580"/>
        <v>5.6111326271230007E-2</v>
      </c>
      <c r="AI539" s="354">
        <f t="shared" si="581"/>
        <v>0</v>
      </c>
      <c r="AJ539" s="354">
        <f t="shared" si="582"/>
        <v>0.10626682203675189</v>
      </c>
      <c r="AK539" s="374">
        <f t="shared" si="583"/>
        <v>0.11461560381074455</v>
      </c>
      <c r="AL539" s="354">
        <f t="shared" si="584"/>
        <v>3.2838131310581331E-2</v>
      </c>
      <c r="AM539" s="354">
        <f t="shared" si="585"/>
        <v>7.7450780208592918E-2</v>
      </c>
      <c r="AN539" s="354">
        <f t="shared" si="586"/>
        <v>4.3266922915703009E-3</v>
      </c>
      <c r="AO539" s="374">
        <f t="shared" si="587"/>
        <v>6.6459305536267985E-2</v>
      </c>
      <c r="AP539" s="354">
        <f t="shared" si="588"/>
        <v>1.5239817802992021E-2</v>
      </c>
      <c r="AQ539" s="354">
        <f t="shared" si="589"/>
        <v>5.1219487733275969E-2</v>
      </c>
      <c r="AR539" s="374">
        <f t="shared" si="590"/>
        <v>0.12124112362490223</v>
      </c>
      <c r="AS539" s="354">
        <f t="shared" si="591"/>
        <v>5.2537894776146815E-2</v>
      </c>
      <c r="AT539" s="354">
        <f t="shared" si="592"/>
        <v>6.8703228848755418E-2</v>
      </c>
      <c r="AU539" s="355" t="s">
        <v>396</v>
      </c>
      <c r="AV539" s="354" t="s">
        <v>397</v>
      </c>
      <c r="AW539" s="353">
        <v>0</v>
      </c>
      <c r="AX539" s="353">
        <v>0</v>
      </c>
      <c r="AY539" s="353">
        <v>0</v>
      </c>
      <c r="AZ539" s="353">
        <v>0</v>
      </c>
      <c r="BA539" s="353">
        <v>0</v>
      </c>
      <c r="BB539" s="353">
        <v>0</v>
      </c>
    </row>
    <row r="540" spans="1:54" ht="30" x14ac:dyDescent="0.25">
      <c r="A540" s="348" t="s">
        <v>1311</v>
      </c>
      <c r="B540" s="349">
        <v>60</v>
      </c>
      <c r="C540" s="423">
        <v>45139</v>
      </c>
      <c r="D540" s="351">
        <v>45169</v>
      </c>
      <c r="E540" s="352"/>
      <c r="F540" s="352">
        <v>6</v>
      </c>
      <c r="G540" s="352" t="s">
        <v>312</v>
      </c>
      <c r="H540" s="424" t="s">
        <v>1312</v>
      </c>
      <c r="I540" s="350" t="s">
        <v>393</v>
      </c>
      <c r="J540" s="375">
        <f>3827662*10%</f>
        <v>382766.2</v>
      </c>
      <c r="K540" s="350" t="s">
        <v>394</v>
      </c>
      <c r="L540" s="354">
        <v>2802.3999950000002</v>
      </c>
      <c r="M540" s="375">
        <f t="shared" si="561"/>
        <v>136.58514155114392</v>
      </c>
      <c r="N540" s="354" t="s">
        <v>395</v>
      </c>
      <c r="O540" s="354">
        <v>0</v>
      </c>
      <c r="P540" s="374">
        <f t="shared" si="562"/>
        <v>8.6059750169458802</v>
      </c>
      <c r="Q540" s="354">
        <f t="shared" si="563"/>
        <v>0.81167473012723212</v>
      </c>
      <c r="R540" s="354">
        <f t="shared" si="564"/>
        <v>1.3682475212540826</v>
      </c>
      <c r="S540" s="354">
        <f t="shared" si="565"/>
        <v>1.2188165709233567</v>
      </c>
      <c r="T540" s="354">
        <f t="shared" si="566"/>
        <v>5.2011559691158347</v>
      </c>
      <c r="U540" s="374">
        <f t="shared" si="567"/>
        <v>34.539511853266369</v>
      </c>
      <c r="V540" s="354">
        <f t="shared" si="568"/>
        <v>0.91428561420602183</v>
      </c>
      <c r="W540" s="354">
        <f t="shared" si="569"/>
        <v>31.188175928967858</v>
      </c>
      <c r="X540" s="354">
        <f t="shared" si="570"/>
        <v>2.437050310092491</v>
      </c>
      <c r="Y540" s="374">
        <f t="shared" si="571"/>
        <v>5.0634396175860443</v>
      </c>
      <c r="Z540" s="354">
        <f t="shared" si="572"/>
        <v>2.6120260953006023</v>
      </c>
      <c r="AA540" s="354">
        <f t="shared" si="573"/>
        <v>2.4514135222854416</v>
      </c>
      <c r="AB540" s="374">
        <f t="shared" si="574"/>
        <v>27.663574848461558</v>
      </c>
      <c r="AC540" s="354">
        <f t="shared" si="575"/>
        <v>7.8507172433347971</v>
      </c>
      <c r="AD540" s="354">
        <f t="shared" si="576"/>
        <v>17.089267538821016</v>
      </c>
      <c r="AE540" s="354">
        <f t="shared" si="577"/>
        <v>2.7235900663057455</v>
      </c>
      <c r="AF540" s="374">
        <f t="shared" si="578"/>
        <v>22.140520501639219</v>
      </c>
      <c r="AG540" s="354">
        <f t="shared" si="579"/>
        <v>1.4228982380116688</v>
      </c>
      <c r="AH540" s="354">
        <f t="shared" si="580"/>
        <v>7.1591730445996262</v>
      </c>
      <c r="AI540" s="354">
        <f t="shared" si="581"/>
        <v>0</v>
      </c>
      <c r="AJ540" s="354">
        <f t="shared" si="582"/>
        <v>13.558449219027926</v>
      </c>
      <c r="AK540" s="374">
        <f t="shared" si="583"/>
        <v>14.623659710448072</v>
      </c>
      <c r="AL540" s="354">
        <f t="shared" si="584"/>
        <v>4.1897755789507451</v>
      </c>
      <c r="AM540" s="354">
        <f t="shared" si="585"/>
        <v>9.8818469424927748</v>
      </c>
      <c r="AN540" s="354">
        <f t="shared" si="586"/>
        <v>0.55203718900455201</v>
      </c>
      <c r="AO540" s="374">
        <f t="shared" si="587"/>
        <v>8.4794586115854198</v>
      </c>
      <c r="AP540" s="354">
        <f t="shared" si="588"/>
        <v>1.9444290497145349</v>
      </c>
      <c r="AQ540" s="354">
        <f t="shared" si="589"/>
        <v>6.5350295618708856</v>
      </c>
      <c r="AR540" s="374">
        <f t="shared" si="590"/>
        <v>15.469001391211352</v>
      </c>
      <c r="AS540" s="354">
        <f t="shared" si="591"/>
        <v>6.7032434464885231</v>
      </c>
      <c r="AT540" s="354">
        <f t="shared" si="592"/>
        <v>8.7657579447228304</v>
      </c>
      <c r="AU540" s="355" t="s">
        <v>396</v>
      </c>
      <c r="AV540" s="354" t="s">
        <v>397</v>
      </c>
      <c r="AW540" s="353">
        <v>0</v>
      </c>
      <c r="AX540" s="353">
        <v>0</v>
      </c>
      <c r="AY540" s="353">
        <v>0</v>
      </c>
      <c r="AZ540" s="353">
        <v>0</v>
      </c>
      <c r="BA540" s="353">
        <v>0</v>
      </c>
      <c r="BB540" s="353">
        <v>0</v>
      </c>
    </row>
    <row r="541" spans="1:54" ht="30" x14ac:dyDescent="0.25">
      <c r="A541" s="348" t="s">
        <v>1311</v>
      </c>
      <c r="B541" s="349">
        <v>60</v>
      </c>
      <c r="C541" s="423">
        <v>45139</v>
      </c>
      <c r="D541" s="351">
        <v>45169</v>
      </c>
      <c r="E541" s="352"/>
      <c r="F541" s="352">
        <v>6</v>
      </c>
      <c r="G541" s="352" t="s">
        <v>313</v>
      </c>
      <c r="H541" s="424" t="s">
        <v>1313</v>
      </c>
      <c r="I541" s="350" t="s">
        <v>393</v>
      </c>
      <c r="J541" s="375">
        <f>2279846*5%</f>
        <v>113992.3</v>
      </c>
      <c r="K541" s="350" t="s">
        <v>394</v>
      </c>
      <c r="L541" s="354">
        <v>2802.3999950000002</v>
      </c>
      <c r="M541" s="375">
        <f t="shared" si="561"/>
        <v>40.676670069720004</v>
      </c>
      <c r="N541" s="354" t="s">
        <v>395</v>
      </c>
      <c r="O541" s="354">
        <v>0</v>
      </c>
      <c r="P541" s="374">
        <f t="shared" si="562"/>
        <v>2.562961112878305</v>
      </c>
      <c r="Q541" s="354">
        <f t="shared" si="563"/>
        <v>0.24172633147619221</v>
      </c>
      <c r="R541" s="354">
        <f t="shared" si="564"/>
        <v>0.4074802893177395</v>
      </c>
      <c r="S541" s="354">
        <f t="shared" si="565"/>
        <v>0.36297798551091126</v>
      </c>
      <c r="T541" s="354">
        <f t="shared" si="566"/>
        <v>1.5489657435223982</v>
      </c>
      <c r="U541" s="374">
        <f t="shared" si="567"/>
        <v>10.286275008167115</v>
      </c>
      <c r="V541" s="354">
        <f t="shared" si="568"/>
        <v>0.27228506597567154</v>
      </c>
      <c r="W541" s="354">
        <f t="shared" si="569"/>
        <v>9.288207545357146</v>
      </c>
      <c r="X541" s="354">
        <f t="shared" si="570"/>
        <v>0.72578239683429779</v>
      </c>
      <c r="Y541" s="374">
        <f t="shared" si="571"/>
        <v>1.5079521857461644</v>
      </c>
      <c r="Z541" s="354">
        <f t="shared" si="572"/>
        <v>0.77789225449722255</v>
      </c>
      <c r="AA541" s="354">
        <f t="shared" si="573"/>
        <v>0.73005993124894175</v>
      </c>
      <c r="AB541" s="374">
        <f t="shared" si="574"/>
        <v>8.2385396704261868</v>
      </c>
      <c r="AC541" s="354">
        <f t="shared" si="575"/>
        <v>2.338036418099072</v>
      </c>
      <c r="AD541" s="354">
        <f t="shared" si="576"/>
        <v>5.0893859281868314</v>
      </c>
      <c r="AE541" s="354">
        <f t="shared" si="577"/>
        <v>0.81111732414028292</v>
      </c>
      <c r="AF541" s="374">
        <f t="shared" si="578"/>
        <v>6.5937087840540993</v>
      </c>
      <c r="AG541" s="354">
        <f t="shared" si="579"/>
        <v>0.42375591893144571</v>
      </c>
      <c r="AH541" s="354">
        <f t="shared" si="580"/>
        <v>2.1320863792359774</v>
      </c>
      <c r="AI541" s="354">
        <f t="shared" si="581"/>
        <v>0</v>
      </c>
      <c r="AJ541" s="354">
        <f t="shared" si="582"/>
        <v>4.0378664858866768</v>
      </c>
      <c r="AK541" s="374">
        <f t="shared" si="583"/>
        <v>4.3550987647585115</v>
      </c>
      <c r="AL541" s="354">
        <f t="shared" si="584"/>
        <v>1.2477647052650598</v>
      </c>
      <c r="AM541" s="354">
        <f t="shared" si="585"/>
        <v>2.9429308575906621</v>
      </c>
      <c r="AN541" s="354">
        <f t="shared" si="586"/>
        <v>0.1644032019027897</v>
      </c>
      <c r="AO541" s="374">
        <f t="shared" si="587"/>
        <v>2.5252830314939732</v>
      </c>
      <c r="AP541" s="354">
        <f t="shared" si="588"/>
        <v>0.57907396098133568</v>
      </c>
      <c r="AQ541" s="354">
        <f t="shared" si="589"/>
        <v>1.9462090705126376</v>
      </c>
      <c r="AR541" s="374">
        <f t="shared" si="590"/>
        <v>4.6068515121956475</v>
      </c>
      <c r="AS541" s="354">
        <f t="shared" si="591"/>
        <v>1.9963051542303203</v>
      </c>
      <c r="AT541" s="354">
        <f t="shared" si="592"/>
        <v>2.6105463579653274</v>
      </c>
      <c r="AU541" s="355" t="s">
        <v>396</v>
      </c>
      <c r="AV541" s="354" t="s">
        <v>397</v>
      </c>
      <c r="AW541" s="353">
        <v>0</v>
      </c>
      <c r="AX541" s="353">
        <v>0</v>
      </c>
      <c r="AY541" s="353">
        <v>0</v>
      </c>
      <c r="AZ541" s="353">
        <v>0</v>
      </c>
      <c r="BA541" s="353">
        <v>0</v>
      </c>
      <c r="BB541" s="353">
        <v>0</v>
      </c>
    </row>
    <row r="542" spans="1:54" x14ac:dyDescent="0.25">
      <c r="A542" s="348" t="s">
        <v>1311</v>
      </c>
      <c r="B542" s="349">
        <v>60</v>
      </c>
      <c r="C542" s="423">
        <v>45139</v>
      </c>
      <c r="D542" s="351">
        <v>45169</v>
      </c>
      <c r="E542" s="352"/>
      <c r="F542" s="352">
        <v>6</v>
      </c>
      <c r="G542" s="352" t="s">
        <v>314</v>
      </c>
      <c r="H542" s="424" t="s">
        <v>1314</v>
      </c>
      <c r="I542" s="350" t="s">
        <v>393</v>
      </c>
      <c r="J542" s="375">
        <f>1831466*10%</f>
        <v>183146.6</v>
      </c>
      <c r="K542" s="350" t="s">
        <v>394</v>
      </c>
      <c r="L542" s="354">
        <v>2802.3999950000002</v>
      </c>
      <c r="M542" s="375">
        <f t="shared" si="561"/>
        <v>65.353482845692056</v>
      </c>
      <c r="N542" s="354" t="s">
        <v>395</v>
      </c>
      <c r="O542" s="354">
        <v>0</v>
      </c>
      <c r="P542" s="374">
        <f t="shared" si="562"/>
        <v>4.117801059859989</v>
      </c>
      <c r="Q542" s="354">
        <f t="shared" si="563"/>
        <v>0.38837145789967908</v>
      </c>
      <c r="R542" s="354">
        <f t="shared" si="564"/>
        <v>0.65468132106782928</v>
      </c>
      <c r="S542" s="354">
        <f t="shared" si="565"/>
        <v>0.5831813545403739</v>
      </c>
      <c r="T542" s="354">
        <f t="shared" si="566"/>
        <v>2.4886576500570592</v>
      </c>
      <c r="U542" s="374">
        <f t="shared" si="567"/>
        <v>16.526522356429158</v>
      </c>
      <c r="V542" s="354">
        <f t="shared" si="568"/>
        <v>0.43746888223344849</v>
      </c>
      <c r="W542" s="354">
        <f t="shared" si="569"/>
        <v>14.922969639409919</v>
      </c>
      <c r="X542" s="354">
        <f t="shared" si="570"/>
        <v>1.166083834785792</v>
      </c>
      <c r="Y542" s="374">
        <f t="shared" si="571"/>
        <v>2.4227629040029766</v>
      </c>
      <c r="Z542" s="354">
        <f t="shared" si="572"/>
        <v>1.2498065358581329</v>
      </c>
      <c r="AA542" s="354">
        <f t="shared" si="573"/>
        <v>1.1729563681448436</v>
      </c>
      <c r="AB542" s="374">
        <f t="shared" si="574"/>
        <v>13.236512725891808</v>
      </c>
      <c r="AC542" s="354">
        <f t="shared" si="575"/>
        <v>3.7564240799687658</v>
      </c>
      <c r="AD542" s="354">
        <f t="shared" si="576"/>
        <v>8.176900797994799</v>
      </c>
      <c r="AE542" s="354">
        <f t="shared" si="577"/>
        <v>1.3031878479282439</v>
      </c>
      <c r="AF542" s="374">
        <f t="shared" si="578"/>
        <v>10.593832611410091</v>
      </c>
      <c r="AG542" s="354">
        <f t="shared" si="579"/>
        <v>0.68083068577588057</v>
      </c>
      <c r="AH542" s="354">
        <f t="shared" si="580"/>
        <v>3.4255328760221508</v>
      </c>
      <c r="AI542" s="354">
        <f t="shared" si="581"/>
        <v>0</v>
      </c>
      <c r="AJ542" s="354">
        <f t="shared" si="582"/>
        <v>6.4874690496120602</v>
      </c>
      <c r="AK542" s="374">
        <f t="shared" si="583"/>
        <v>6.9971527149616364</v>
      </c>
      <c r="AL542" s="354">
        <f t="shared" si="584"/>
        <v>2.0047306999621717</v>
      </c>
      <c r="AM542" s="354">
        <f t="shared" si="585"/>
        <v>4.7282823541836949</v>
      </c>
      <c r="AN542" s="354">
        <f t="shared" si="586"/>
        <v>0.26413966081576973</v>
      </c>
      <c r="AO542" s="374">
        <f t="shared" si="587"/>
        <v>4.0572652824428861</v>
      </c>
      <c r="AP542" s="354">
        <f t="shared" si="588"/>
        <v>0.93037360507915279</v>
      </c>
      <c r="AQ542" s="354">
        <f t="shared" si="589"/>
        <v>3.1268916773637332</v>
      </c>
      <c r="AR542" s="374">
        <f t="shared" si="590"/>
        <v>7.4016331906935067</v>
      </c>
      <c r="AS542" s="354">
        <f t="shared" si="591"/>
        <v>3.2073789331363503</v>
      </c>
      <c r="AT542" s="354">
        <f t="shared" si="592"/>
        <v>4.1942542575571569</v>
      </c>
      <c r="AU542" s="355" t="s">
        <v>396</v>
      </c>
      <c r="AV542" s="354" t="s">
        <v>397</v>
      </c>
      <c r="AW542" s="353">
        <v>0</v>
      </c>
      <c r="AX542" s="353">
        <v>0</v>
      </c>
      <c r="AY542" s="353">
        <v>0</v>
      </c>
      <c r="AZ542" s="353">
        <v>0</v>
      </c>
      <c r="BA542" s="353">
        <v>0</v>
      </c>
      <c r="BB542" s="353">
        <v>0</v>
      </c>
    </row>
    <row r="543" spans="1:54" ht="30" x14ac:dyDescent="0.25">
      <c r="A543" s="348" t="s">
        <v>1311</v>
      </c>
      <c r="B543" s="349">
        <v>60</v>
      </c>
      <c r="C543" s="423">
        <v>45139</v>
      </c>
      <c r="D543" s="351">
        <v>45169</v>
      </c>
      <c r="E543" s="352"/>
      <c r="F543" s="352">
        <v>6</v>
      </c>
      <c r="G543" s="352" t="s">
        <v>315</v>
      </c>
      <c r="H543" s="424" t="s">
        <v>1315</v>
      </c>
      <c r="I543" s="350" t="s">
        <v>393</v>
      </c>
      <c r="J543" s="375">
        <f>1334036*10%</f>
        <v>133403.6</v>
      </c>
      <c r="K543" s="350" t="s">
        <v>394</v>
      </c>
      <c r="L543" s="354">
        <v>2802.3999950000002</v>
      </c>
      <c r="M543" s="375">
        <f t="shared" si="561"/>
        <v>47.60334007922377</v>
      </c>
      <c r="N543" s="354" t="s">
        <v>395</v>
      </c>
      <c r="O543" s="354">
        <v>0</v>
      </c>
      <c r="P543" s="374">
        <f t="shared" si="562"/>
        <v>2.9993976708775265</v>
      </c>
      <c r="Q543" s="354">
        <f t="shared" si="563"/>
        <v>0.28288895683056975</v>
      </c>
      <c r="R543" s="354">
        <f t="shared" si="564"/>
        <v>0.47686850360969996</v>
      </c>
      <c r="S543" s="354">
        <f t="shared" si="565"/>
        <v>0.42478807768510157</v>
      </c>
      <c r="T543" s="354">
        <f t="shared" si="566"/>
        <v>1.8127330219897713</v>
      </c>
      <c r="U543" s="374">
        <f t="shared" si="567"/>
        <v>12.037884284109738</v>
      </c>
      <c r="V543" s="354">
        <f t="shared" si="568"/>
        <v>0.31865141792377288</v>
      </c>
      <c r="W543" s="354">
        <f t="shared" si="569"/>
        <v>10.869859842268351</v>
      </c>
      <c r="X543" s="354">
        <f t="shared" si="570"/>
        <v>0.84937302391761493</v>
      </c>
      <c r="Y543" s="374">
        <f t="shared" si="571"/>
        <v>1.7647354269227573</v>
      </c>
      <c r="Z543" s="354">
        <f t="shared" si="572"/>
        <v>0.91035646409490545</v>
      </c>
      <c r="AA543" s="354">
        <f t="shared" si="573"/>
        <v>0.85437896282785175</v>
      </c>
      <c r="AB543" s="374">
        <f t="shared" si="574"/>
        <v>9.6414481572673498</v>
      </c>
      <c r="AC543" s="354">
        <f t="shared" si="575"/>
        <v>2.7361714353120465</v>
      </c>
      <c r="AD543" s="354">
        <f t="shared" si="576"/>
        <v>5.9560374219088912</v>
      </c>
      <c r="AE543" s="354">
        <f t="shared" si="577"/>
        <v>0.94923930004641233</v>
      </c>
      <c r="AF543" s="374">
        <f t="shared" si="578"/>
        <v>7.7165254946556869</v>
      </c>
      <c r="AG543" s="354">
        <f t="shared" si="579"/>
        <v>0.49591564611612371</v>
      </c>
      <c r="AH543" s="354">
        <f t="shared" si="580"/>
        <v>2.4951509751188863</v>
      </c>
      <c r="AI543" s="354">
        <f t="shared" si="581"/>
        <v>0</v>
      </c>
      <c r="AJ543" s="354">
        <f t="shared" si="582"/>
        <v>4.7254588734206777</v>
      </c>
      <c r="AK543" s="374">
        <f t="shared" si="583"/>
        <v>5.0967113881756809</v>
      </c>
      <c r="AL543" s="354">
        <f t="shared" si="584"/>
        <v>1.4602416447014226</v>
      </c>
      <c r="AM543" s="354">
        <f t="shared" si="585"/>
        <v>3.4440709675450161</v>
      </c>
      <c r="AN543" s="354">
        <f t="shared" si="586"/>
        <v>0.19239877592924259</v>
      </c>
      <c r="AO543" s="374">
        <f t="shared" si="587"/>
        <v>2.9553035373460261</v>
      </c>
      <c r="AP543" s="354">
        <f t="shared" si="588"/>
        <v>0.677682186087742</v>
      </c>
      <c r="AQ543" s="354">
        <f t="shared" si="589"/>
        <v>2.2776213512582841</v>
      </c>
      <c r="AR543" s="374">
        <f t="shared" si="590"/>
        <v>5.3913341198690024</v>
      </c>
      <c r="AS543" s="354">
        <f t="shared" si="591"/>
        <v>2.3362480998530599</v>
      </c>
      <c r="AT543" s="354">
        <f t="shared" si="592"/>
        <v>3.0550860200159429</v>
      </c>
      <c r="AU543" s="355" t="s">
        <v>396</v>
      </c>
      <c r="AV543" s="354" t="s">
        <v>397</v>
      </c>
      <c r="AW543" s="353">
        <v>0</v>
      </c>
      <c r="AX543" s="353">
        <v>0</v>
      </c>
      <c r="AY543" s="353">
        <v>0</v>
      </c>
      <c r="AZ543" s="353">
        <v>0</v>
      </c>
      <c r="BA543" s="353">
        <v>0</v>
      </c>
      <c r="BB543" s="353">
        <v>0</v>
      </c>
    </row>
    <row r="544" spans="1:54" x14ac:dyDescent="0.25">
      <c r="A544" s="348" t="s">
        <v>1311</v>
      </c>
      <c r="B544" s="349">
        <v>60</v>
      </c>
      <c r="C544" s="423">
        <v>45139</v>
      </c>
      <c r="D544" s="351">
        <v>45169</v>
      </c>
      <c r="E544" s="352"/>
      <c r="F544" s="352">
        <v>6</v>
      </c>
      <c r="G544" s="352" t="s">
        <v>316</v>
      </c>
      <c r="H544" s="424" t="s">
        <v>1316</v>
      </c>
      <c r="I544" s="350" t="s">
        <v>393</v>
      </c>
      <c r="J544" s="375">
        <f>690937*50%</f>
        <v>345468.5</v>
      </c>
      <c r="K544" s="350" t="s">
        <v>394</v>
      </c>
      <c r="L544" s="354">
        <v>2802.3999950000002</v>
      </c>
      <c r="M544" s="375">
        <f t="shared" si="561"/>
        <v>123.27594226961878</v>
      </c>
      <c r="N544" s="354" t="s">
        <v>395</v>
      </c>
      <c r="O544" s="354">
        <v>0</v>
      </c>
      <c r="P544" s="374">
        <f t="shared" si="562"/>
        <v>7.7673871939104542</v>
      </c>
      <c r="Q544" s="354">
        <f t="shared" si="563"/>
        <v>0.73258310557452477</v>
      </c>
      <c r="R544" s="354">
        <f t="shared" si="564"/>
        <v>1.2349220458764802</v>
      </c>
      <c r="S544" s="354">
        <f t="shared" si="565"/>
        <v>1.1000520227022021</v>
      </c>
      <c r="T544" s="354">
        <f t="shared" si="566"/>
        <v>4.6943422666800094</v>
      </c>
      <c r="U544" s="374">
        <f t="shared" si="567"/>
        <v>31.17389505834149</v>
      </c>
      <c r="V544" s="354">
        <f t="shared" si="568"/>
        <v>0.82519532735997325</v>
      </c>
      <c r="W544" s="354">
        <f t="shared" si="569"/>
        <v>28.149121724741189</v>
      </c>
      <c r="X544" s="354">
        <f t="shared" si="570"/>
        <v>2.1995780062403303</v>
      </c>
      <c r="Y544" s="374">
        <f t="shared" si="571"/>
        <v>4.570045342373553</v>
      </c>
      <c r="Z544" s="354">
        <f t="shared" si="572"/>
        <v>2.3575037114153652</v>
      </c>
      <c r="AA544" s="354">
        <f t="shared" si="573"/>
        <v>2.2125416309581878</v>
      </c>
      <c r="AB544" s="374">
        <f t="shared" si="574"/>
        <v>24.967966626979447</v>
      </c>
      <c r="AC544" s="354">
        <f t="shared" si="575"/>
        <v>7.0857236348951584</v>
      </c>
      <c r="AD544" s="354">
        <f t="shared" si="576"/>
        <v>15.42404638323652</v>
      </c>
      <c r="AE544" s="354">
        <f t="shared" si="577"/>
        <v>2.4581966088477674</v>
      </c>
      <c r="AF544" s="374">
        <f t="shared" si="578"/>
        <v>19.983092569094524</v>
      </c>
      <c r="AG544" s="354">
        <f t="shared" si="579"/>
        <v>1.2842474595158457</v>
      </c>
      <c r="AH544" s="354">
        <f t="shared" si="580"/>
        <v>6.4615652399774737</v>
      </c>
      <c r="AI544" s="354">
        <f t="shared" si="581"/>
        <v>0</v>
      </c>
      <c r="AJ544" s="354">
        <f t="shared" si="582"/>
        <v>12.237279869601204</v>
      </c>
      <c r="AK544" s="374">
        <f t="shared" si="583"/>
        <v>13.198693575030735</v>
      </c>
      <c r="AL544" s="354">
        <f t="shared" si="584"/>
        <v>3.7815133222231885</v>
      </c>
      <c r="AM544" s="354">
        <f t="shared" si="585"/>
        <v>8.9189349541640954</v>
      </c>
      <c r="AN544" s="354">
        <f t="shared" si="586"/>
        <v>0.49824529864345146</v>
      </c>
      <c r="AO544" s="374">
        <f t="shared" si="587"/>
        <v>7.6531988648853977</v>
      </c>
      <c r="AP544" s="354">
        <f t="shared" si="588"/>
        <v>1.7549589988909826</v>
      </c>
      <c r="AQ544" s="354">
        <f t="shared" si="589"/>
        <v>5.8982398659944151</v>
      </c>
      <c r="AR544" s="374">
        <f t="shared" si="590"/>
        <v>13.961663039003177</v>
      </c>
      <c r="AS544" s="354">
        <f t="shared" si="591"/>
        <v>6.0500625671577577</v>
      </c>
      <c r="AT544" s="354">
        <f t="shared" si="592"/>
        <v>7.9116004718454196</v>
      </c>
      <c r="AU544" s="355" t="s">
        <v>396</v>
      </c>
      <c r="AV544" s="354" t="s">
        <v>397</v>
      </c>
      <c r="AW544" s="353">
        <v>0</v>
      </c>
      <c r="AX544" s="353">
        <v>0</v>
      </c>
      <c r="AY544" s="353">
        <v>0</v>
      </c>
      <c r="AZ544" s="353">
        <v>0</v>
      </c>
      <c r="BA544" s="353">
        <v>0</v>
      </c>
      <c r="BB544" s="353">
        <v>0</v>
      </c>
    </row>
    <row r="545" spans="1:54" x14ac:dyDescent="0.25">
      <c r="A545" s="348" t="s">
        <v>1311</v>
      </c>
      <c r="B545" s="349">
        <v>60</v>
      </c>
      <c r="C545" s="423">
        <v>45139</v>
      </c>
      <c r="D545" s="351">
        <v>45169</v>
      </c>
      <c r="E545" s="352"/>
      <c r="F545" s="352">
        <v>6</v>
      </c>
      <c r="G545" s="352" t="s">
        <v>317</v>
      </c>
      <c r="H545" s="424" t="s">
        <v>1317</v>
      </c>
      <c r="I545" s="350" t="s">
        <v>393</v>
      </c>
      <c r="J545" s="375">
        <f>1251995+169809+29400+18000+40000</f>
        <v>1509204</v>
      </c>
      <c r="K545" s="350" t="s">
        <v>394</v>
      </c>
      <c r="L545" s="354">
        <v>2802.3999950000002</v>
      </c>
      <c r="M545" s="375">
        <f t="shared" si="561"/>
        <v>538.53982396970423</v>
      </c>
      <c r="N545" s="354" t="s">
        <v>395</v>
      </c>
      <c r="O545" s="354">
        <v>0</v>
      </c>
      <c r="P545" s="374">
        <f t="shared" si="562"/>
        <v>33.932389849142353</v>
      </c>
      <c r="Q545" s="354">
        <f t="shared" si="563"/>
        <v>3.200342008795289</v>
      </c>
      <c r="R545" s="354">
        <f t="shared" si="564"/>
        <v>5.3948458146689715</v>
      </c>
      <c r="S545" s="354">
        <f t="shared" si="565"/>
        <v>4.8056564140298015</v>
      </c>
      <c r="T545" s="354">
        <f t="shared" si="566"/>
        <v>20.507571967466028</v>
      </c>
      <c r="U545" s="374">
        <f t="shared" si="567"/>
        <v>136.18540364064805</v>
      </c>
      <c r="V545" s="354">
        <f t="shared" si="568"/>
        <v>3.6049251634605799</v>
      </c>
      <c r="W545" s="354">
        <f t="shared" si="569"/>
        <v>122.97146368906661</v>
      </c>
      <c r="X545" s="354">
        <f t="shared" si="570"/>
        <v>9.609014788120863</v>
      </c>
      <c r="Y545" s="374">
        <f t="shared" si="571"/>
        <v>19.964571910004928</v>
      </c>
      <c r="Z545" s="354">
        <f t="shared" si="572"/>
        <v>10.298924594522845</v>
      </c>
      <c r="AA545" s="354">
        <f t="shared" si="573"/>
        <v>9.6656473154820812</v>
      </c>
      <c r="AB545" s="374">
        <f t="shared" si="574"/>
        <v>109.0743587484934</v>
      </c>
      <c r="AC545" s="354">
        <f t="shared" si="575"/>
        <v>30.954493543342771</v>
      </c>
      <c r="AD545" s="354">
        <f t="shared" si="576"/>
        <v>67.381056442963953</v>
      </c>
      <c r="AE545" s="354">
        <f t="shared" si="577"/>
        <v>10.73880876218667</v>
      </c>
      <c r="AF545" s="374">
        <f t="shared" si="578"/>
        <v>87.297577746300263</v>
      </c>
      <c r="AG545" s="354">
        <f t="shared" si="579"/>
        <v>5.6103274333004389</v>
      </c>
      <c r="AH545" s="354">
        <f t="shared" si="580"/>
        <v>28.227812684615134</v>
      </c>
      <c r="AI545" s="354">
        <f t="shared" si="581"/>
        <v>0</v>
      </c>
      <c r="AJ545" s="354">
        <f t="shared" si="582"/>
        <v>53.459437628384691</v>
      </c>
      <c r="AK545" s="374">
        <f t="shared" si="583"/>
        <v>57.659442577863643</v>
      </c>
      <c r="AL545" s="354">
        <f t="shared" si="584"/>
        <v>16.519813042151529</v>
      </c>
      <c r="AM545" s="354">
        <f t="shared" si="585"/>
        <v>38.963009097976425</v>
      </c>
      <c r="AN545" s="354">
        <f t="shared" si="586"/>
        <v>2.1766204377356879</v>
      </c>
      <c r="AO545" s="374">
        <f t="shared" si="587"/>
        <v>33.433549917519258</v>
      </c>
      <c r="AP545" s="354">
        <f t="shared" si="588"/>
        <v>7.666664662515589</v>
      </c>
      <c r="AQ545" s="354">
        <f t="shared" si="589"/>
        <v>25.766885255003672</v>
      </c>
      <c r="AR545" s="374">
        <f t="shared" si="590"/>
        <v>60.99252957973232</v>
      </c>
      <c r="AS545" s="354">
        <f t="shared" si="591"/>
        <v>26.430133649246628</v>
      </c>
      <c r="AT545" s="354">
        <f t="shared" si="592"/>
        <v>34.562395930485692</v>
      </c>
      <c r="AU545" s="355" t="s">
        <v>396</v>
      </c>
      <c r="AV545" s="354" t="s">
        <v>397</v>
      </c>
      <c r="AW545" s="353">
        <v>0</v>
      </c>
      <c r="AX545" s="353">
        <v>0</v>
      </c>
      <c r="AY545" s="353">
        <v>0</v>
      </c>
      <c r="AZ545" s="353">
        <v>0</v>
      </c>
      <c r="BA545" s="353">
        <v>0</v>
      </c>
      <c r="BB545" s="353">
        <v>0</v>
      </c>
    </row>
    <row r="546" spans="1:54" x14ac:dyDescent="0.25">
      <c r="A546" s="348" t="s">
        <v>1318</v>
      </c>
      <c r="B546" s="349">
        <v>61</v>
      </c>
      <c r="C546" s="423">
        <v>45139</v>
      </c>
      <c r="D546" s="351">
        <v>45169</v>
      </c>
      <c r="E546" s="352"/>
      <c r="F546" s="352">
        <v>6</v>
      </c>
      <c r="G546" s="352" t="s">
        <v>335</v>
      </c>
      <c r="H546" s="424" t="s">
        <v>1319</v>
      </c>
      <c r="I546" s="350" t="s">
        <v>393</v>
      </c>
      <c r="J546" s="375">
        <v>200000</v>
      </c>
      <c r="K546" s="350" t="s">
        <v>394</v>
      </c>
      <c r="L546" s="354">
        <v>2802.3999950000002</v>
      </c>
      <c r="M546" s="375">
        <f t="shared" si="561"/>
        <v>71.367399499299523</v>
      </c>
      <c r="N546" s="354" t="s">
        <v>395</v>
      </c>
      <c r="O546" s="354">
        <v>0</v>
      </c>
      <c r="P546" s="374">
        <f t="shared" si="562"/>
        <v>4.496726731328879</v>
      </c>
      <c r="Q546" s="354">
        <f t="shared" si="563"/>
        <v>0.42410992931310659</v>
      </c>
      <c r="R546" s="354">
        <f t="shared" si="564"/>
        <v>0.71492598941812646</v>
      </c>
      <c r="S546" s="354">
        <f t="shared" si="565"/>
        <v>0.63684649842298335</v>
      </c>
      <c r="T546" s="354">
        <f t="shared" si="566"/>
        <v>2.7176673223058017</v>
      </c>
      <c r="U546" s="374">
        <f t="shared" si="567"/>
        <v>18.047315490900903</v>
      </c>
      <c r="V546" s="354">
        <f t="shared" si="568"/>
        <v>0.47772536561797868</v>
      </c>
      <c r="W546" s="354">
        <f t="shared" si="569"/>
        <v>16.296201665125007</v>
      </c>
      <c r="X546" s="354">
        <f t="shared" si="570"/>
        <v>1.2733884601579193</v>
      </c>
      <c r="Y546" s="374">
        <f t="shared" si="571"/>
        <v>2.6457088518192271</v>
      </c>
      <c r="Z546" s="354">
        <f t="shared" si="572"/>
        <v>1.364815438406318</v>
      </c>
      <c r="AA546" s="354">
        <f t="shared" si="573"/>
        <v>1.2808934134129091</v>
      </c>
      <c r="AB546" s="374">
        <f t="shared" si="574"/>
        <v>14.454554685581723</v>
      </c>
      <c r="AC546" s="354">
        <f t="shared" si="575"/>
        <v>4.1020953487192946</v>
      </c>
      <c r="AD546" s="354">
        <f t="shared" si="576"/>
        <v>8.9293503652208646</v>
      </c>
      <c r="AE546" s="354">
        <f t="shared" si="577"/>
        <v>1.4231089716415635</v>
      </c>
      <c r="AF546" s="374">
        <f t="shared" si="578"/>
        <v>11.568691541541138</v>
      </c>
      <c r="AG546" s="354">
        <f t="shared" si="579"/>
        <v>0.74348165434234714</v>
      </c>
      <c r="AH546" s="354">
        <f t="shared" si="580"/>
        <v>3.7407550847486668</v>
      </c>
      <c r="AI546" s="354">
        <f t="shared" si="581"/>
        <v>0</v>
      </c>
      <c r="AJ546" s="354">
        <f t="shared" si="582"/>
        <v>7.084454802450125</v>
      </c>
      <c r="AK546" s="374">
        <f t="shared" si="583"/>
        <v>7.6410402540496367</v>
      </c>
      <c r="AL546" s="354">
        <f t="shared" si="584"/>
        <v>2.1892087540387553</v>
      </c>
      <c r="AM546" s="354">
        <f t="shared" si="585"/>
        <v>5.1633853472395286</v>
      </c>
      <c r="AN546" s="354">
        <f t="shared" si="586"/>
        <v>0.28844615277135338</v>
      </c>
      <c r="AO546" s="374">
        <f t="shared" si="587"/>
        <v>4.4306203690845321</v>
      </c>
      <c r="AP546" s="354">
        <f t="shared" si="588"/>
        <v>1.0159878535328013</v>
      </c>
      <c r="AQ546" s="354">
        <f t="shared" si="589"/>
        <v>3.4146325155517308</v>
      </c>
      <c r="AR546" s="374">
        <f t="shared" si="590"/>
        <v>8.0827415749934826</v>
      </c>
      <c r="AS546" s="354">
        <f t="shared" si="591"/>
        <v>3.5025263184097879</v>
      </c>
      <c r="AT546" s="354">
        <f t="shared" si="592"/>
        <v>4.5802152565836947</v>
      </c>
      <c r="AU546" s="355" t="s">
        <v>396</v>
      </c>
      <c r="AV546" s="354" t="s">
        <v>397</v>
      </c>
      <c r="AW546" s="353">
        <v>0</v>
      </c>
      <c r="AX546" s="353">
        <v>0</v>
      </c>
      <c r="AY546" s="353">
        <v>0</v>
      </c>
      <c r="AZ546" s="353">
        <v>0</v>
      </c>
      <c r="BA546" s="353">
        <v>0</v>
      </c>
      <c r="BB546" s="353">
        <v>0</v>
      </c>
    </row>
    <row r="547" spans="1:54" x14ac:dyDescent="0.25">
      <c r="A547" s="348" t="s">
        <v>1318</v>
      </c>
      <c r="B547" s="349">
        <v>61</v>
      </c>
      <c r="C547" s="423">
        <v>45139</v>
      </c>
      <c r="D547" s="351">
        <v>45169</v>
      </c>
      <c r="E547" s="352"/>
      <c r="F547" s="352">
        <v>6</v>
      </c>
      <c r="G547" s="352" t="s">
        <v>337</v>
      </c>
      <c r="H547" s="424" t="s">
        <v>1320</v>
      </c>
      <c r="I547" s="350" t="s">
        <v>393</v>
      </c>
      <c r="J547" s="375">
        <f>100000*30%</f>
        <v>30000</v>
      </c>
      <c r="K547" s="350" t="s">
        <v>394</v>
      </c>
      <c r="L547" s="354">
        <v>2802.3999950000002</v>
      </c>
      <c r="M547" s="375">
        <f t="shared" si="561"/>
        <v>10.705109924894929</v>
      </c>
      <c r="N547" s="354" t="s">
        <v>395</v>
      </c>
      <c r="O547" s="354">
        <v>0</v>
      </c>
      <c r="P547" s="374">
        <f t="shared" si="562"/>
        <v>0.67450900969933192</v>
      </c>
      <c r="Q547" s="354">
        <f t="shared" si="563"/>
        <v>6.3616489396966E-2</v>
      </c>
      <c r="R547" s="354">
        <f t="shared" si="564"/>
        <v>0.10723889841271898</v>
      </c>
      <c r="S547" s="354">
        <f t="shared" si="565"/>
        <v>9.5526974763447514E-2</v>
      </c>
      <c r="T547" s="354">
        <f t="shared" si="566"/>
        <v>0.40765009834587029</v>
      </c>
      <c r="U547" s="374">
        <f t="shared" si="567"/>
        <v>2.7070973236351357</v>
      </c>
      <c r="V547" s="354">
        <f t="shared" si="568"/>
        <v>7.1658804842696808E-2</v>
      </c>
      <c r="W547" s="354">
        <f t="shared" si="569"/>
        <v>2.4444302497687511</v>
      </c>
      <c r="X547" s="354">
        <f t="shared" si="570"/>
        <v>0.19100826902368789</v>
      </c>
      <c r="Y547" s="374">
        <f t="shared" si="571"/>
        <v>0.3968563277728841</v>
      </c>
      <c r="Z547" s="354">
        <f t="shared" si="572"/>
        <v>0.20472231576094771</v>
      </c>
      <c r="AA547" s="354">
        <f t="shared" si="573"/>
        <v>0.19213401201193636</v>
      </c>
      <c r="AB547" s="374">
        <f t="shared" si="574"/>
        <v>2.1681832028372585</v>
      </c>
      <c r="AC547" s="354">
        <f t="shared" si="575"/>
        <v>0.61531430230789419</v>
      </c>
      <c r="AD547" s="354">
        <f t="shared" si="576"/>
        <v>1.3394025547831296</v>
      </c>
      <c r="AE547" s="354">
        <f t="shared" si="577"/>
        <v>0.21346634574623452</v>
      </c>
      <c r="AF547" s="374">
        <f t="shared" si="578"/>
        <v>1.7353037312311708</v>
      </c>
      <c r="AG547" s="354">
        <f t="shared" si="579"/>
        <v>0.11152224815135207</v>
      </c>
      <c r="AH547" s="354">
        <f t="shared" si="580"/>
        <v>0.5611132627123</v>
      </c>
      <c r="AI547" s="354">
        <f t="shared" si="581"/>
        <v>0</v>
      </c>
      <c r="AJ547" s="354">
        <f t="shared" si="582"/>
        <v>1.0626682203675188</v>
      </c>
      <c r="AK547" s="374">
        <f t="shared" si="583"/>
        <v>1.1461560381074456</v>
      </c>
      <c r="AL547" s="354">
        <f t="shared" si="584"/>
        <v>0.32838131310581331</v>
      </c>
      <c r="AM547" s="354">
        <f t="shared" si="585"/>
        <v>0.77450780208592929</v>
      </c>
      <c r="AN547" s="354">
        <f t="shared" si="586"/>
        <v>4.3266922915703006E-2</v>
      </c>
      <c r="AO547" s="374">
        <f t="shared" si="587"/>
        <v>0.66459305536267976</v>
      </c>
      <c r="AP547" s="354">
        <f t="shared" si="588"/>
        <v>0.1523981780299202</v>
      </c>
      <c r="AQ547" s="354">
        <f t="shared" si="589"/>
        <v>0.51219487733275959</v>
      </c>
      <c r="AR547" s="374">
        <f t="shared" si="590"/>
        <v>1.2124112362490223</v>
      </c>
      <c r="AS547" s="354">
        <f t="shared" si="591"/>
        <v>0.5253789477614681</v>
      </c>
      <c r="AT547" s="354">
        <f t="shared" si="592"/>
        <v>0.68703228848755415</v>
      </c>
      <c r="AU547" s="355" t="s">
        <v>396</v>
      </c>
      <c r="AV547" s="354" t="s">
        <v>397</v>
      </c>
      <c r="AW547" s="353">
        <v>0</v>
      </c>
      <c r="AX547" s="353">
        <v>0</v>
      </c>
      <c r="AY547" s="353">
        <v>0</v>
      </c>
      <c r="AZ547" s="353">
        <v>0</v>
      </c>
      <c r="BA547" s="353">
        <v>0</v>
      </c>
      <c r="BB547" s="353">
        <v>0</v>
      </c>
    </row>
    <row r="548" spans="1:54" x14ac:dyDescent="0.25">
      <c r="A548" s="348" t="s">
        <v>1318</v>
      </c>
      <c r="B548" s="349">
        <v>61</v>
      </c>
      <c r="C548" s="423">
        <v>45139</v>
      </c>
      <c r="D548" s="351">
        <v>45169</v>
      </c>
      <c r="E548" s="352"/>
      <c r="F548" s="352">
        <v>6</v>
      </c>
      <c r="G548" s="352" t="s">
        <v>338</v>
      </c>
      <c r="H548" s="424" t="s">
        <v>1321</v>
      </c>
      <c r="I548" s="350" t="s">
        <v>393</v>
      </c>
      <c r="J548" s="375">
        <v>70000</v>
      </c>
      <c r="K548" s="350" t="s">
        <v>394</v>
      </c>
      <c r="L548" s="354">
        <v>2802.3999950000002</v>
      </c>
      <c r="M548" s="375">
        <f t="shared" si="561"/>
        <v>24.978589824754835</v>
      </c>
      <c r="N548" s="354" t="s">
        <v>395</v>
      </c>
      <c r="O548" s="354">
        <v>0</v>
      </c>
      <c r="P548" s="374">
        <f t="shared" si="562"/>
        <v>1.5738543559651077</v>
      </c>
      <c r="Q548" s="354">
        <f t="shared" si="563"/>
        <v>0.14843847525958731</v>
      </c>
      <c r="R548" s="354">
        <f t="shared" si="564"/>
        <v>0.25022409629634429</v>
      </c>
      <c r="S548" s="354">
        <f t="shared" si="565"/>
        <v>0.22289627444804419</v>
      </c>
      <c r="T548" s="354">
        <f t="shared" si="566"/>
        <v>0.95118356280703054</v>
      </c>
      <c r="U548" s="374">
        <f t="shared" si="567"/>
        <v>6.316560421815316</v>
      </c>
      <c r="V548" s="354">
        <f t="shared" si="568"/>
        <v>0.16720387796629255</v>
      </c>
      <c r="W548" s="354">
        <f t="shared" si="569"/>
        <v>5.7036705827937517</v>
      </c>
      <c r="X548" s="354">
        <f t="shared" si="570"/>
        <v>0.4456859610552717</v>
      </c>
      <c r="Y548" s="374">
        <f t="shared" si="571"/>
        <v>0.92599809813672962</v>
      </c>
      <c r="Z548" s="354">
        <f t="shared" si="572"/>
        <v>0.47768540344221133</v>
      </c>
      <c r="AA548" s="354">
        <f t="shared" si="573"/>
        <v>0.44831269469451823</v>
      </c>
      <c r="AB548" s="374">
        <f t="shared" si="574"/>
        <v>5.0590941399536034</v>
      </c>
      <c r="AC548" s="354">
        <f t="shared" si="575"/>
        <v>1.4357333720517531</v>
      </c>
      <c r="AD548" s="354">
        <f t="shared" si="576"/>
        <v>3.1252726278273029</v>
      </c>
      <c r="AE548" s="354">
        <f t="shared" si="577"/>
        <v>0.49808814007454721</v>
      </c>
      <c r="AF548" s="374">
        <f t="shared" si="578"/>
        <v>4.0490420395393985</v>
      </c>
      <c r="AG548" s="354">
        <f t="shared" si="579"/>
        <v>0.26021857901982154</v>
      </c>
      <c r="AH548" s="354">
        <f t="shared" si="580"/>
        <v>1.3092642796620335</v>
      </c>
      <c r="AI548" s="354">
        <f t="shared" si="581"/>
        <v>0</v>
      </c>
      <c r="AJ548" s="354">
        <f t="shared" si="582"/>
        <v>2.4795591808575437</v>
      </c>
      <c r="AK548" s="374">
        <f t="shared" si="583"/>
        <v>2.6743640889173732</v>
      </c>
      <c r="AL548" s="354">
        <f t="shared" si="584"/>
        <v>0.76622306391356443</v>
      </c>
      <c r="AM548" s="354">
        <f t="shared" si="585"/>
        <v>1.8071848715338352</v>
      </c>
      <c r="AN548" s="354">
        <f t="shared" si="586"/>
        <v>0.10095615346997369</v>
      </c>
      <c r="AO548" s="374">
        <f t="shared" si="587"/>
        <v>1.5507171291795863</v>
      </c>
      <c r="AP548" s="354">
        <f t="shared" si="588"/>
        <v>0.35559574873648048</v>
      </c>
      <c r="AQ548" s="354">
        <f t="shared" si="589"/>
        <v>1.1951213804431058</v>
      </c>
      <c r="AR548" s="374">
        <f t="shared" si="590"/>
        <v>2.8289595512477188</v>
      </c>
      <c r="AS548" s="354">
        <f t="shared" si="591"/>
        <v>1.2258842114434256</v>
      </c>
      <c r="AT548" s="354">
        <f t="shared" si="592"/>
        <v>1.6030753398042932</v>
      </c>
      <c r="AU548" s="355" t="s">
        <v>396</v>
      </c>
      <c r="AV548" s="354" t="s">
        <v>397</v>
      </c>
      <c r="AW548" s="353">
        <v>0</v>
      </c>
      <c r="AX548" s="353">
        <v>0</v>
      </c>
      <c r="AY548" s="353">
        <v>0</v>
      </c>
      <c r="AZ548" s="353">
        <v>0</v>
      </c>
      <c r="BA548" s="353">
        <v>0</v>
      </c>
      <c r="BB548" s="353">
        <v>0</v>
      </c>
    </row>
    <row r="549" spans="1:54" x14ac:dyDescent="0.25">
      <c r="A549" s="348" t="s">
        <v>1318</v>
      </c>
      <c r="B549" s="349">
        <v>61</v>
      </c>
      <c r="C549" s="423">
        <v>45139</v>
      </c>
      <c r="D549" s="351">
        <v>45169</v>
      </c>
      <c r="E549" s="352"/>
      <c r="F549" s="352">
        <v>6</v>
      </c>
      <c r="G549" s="352" t="s">
        <v>339</v>
      </c>
      <c r="H549" s="424" t="s">
        <v>1322</v>
      </c>
      <c r="I549" s="350" t="s">
        <v>393</v>
      </c>
      <c r="J549" s="375">
        <v>60000</v>
      </c>
      <c r="K549" s="350" t="s">
        <v>394</v>
      </c>
      <c r="L549" s="354">
        <v>2802.3999950000002</v>
      </c>
      <c r="M549" s="375">
        <f t="shared" si="561"/>
        <v>21.410219849789858</v>
      </c>
      <c r="N549" s="354" t="s">
        <v>395</v>
      </c>
      <c r="O549" s="354">
        <v>0</v>
      </c>
      <c r="P549" s="374">
        <f t="shared" si="562"/>
        <v>1.3490180193986638</v>
      </c>
      <c r="Q549" s="354">
        <f t="shared" si="563"/>
        <v>0.127232978793932</v>
      </c>
      <c r="R549" s="354">
        <f t="shared" si="564"/>
        <v>0.21447779682543797</v>
      </c>
      <c r="S549" s="354">
        <f t="shared" si="565"/>
        <v>0.19105394952689503</v>
      </c>
      <c r="T549" s="354">
        <f t="shared" si="566"/>
        <v>0.81530019669174059</v>
      </c>
      <c r="U549" s="374">
        <f t="shared" si="567"/>
        <v>5.4141946472702713</v>
      </c>
      <c r="V549" s="354">
        <f t="shared" si="568"/>
        <v>0.14331760968539362</v>
      </c>
      <c r="W549" s="354">
        <f t="shared" si="569"/>
        <v>4.8888604995375022</v>
      </c>
      <c r="X549" s="354">
        <f t="shared" si="570"/>
        <v>0.38201653804737579</v>
      </c>
      <c r="Y549" s="374">
        <f t="shared" si="571"/>
        <v>0.7937126555457682</v>
      </c>
      <c r="Z549" s="354">
        <f t="shared" si="572"/>
        <v>0.40944463152189542</v>
      </c>
      <c r="AA549" s="354">
        <f t="shared" si="573"/>
        <v>0.38426802402387272</v>
      </c>
      <c r="AB549" s="374">
        <f t="shared" si="574"/>
        <v>4.336366405674517</v>
      </c>
      <c r="AC549" s="354">
        <f t="shared" si="575"/>
        <v>1.2306286046157884</v>
      </c>
      <c r="AD549" s="354">
        <f t="shared" si="576"/>
        <v>2.6788051095662593</v>
      </c>
      <c r="AE549" s="354">
        <f t="shared" si="577"/>
        <v>0.42693269149246904</v>
      </c>
      <c r="AF549" s="374">
        <f t="shared" si="578"/>
        <v>3.4706074624623415</v>
      </c>
      <c r="AG549" s="354">
        <f t="shared" si="579"/>
        <v>0.22304449630270415</v>
      </c>
      <c r="AH549" s="354">
        <f t="shared" si="580"/>
        <v>1.1222265254246</v>
      </c>
      <c r="AI549" s="354">
        <f t="shared" si="581"/>
        <v>0</v>
      </c>
      <c r="AJ549" s="354">
        <f t="shared" si="582"/>
        <v>2.1253364407350377</v>
      </c>
      <c r="AK549" s="374">
        <f t="shared" si="583"/>
        <v>2.2923120762148912</v>
      </c>
      <c r="AL549" s="354">
        <f t="shared" si="584"/>
        <v>0.65676262621162662</v>
      </c>
      <c r="AM549" s="354">
        <f t="shared" si="585"/>
        <v>1.5490156041718586</v>
      </c>
      <c r="AN549" s="354">
        <f t="shared" si="586"/>
        <v>8.6533845831406012E-2</v>
      </c>
      <c r="AO549" s="374">
        <f t="shared" si="587"/>
        <v>1.3291861107253595</v>
      </c>
      <c r="AP549" s="354">
        <f t="shared" si="588"/>
        <v>0.3047963560598404</v>
      </c>
      <c r="AQ549" s="354">
        <f t="shared" si="589"/>
        <v>1.0243897546655192</v>
      </c>
      <c r="AR549" s="374">
        <f t="shared" si="590"/>
        <v>2.4248224724980445</v>
      </c>
      <c r="AS549" s="354">
        <f t="shared" si="591"/>
        <v>1.0507578955229362</v>
      </c>
      <c r="AT549" s="354">
        <f t="shared" si="592"/>
        <v>1.3740645769751083</v>
      </c>
      <c r="AU549" s="355" t="s">
        <v>396</v>
      </c>
      <c r="AV549" s="354" t="s">
        <v>397</v>
      </c>
      <c r="AW549" s="353">
        <v>0</v>
      </c>
      <c r="AX549" s="353">
        <v>0</v>
      </c>
      <c r="AY549" s="353">
        <v>0</v>
      </c>
      <c r="AZ549" s="353">
        <v>0</v>
      </c>
      <c r="BA549" s="353">
        <v>0</v>
      </c>
      <c r="BB549" s="353">
        <v>0</v>
      </c>
    </row>
    <row r="550" spans="1:54" x14ac:dyDescent="0.25">
      <c r="A550" s="348" t="s">
        <v>1318</v>
      </c>
      <c r="B550" s="349">
        <v>61</v>
      </c>
      <c r="C550" s="423">
        <v>45139</v>
      </c>
      <c r="D550" s="351">
        <v>45169</v>
      </c>
      <c r="E550" s="352"/>
      <c r="F550" s="352">
        <v>6</v>
      </c>
      <c r="G550" s="352" t="s">
        <v>340</v>
      </c>
      <c r="H550" s="424" t="s">
        <v>1323</v>
      </c>
      <c r="I550" s="350" t="s">
        <v>393</v>
      </c>
      <c r="J550" s="375">
        <v>29495</v>
      </c>
      <c r="K550" s="350" t="s">
        <v>394</v>
      </c>
      <c r="L550" s="354">
        <v>2802.3999950000002</v>
      </c>
      <c r="M550" s="375">
        <f t="shared" si="561"/>
        <v>10.524907241159196</v>
      </c>
      <c r="N550" s="354" t="s">
        <v>395</v>
      </c>
      <c r="O550" s="354">
        <v>0</v>
      </c>
      <c r="P550" s="374">
        <f t="shared" si="562"/>
        <v>0.66315477470272644</v>
      </c>
      <c r="Q550" s="354">
        <f t="shared" si="563"/>
        <v>6.254561182545039E-2</v>
      </c>
      <c r="R550" s="354">
        <f t="shared" si="564"/>
        <v>0.10543371028943821</v>
      </c>
      <c r="S550" s="354">
        <f t="shared" si="565"/>
        <v>9.3918937354929469E-2</v>
      </c>
      <c r="T550" s="354">
        <f t="shared" si="566"/>
        <v>0.4007879883570481</v>
      </c>
      <c r="U550" s="374">
        <f t="shared" si="567"/>
        <v>2.6615278520206105</v>
      </c>
      <c r="V550" s="354">
        <f t="shared" si="568"/>
        <v>7.0452548294511405E-2</v>
      </c>
      <c r="W550" s="354">
        <f t="shared" si="569"/>
        <v>2.40328234056431</v>
      </c>
      <c r="X550" s="354">
        <f t="shared" si="570"/>
        <v>0.18779296316178912</v>
      </c>
      <c r="Y550" s="374">
        <f t="shared" si="571"/>
        <v>0.39017591292204051</v>
      </c>
      <c r="Z550" s="354">
        <f t="shared" si="572"/>
        <v>0.20127615677897173</v>
      </c>
      <c r="AA550" s="354">
        <f t="shared" si="573"/>
        <v>0.18889975614306875</v>
      </c>
      <c r="AB550" s="374">
        <f t="shared" si="574"/>
        <v>2.1316854522561646</v>
      </c>
      <c r="AC550" s="354">
        <f t="shared" si="575"/>
        <v>0.60495651155237795</v>
      </c>
      <c r="AD550" s="354">
        <f t="shared" si="576"/>
        <v>1.3168559451109469</v>
      </c>
      <c r="AE550" s="354">
        <f t="shared" si="577"/>
        <v>0.20987299559283956</v>
      </c>
      <c r="AF550" s="374">
        <f t="shared" si="578"/>
        <v>1.7060927850887793</v>
      </c>
      <c r="AG550" s="354">
        <f t="shared" si="579"/>
        <v>0.10964495697413765</v>
      </c>
      <c r="AH550" s="354">
        <f t="shared" si="580"/>
        <v>0.5516678561233096</v>
      </c>
      <c r="AI550" s="354">
        <f t="shared" si="581"/>
        <v>0</v>
      </c>
      <c r="AJ550" s="354">
        <f t="shared" si="582"/>
        <v>1.0447799719913322</v>
      </c>
      <c r="AK550" s="374">
        <f t="shared" si="583"/>
        <v>1.1268624114659702</v>
      </c>
      <c r="AL550" s="354">
        <f t="shared" si="584"/>
        <v>0.32285356100186546</v>
      </c>
      <c r="AM550" s="354">
        <f t="shared" si="585"/>
        <v>0.76147025408414948</v>
      </c>
      <c r="AN550" s="354">
        <f t="shared" si="586"/>
        <v>4.2538596379955343E-2</v>
      </c>
      <c r="AO550" s="374">
        <f t="shared" si="587"/>
        <v>0.65340573893074128</v>
      </c>
      <c r="AP550" s="354">
        <f t="shared" si="588"/>
        <v>0.14983280869974985</v>
      </c>
      <c r="AQ550" s="354">
        <f t="shared" si="589"/>
        <v>0.50357293023099148</v>
      </c>
      <c r="AR550" s="374">
        <f t="shared" si="590"/>
        <v>1.1920023137721636</v>
      </c>
      <c r="AS550" s="354">
        <f t="shared" si="591"/>
        <v>0.51653506880748334</v>
      </c>
      <c r="AT550" s="354">
        <f t="shared" si="592"/>
        <v>0.67546724496468025</v>
      </c>
      <c r="AU550" s="355" t="s">
        <v>396</v>
      </c>
      <c r="AV550" s="354" t="s">
        <v>397</v>
      </c>
      <c r="AW550" s="353">
        <v>0</v>
      </c>
      <c r="AX550" s="353">
        <v>0</v>
      </c>
      <c r="AY550" s="353">
        <v>0</v>
      </c>
      <c r="AZ550" s="353">
        <v>0</v>
      </c>
      <c r="BA550" s="353">
        <v>0</v>
      </c>
      <c r="BB550" s="353">
        <v>0</v>
      </c>
    </row>
    <row r="551" spans="1:54" x14ac:dyDescent="0.25">
      <c r="A551" s="348" t="s">
        <v>1324</v>
      </c>
      <c r="B551" s="349">
        <v>62</v>
      </c>
      <c r="C551" s="423">
        <v>45139</v>
      </c>
      <c r="D551" s="351">
        <v>45169</v>
      </c>
      <c r="E551" s="352"/>
      <c r="F551" s="352">
        <v>6</v>
      </c>
      <c r="G551" s="352" t="s">
        <v>336</v>
      </c>
      <c r="H551" s="424" t="s">
        <v>1309</v>
      </c>
      <c r="I551" s="350" t="s">
        <v>393</v>
      </c>
      <c r="J551" s="375">
        <v>150000</v>
      </c>
      <c r="K551" s="350" t="s">
        <v>394</v>
      </c>
      <c r="L551" s="354">
        <v>2802.3999950000002</v>
      </c>
      <c r="M551" s="375">
        <f t="shared" si="561"/>
        <v>53.525549624474642</v>
      </c>
      <c r="N551" s="354" t="s">
        <v>395</v>
      </c>
      <c r="O551" s="354">
        <v>0</v>
      </c>
      <c r="P551" s="374">
        <f t="shared" si="562"/>
        <v>3.3725450484966593</v>
      </c>
      <c r="Q551" s="354">
        <f t="shared" si="563"/>
        <v>0.31808244698482996</v>
      </c>
      <c r="R551" s="354">
        <f t="shared" si="564"/>
        <v>0.53619449206359482</v>
      </c>
      <c r="S551" s="354">
        <f t="shared" si="565"/>
        <v>0.47763487381723752</v>
      </c>
      <c r="T551" s="354">
        <f t="shared" si="566"/>
        <v>2.0382504917293511</v>
      </c>
      <c r="U551" s="374">
        <f t="shared" si="567"/>
        <v>13.535486618175677</v>
      </c>
      <c r="V551" s="354">
        <f t="shared" si="568"/>
        <v>0.358294024213484</v>
      </c>
      <c r="W551" s="354">
        <f t="shared" si="569"/>
        <v>12.222151248843755</v>
      </c>
      <c r="X551" s="354">
        <f t="shared" si="570"/>
        <v>0.9550413451184393</v>
      </c>
      <c r="Y551" s="374">
        <f t="shared" si="571"/>
        <v>1.9842816388644204</v>
      </c>
      <c r="Z551" s="354">
        <f t="shared" si="572"/>
        <v>1.0236115788047384</v>
      </c>
      <c r="AA551" s="354">
        <f t="shared" si="573"/>
        <v>0.96067006005968181</v>
      </c>
      <c r="AB551" s="374">
        <f t="shared" si="574"/>
        <v>10.840916014186291</v>
      </c>
      <c r="AC551" s="354">
        <f t="shared" si="575"/>
        <v>3.0765715115394707</v>
      </c>
      <c r="AD551" s="354">
        <f t="shared" si="576"/>
        <v>6.697012773915648</v>
      </c>
      <c r="AE551" s="354">
        <f t="shared" si="577"/>
        <v>1.0673317287311725</v>
      </c>
      <c r="AF551" s="374">
        <f t="shared" si="578"/>
        <v>8.6765186561558529</v>
      </c>
      <c r="AG551" s="354">
        <f t="shared" si="579"/>
        <v>0.55761124075676038</v>
      </c>
      <c r="AH551" s="354">
        <f t="shared" si="580"/>
        <v>2.8055663135614997</v>
      </c>
      <c r="AI551" s="354">
        <f t="shared" si="581"/>
        <v>0</v>
      </c>
      <c r="AJ551" s="354">
        <f t="shared" si="582"/>
        <v>5.3133411018375929</v>
      </c>
      <c r="AK551" s="374">
        <f t="shared" si="583"/>
        <v>5.730780190537228</v>
      </c>
      <c r="AL551" s="354">
        <f t="shared" si="584"/>
        <v>1.6419065655290666</v>
      </c>
      <c r="AM551" s="354">
        <f t="shared" si="585"/>
        <v>3.8725390104296467</v>
      </c>
      <c r="AN551" s="354">
        <f t="shared" si="586"/>
        <v>0.21633461457851505</v>
      </c>
      <c r="AO551" s="374">
        <f t="shared" si="587"/>
        <v>3.3229652768133988</v>
      </c>
      <c r="AP551" s="354">
        <f t="shared" si="588"/>
        <v>0.76199089014960097</v>
      </c>
      <c r="AQ551" s="354">
        <f t="shared" si="589"/>
        <v>2.5609743866637982</v>
      </c>
      <c r="AR551" s="374">
        <f t="shared" si="590"/>
        <v>6.0620561812451115</v>
      </c>
      <c r="AS551" s="354">
        <f t="shared" si="591"/>
        <v>2.6268947388073407</v>
      </c>
      <c r="AT551" s="354">
        <f t="shared" si="592"/>
        <v>3.4351614424377712</v>
      </c>
      <c r="AU551" s="355" t="s">
        <v>396</v>
      </c>
      <c r="AV551" s="354" t="s">
        <v>397</v>
      </c>
      <c r="AW551" s="353">
        <v>0</v>
      </c>
      <c r="AX551" s="353">
        <v>0</v>
      </c>
      <c r="AY551" s="353">
        <v>0</v>
      </c>
      <c r="AZ551" s="353">
        <v>0</v>
      </c>
      <c r="BA551" s="353">
        <v>0</v>
      </c>
      <c r="BB551" s="353">
        <v>0</v>
      </c>
    </row>
    <row r="552" spans="1:54" x14ac:dyDescent="0.25">
      <c r="A552" s="348" t="s">
        <v>1325</v>
      </c>
      <c r="B552" s="349">
        <v>63</v>
      </c>
      <c r="C552" s="423">
        <v>45139</v>
      </c>
      <c r="D552" s="351">
        <v>45169</v>
      </c>
      <c r="E552" s="352"/>
      <c r="F552" s="352">
        <v>6</v>
      </c>
      <c r="G552" s="352" t="s">
        <v>1326</v>
      </c>
      <c r="H552" s="424" t="s">
        <v>1327</v>
      </c>
      <c r="I552" s="350" t="s">
        <v>393</v>
      </c>
      <c r="J552" s="375">
        <v>133958</v>
      </c>
      <c r="K552" s="350" t="s">
        <v>394</v>
      </c>
      <c r="L552" s="354">
        <v>2802.3999950000002</v>
      </c>
      <c r="M552" s="375">
        <f t="shared" si="561"/>
        <v>47.801170510635828</v>
      </c>
      <c r="N552" s="354" t="s">
        <v>395</v>
      </c>
      <c r="O552" s="354">
        <v>0</v>
      </c>
      <c r="P552" s="374">
        <f t="shared" si="562"/>
        <v>3.0118625973767701</v>
      </c>
      <c r="Q552" s="354">
        <f t="shared" si="563"/>
        <v>0.28406458955462571</v>
      </c>
      <c r="R552" s="354">
        <f t="shared" si="564"/>
        <v>0.478850278452367</v>
      </c>
      <c r="S552" s="354">
        <f t="shared" si="565"/>
        <v>0.42655341617873005</v>
      </c>
      <c r="T552" s="354">
        <f t="shared" si="566"/>
        <v>1.820266395807203</v>
      </c>
      <c r="U552" s="374">
        <f t="shared" si="567"/>
        <v>12.087911442650515</v>
      </c>
      <c r="V552" s="354">
        <f t="shared" si="568"/>
        <v>0.31997567263726595</v>
      </c>
      <c r="W552" s="354">
        <f t="shared" si="569"/>
        <v>10.915032913284078</v>
      </c>
      <c r="X552" s="354">
        <f t="shared" si="570"/>
        <v>0.85290285672917265</v>
      </c>
      <c r="Y552" s="374">
        <f t="shared" si="571"/>
        <v>1.7720693318600003</v>
      </c>
      <c r="Z552" s="354">
        <f t="shared" si="572"/>
        <v>0.91413973249016778</v>
      </c>
      <c r="AA552" s="354">
        <f t="shared" si="573"/>
        <v>0.85792959936983237</v>
      </c>
      <c r="AB552" s="374">
        <f t="shared" si="574"/>
        <v>9.6815161828557823</v>
      </c>
      <c r="AC552" s="354">
        <f t="shared" si="575"/>
        <v>2.7475424436186962</v>
      </c>
      <c r="AD552" s="354">
        <f t="shared" si="576"/>
        <v>5.9807895811212832</v>
      </c>
      <c r="AE552" s="354">
        <f t="shared" si="577"/>
        <v>0.95318415811580282</v>
      </c>
      <c r="AF552" s="374">
        <f t="shared" si="578"/>
        <v>7.7485939076088384</v>
      </c>
      <c r="AG552" s="354">
        <f t="shared" si="579"/>
        <v>0.49797657726196071</v>
      </c>
      <c r="AH552" s="354">
        <f t="shared" si="580"/>
        <v>2.5055203482138095</v>
      </c>
      <c r="AI552" s="354">
        <f t="shared" si="581"/>
        <v>0</v>
      </c>
      <c r="AJ552" s="354">
        <f t="shared" si="582"/>
        <v>4.7450969821330693</v>
      </c>
      <c r="AK552" s="374">
        <f t="shared" si="583"/>
        <v>5.117892351759906</v>
      </c>
      <c r="AL552" s="354">
        <f t="shared" si="584"/>
        <v>1.4663101313676179</v>
      </c>
      <c r="AM552" s="354">
        <f t="shared" si="585"/>
        <v>3.4583838717275635</v>
      </c>
      <c r="AN552" s="354">
        <f t="shared" si="586"/>
        <v>0.19319834866472477</v>
      </c>
      <c r="AO552" s="374">
        <f t="shared" si="587"/>
        <v>2.9675852170091286</v>
      </c>
      <c r="AP552" s="354">
        <f t="shared" si="588"/>
        <v>0.68049850441773496</v>
      </c>
      <c r="AQ552" s="354">
        <f t="shared" si="589"/>
        <v>2.2870867125913938</v>
      </c>
      <c r="AR552" s="374">
        <f t="shared" si="590"/>
        <v>5.4137394795148843</v>
      </c>
      <c r="AS552" s="354">
        <f t="shared" si="591"/>
        <v>2.3459571028076915</v>
      </c>
      <c r="AT552" s="354">
        <f t="shared" si="592"/>
        <v>3.0677823767071928</v>
      </c>
      <c r="AU552" s="355" t="s">
        <v>396</v>
      </c>
      <c r="AV552" s="354" t="s">
        <v>397</v>
      </c>
      <c r="AW552" s="353">
        <v>0</v>
      </c>
      <c r="AX552" s="353">
        <v>0</v>
      </c>
      <c r="AY552" s="353">
        <v>0</v>
      </c>
      <c r="AZ552" s="353">
        <v>0</v>
      </c>
      <c r="BA552" s="353">
        <v>0</v>
      </c>
      <c r="BB552" s="353">
        <v>0</v>
      </c>
    </row>
    <row r="553" spans="1:54" x14ac:dyDescent="0.25">
      <c r="A553" s="348" t="s">
        <v>1328</v>
      </c>
      <c r="B553" s="349">
        <v>64</v>
      </c>
      <c r="C553" s="423">
        <v>45139</v>
      </c>
      <c r="D553" s="351">
        <v>45169</v>
      </c>
      <c r="E553" s="352"/>
      <c r="F553" s="352">
        <v>6</v>
      </c>
      <c r="G553" s="352" t="s">
        <v>1326</v>
      </c>
      <c r="H553" s="424" t="s">
        <v>1327</v>
      </c>
      <c r="I553" s="350" t="s">
        <v>393</v>
      </c>
      <c r="J553" s="375">
        <v>16042</v>
      </c>
      <c r="K553" s="350" t="s">
        <v>394</v>
      </c>
      <c r="L553" s="354">
        <v>2802.3999950000002</v>
      </c>
      <c r="M553" s="375">
        <f t="shared" si="561"/>
        <v>5.7243791138388147</v>
      </c>
      <c r="N553" s="354" t="s">
        <v>395</v>
      </c>
      <c r="O553" s="354">
        <v>0</v>
      </c>
      <c r="P553" s="374">
        <f t="shared" si="562"/>
        <v>0.36068245111988939</v>
      </c>
      <c r="Q553" s="354">
        <f t="shared" si="563"/>
        <v>3.401785743020428E-2</v>
      </c>
      <c r="R553" s="354">
        <f t="shared" si="564"/>
        <v>5.7344213611227927E-2</v>
      </c>
      <c r="S553" s="354">
        <f t="shared" si="565"/>
        <v>5.1081457638507494E-2</v>
      </c>
      <c r="T553" s="354">
        <f t="shared" si="566"/>
        <v>0.21798409592214835</v>
      </c>
      <c r="U553" s="374">
        <f t="shared" si="567"/>
        <v>1.4475751755251614</v>
      </c>
      <c r="V553" s="354">
        <f t="shared" si="568"/>
        <v>3.8318351576218067E-2</v>
      </c>
      <c r="W553" s="354">
        <f t="shared" si="569"/>
        <v>1.3071183355596767</v>
      </c>
      <c r="X553" s="354">
        <f t="shared" si="570"/>
        <v>0.10213848838926669</v>
      </c>
      <c r="Y553" s="374">
        <f t="shared" si="571"/>
        <v>0.2122123070044202</v>
      </c>
      <c r="Z553" s="354">
        <f t="shared" si="572"/>
        <v>0.10947184631457076</v>
      </c>
      <c r="AA553" s="354">
        <f t="shared" si="573"/>
        <v>0.10274046068984943</v>
      </c>
      <c r="AB553" s="374">
        <f t="shared" si="574"/>
        <v>1.1593998313305101</v>
      </c>
      <c r="AC553" s="354">
        <f t="shared" si="575"/>
        <v>0.32902906792077463</v>
      </c>
      <c r="AD553" s="354">
        <f t="shared" si="576"/>
        <v>0.71622319279436564</v>
      </c>
      <c r="AE553" s="354">
        <f t="shared" si="577"/>
        <v>0.11414757061536981</v>
      </c>
      <c r="AF553" s="374">
        <f t="shared" si="578"/>
        <v>0.92792474854701468</v>
      </c>
      <c r="AG553" s="354">
        <f t="shared" si="579"/>
        <v>5.9634663494799664E-2</v>
      </c>
      <c r="AH553" s="354">
        <f t="shared" si="580"/>
        <v>0.30004596534769057</v>
      </c>
      <c r="AI553" s="354">
        <f t="shared" si="581"/>
        <v>0</v>
      </c>
      <c r="AJ553" s="354">
        <f t="shared" si="582"/>
        <v>0.56824411970452449</v>
      </c>
      <c r="AK553" s="374">
        <f t="shared" si="583"/>
        <v>0.61288783877732134</v>
      </c>
      <c r="AL553" s="354">
        <f t="shared" si="584"/>
        <v>0.17559643416144854</v>
      </c>
      <c r="AM553" s="354">
        <f t="shared" si="585"/>
        <v>0.41415513870208254</v>
      </c>
      <c r="AN553" s="354">
        <f t="shared" si="586"/>
        <v>2.3136265913790251E-2</v>
      </c>
      <c r="AO553" s="374">
        <f t="shared" si="587"/>
        <v>0.35538005980427029</v>
      </c>
      <c r="AP553" s="354">
        <f t="shared" si="588"/>
        <v>8.1492385731865985E-2</v>
      </c>
      <c r="AQ553" s="354">
        <f t="shared" si="589"/>
        <v>0.27388767407240433</v>
      </c>
      <c r="AR553" s="374">
        <f t="shared" si="590"/>
        <v>0.64831670173022715</v>
      </c>
      <c r="AS553" s="354">
        <f t="shared" si="591"/>
        <v>0.28093763599964905</v>
      </c>
      <c r="AT553" s="354">
        <f t="shared" si="592"/>
        <v>0.36737906573057816</v>
      </c>
      <c r="AU553" s="355" t="s">
        <v>396</v>
      </c>
      <c r="AV553" s="354" t="s">
        <v>397</v>
      </c>
      <c r="AW553" s="353">
        <v>0</v>
      </c>
      <c r="AX553" s="353">
        <v>0</v>
      </c>
      <c r="AY553" s="353">
        <v>0</v>
      </c>
      <c r="AZ553" s="353">
        <v>0</v>
      </c>
      <c r="BA553" s="353">
        <v>0</v>
      </c>
      <c r="BB553" s="353">
        <v>0</v>
      </c>
    </row>
    <row r="554" spans="1:54" x14ac:dyDescent="0.25">
      <c r="A554" s="348" t="s">
        <v>1305</v>
      </c>
      <c r="B554" s="349">
        <v>65</v>
      </c>
      <c r="C554" s="423">
        <v>45139</v>
      </c>
      <c r="D554" s="351">
        <v>45113</v>
      </c>
      <c r="E554" s="352"/>
      <c r="F554" s="352">
        <v>6</v>
      </c>
      <c r="G554" s="352" t="s">
        <v>1306</v>
      </c>
      <c r="H554" s="424" t="s">
        <v>1307</v>
      </c>
      <c r="I554" s="350" t="s">
        <v>393</v>
      </c>
      <c r="J554" s="375">
        <v>91000</v>
      </c>
      <c r="K554" s="350" t="s">
        <v>394</v>
      </c>
      <c r="L554" s="354">
        <v>2802.3999950000002</v>
      </c>
      <c r="M554" s="375">
        <f t="shared" si="561"/>
        <v>32.472166772181282</v>
      </c>
      <c r="N554" s="354" t="s">
        <v>395</v>
      </c>
      <c r="O554" s="354">
        <v>0</v>
      </c>
      <c r="P554" s="374">
        <f t="shared" si="562"/>
        <v>2.0460106627546399</v>
      </c>
      <c r="Q554" s="354">
        <f t="shared" si="563"/>
        <v>0.19297001783746351</v>
      </c>
      <c r="R554" s="354">
        <f t="shared" si="564"/>
        <v>0.32529132518524756</v>
      </c>
      <c r="S554" s="354">
        <f t="shared" si="565"/>
        <v>0.2897651567824574</v>
      </c>
      <c r="T554" s="354">
        <f t="shared" si="566"/>
        <v>1.2365386316491398</v>
      </c>
      <c r="U554" s="374">
        <f t="shared" si="567"/>
        <v>8.2115285483599099</v>
      </c>
      <c r="V554" s="354">
        <f t="shared" si="568"/>
        <v>0.21736504135618026</v>
      </c>
      <c r="W554" s="354">
        <f t="shared" si="569"/>
        <v>7.4147717576318772</v>
      </c>
      <c r="X554" s="354">
        <f t="shared" si="570"/>
        <v>0.57939174937185312</v>
      </c>
      <c r="Y554" s="374">
        <f t="shared" si="571"/>
        <v>1.2037975275777484</v>
      </c>
      <c r="Z554" s="354">
        <f t="shared" si="572"/>
        <v>0.62099102447487464</v>
      </c>
      <c r="AA554" s="354">
        <f t="shared" si="573"/>
        <v>0.58280650310287363</v>
      </c>
      <c r="AB554" s="374">
        <f t="shared" si="574"/>
        <v>6.5768223819396834</v>
      </c>
      <c r="AC554" s="354">
        <f t="shared" si="575"/>
        <v>1.866453383667279</v>
      </c>
      <c r="AD554" s="354">
        <f t="shared" si="576"/>
        <v>4.0628544161754929</v>
      </c>
      <c r="AE554" s="354">
        <f t="shared" si="577"/>
        <v>0.64751458209691126</v>
      </c>
      <c r="AF554" s="374">
        <f t="shared" si="578"/>
        <v>5.2637546514012179</v>
      </c>
      <c r="AG554" s="354">
        <f t="shared" si="579"/>
        <v>0.33828415272576795</v>
      </c>
      <c r="AH554" s="354">
        <f t="shared" si="580"/>
        <v>1.7020435635606435</v>
      </c>
      <c r="AI554" s="354">
        <f t="shared" si="581"/>
        <v>0</v>
      </c>
      <c r="AJ554" s="354">
        <f t="shared" si="582"/>
        <v>3.2234269351148068</v>
      </c>
      <c r="AK554" s="374">
        <f t="shared" si="583"/>
        <v>3.4766733155925849</v>
      </c>
      <c r="AL554" s="354">
        <f t="shared" si="584"/>
        <v>0.99608998308763375</v>
      </c>
      <c r="AM554" s="354">
        <f t="shared" si="585"/>
        <v>2.3493403329939855</v>
      </c>
      <c r="AN554" s="354">
        <f t="shared" si="586"/>
        <v>0.1312429995109658</v>
      </c>
      <c r="AO554" s="374">
        <f t="shared" si="587"/>
        <v>2.0159322679334619</v>
      </c>
      <c r="AP554" s="354">
        <f t="shared" si="588"/>
        <v>0.46227447335742455</v>
      </c>
      <c r="AQ554" s="354">
        <f t="shared" si="589"/>
        <v>1.5536577945760375</v>
      </c>
      <c r="AR554" s="374">
        <f t="shared" si="590"/>
        <v>3.6776474166220341</v>
      </c>
      <c r="AS554" s="354">
        <f t="shared" si="591"/>
        <v>1.5936494748764534</v>
      </c>
      <c r="AT554" s="354">
        <f t="shared" si="592"/>
        <v>2.0839979417455812</v>
      </c>
      <c r="AU554" s="355" t="s">
        <v>396</v>
      </c>
      <c r="AV554" s="354" t="s">
        <v>397</v>
      </c>
      <c r="AW554" s="353">
        <v>0</v>
      </c>
      <c r="AX554" s="353">
        <v>0</v>
      </c>
      <c r="AY554" s="353">
        <v>0</v>
      </c>
      <c r="AZ554" s="353">
        <v>0</v>
      </c>
      <c r="BA554" s="353">
        <v>0</v>
      </c>
      <c r="BB554" s="353">
        <v>0</v>
      </c>
    </row>
    <row r="555" spans="1:54" x14ac:dyDescent="0.25">
      <c r="A555" s="348" t="s">
        <v>737</v>
      </c>
      <c r="B555" s="349">
        <v>67</v>
      </c>
      <c r="C555" s="423">
        <v>45139</v>
      </c>
      <c r="D555" s="351">
        <v>45169</v>
      </c>
      <c r="E555" s="352"/>
      <c r="F555" s="352">
        <v>6</v>
      </c>
      <c r="G555" s="352" t="s">
        <v>342</v>
      </c>
      <c r="H555" s="424" t="s">
        <v>1310</v>
      </c>
      <c r="I555" s="350" t="s">
        <v>393</v>
      </c>
      <c r="J555" s="375">
        <v>3000</v>
      </c>
      <c r="K555" s="350" t="s">
        <v>394</v>
      </c>
      <c r="L555" s="354">
        <v>2802.3999950000002</v>
      </c>
      <c r="M555" s="375">
        <f>J555/L555</f>
        <v>1.0705109924894929</v>
      </c>
      <c r="N555" s="354" t="s">
        <v>395</v>
      </c>
      <c r="O555" s="354">
        <v>0</v>
      </c>
      <c r="P555" s="374">
        <f t="shared" si="562"/>
        <v>6.7450900969933184E-2</v>
      </c>
      <c r="Q555" s="354">
        <f t="shared" si="563"/>
        <v>6.3616489396965984E-3</v>
      </c>
      <c r="R555" s="354">
        <f t="shared" si="564"/>
        <v>1.0723889841271896E-2</v>
      </c>
      <c r="S555" s="354">
        <f t="shared" si="565"/>
        <v>9.5526974763447507E-3</v>
      </c>
      <c r="T555" s="354">
        <f t="shared" si="566"/>
        <v>4.0765009834587022E-2</v>
      </c>
      <c r="U555" s="374">
        <f t="shared" si="567"/>
        <v>0.27070973236351353</v>
      </c>
      <c r="V555" s="354">
        <f t="shared" si="568"/>
        <v>7.1658804842696803E-3</v>
      </c>
      <c r="W555" s="354">
        <f t="shared" si="569"/>
        <v>0.24444302497687509</v>
      </c>
      <c r="X555" s="354">
        <f t="shared" si="570"/>
        <v>1.9100826902368789E-2</v>
      </c>
      <c r="Y555" s="374">
        <f t="shared" si="571"/>
        <v>3.9685632777288413E-2</v>
      </c>
      <c r="Z555" s="354">
        <f t="shared" si="572"/>
        <v>2.0472231576094773E-2</v>
      </c>
      <c r="AA555" s="354">
        <f t="shared" si="573"/>
        <v>1.921340120119364E-2</v>
      </c>
      <c r="AB555" s="374">
        <f t="shared" si="574"/>
        <v>0.21681832028372586</v>
      </c>
      <c r="AC555" s="354">
        <f t="shared" si="575"/>
        <v>6.153143023078942E-2</v>
      </c>
      <c r="AD555" s="354">
        <f t="shared" si="576"/>
        <v>0.13394025547831298</v>
      </c>
      <c r="AE555" s="354">
        <f t="shared" si="577"/>
        <v>2.1346634574623453E-2</v>
      </c>
      <c r="AF555" s="374">
        <f t="shared" si="578"/>
        <v>0.17353037312311709</v>
      </c>
      <c r="AG555" s="354">
        <f t="shared" si="579"/>
        <v>1.1152224815135208E-2</v>
      </c>
      <c r="AH555" s="354">
        <f t="shared" si="580"/>
        <v>5.6111326271230007E-2</v>
      </c>
      <c r="AI555" s="354">
        <f t="shared" si="581"/>
        <v>0</v>
      </c>
      <c r="AJ555" s="354">
        <f t="shared" si="582"/>
        <v>0.10626682203675189</v>
      </c>
      <c r="AK555" s="374">
        <f t="shared" si="583"/>
        <v>0.11461560381074455</v>
      </c>
      <c r="AL555" s="354">
        <f t="shared" si="584"/>
        <v>3.2838131310581331E-2</v>
      </c>
      <c r="AM555" s="354">
        <f t="shared" si="585"/>
        <v>7.7450780208592918E-2</v>
      </c>
      <c r="AN555" s="354">
        <f t="shared" si="586"/>
        <v>4.3266922915703009E-3</v>
      </c>
      <c r="AO555" s="374">
        <f t="shared" si="587"/>
        <v>6.6459305536267985E-2</v>
      </c>
      <c r="AP555" s="354">
        <f t="shared" si="588"/>
        <v>1.5239817802992021E-2</v>
      </c>
      <c r="AQ555" s="354">
        <f t="shared" si="589"/>
        <v>5.1219487733275969E-2</v>
      </c>
      <c r="AR555" s="374">
        <f t="shared" si="590"/>
        <v>0.12124112362490223</v>
      </c>
      <c r="AS555" s="354">
        <f t="shared" si="591"/>
        <v>5.2537894776146815E-2</v>
      </c>
      <c r="AT555" s="354">
        <f t="shared" si="592"/>
        <v>6.8703228848755418E-2</v>
      </c>
      <c r="AU555" s="355" t="s">
        <v>396</v>
      </c>
      <c r="AV555" s="354" t="s">
        <v>397</v>
      </c>
      <c r="AW555" s="353">
        <v>0</v>
      </c>
      <c r="AX555" s="353">
        <v>0</v>
      </c>
      <c r="AY555" s="353">
        <v>0</v>
      </c>
      <c r="AZ555" s="353">
        <v>0</v>
      </c>
      <c r="BA555" s="353">
        <v>0</v>
      </c>
      <c r="BB555" s="353">
        <v>0</v>
      </c>
    </row>
    <row r="556" spans="1:54" ht="30" x14ac:dyDescent="0.25">
      <c r="A556" s="348" t="s">
        <v>1329</v>
      </c>
      <c r="B556" s="349">
        <v>86</v>
      </c>
      <c r="C556" s="423">
        <v>45170</v>
      </c>
      <c r="D556" s="351">
        <v>45204</v>
      </c>
      <c r="E556" s="352"/>
      <c r="F556" s="352">
        <v>6</v>
      </c>
      <c r="G556" s="352" t="s">
        <v>312</v>
      </c>
      <c r="H556" s="424" t="s">
        <v>1331</v>
      </c>
      <c r="I556" s="350" t="s">
        <v>393</v>
      </c>
      <c r="J556" s="375">
        <v>382766.2</v>
      </c>
      <c r="K556" s="350" t="s">
        <v>394</v>
      </c>
      <c r="L556" s="354">
        <v>2802.3999950000002</v>
      </c>
      <c r="M556" s="375">
        <f t="shared" ref="M556:M569" si="593">J556/L556</f>
        <v>136.58514155114392</v>
      </c>
      <c r="N556" s="354" t="s">
        <v>395</v>
      </c>
      <c r="O556" s="354">
        <v>0</v>
      </c>
      <c r="P556" s="374">
        <f t="shared" si="562"/>
        <v>8.6059750169458802</v>
      </c>
      <c r="Q556" s="354">
        <f t="shared" si="563"/>
        <v>0.81167473012723212</v>
      </c>
      <c r="R556" s="354">
        <f t="shared" si="564"/>
        <v>1.3682475212540826</v>
      </c>
      <c r="S556" s="354">
        <f t="shared" si="565"/>
        <v>1.2188165709233567</v>
      </c>
      <c r="T556" s="354">
        <f t="shared" si="566"/>
        <v>5.2011559691158347</v>
      </c>
      <c r="U556" s="374">
        <f t="shared" si="567"/>
        <v>34.539511853266369</v>
      </c>
      <c r="V556" s="354">
        <f t="shared" si="568"/>
        <v>0.91428561420602183</v>
      </c>
      <c r="W556" s="354">
        <f t="shared" si="569"/>
        <v>31.188175928967858</v>
      </c>
      <c r="X556" s="354">
        <f t="shared" si="570"/>
        <v>2.437050310092491</v>
      </c>
      <c r="Y556" s="374">
        <f t="shared" si="571"/>
        <v>5.0634396175860443</v>
      </c>
      <c r="Z556" s="354">
        <f t="shared" si="572"/>
        <v>2.6120260953006023</v>
      </c>
      <c r="AA556" s="354">
        <f t="shared" si="573"/>
        <v>2.4514135222854416</v>
      </c>
      <c r="AB556" s="374">
        <f t="shared" si="574"/>
        <v>27.663574848461558</v>
      </c>
      <c r="AC556" s="354">
        <f t="shared" si="575"/>
        <v>7.8507172433347971</v>
      </c>
      <c r="AD556" s="354">
        <f t="shared" si="576"/>
        <v>17.089267538821016</v>
      </c>
      <c r="AE556" s="354">
        <f t="shared" si="577"/>
        <v>2.7235900663057455</v>
      </c>
      <c r="AF556" s="374">
        <f t="shared" si="578"/>
        <v>22.140520501639219</v>
      </c>
      <c r="AG556" s="354">
        <f t="shared" si="579"/>
        <v>1.4228982380116688</v>
      </c>
      <c r="AH556" s="354">
        <f t="shared" si="580"/>
        <v>7.1591730445996262</v>
      </c>
      <c r="AI556" s="354">
        <f t="shared" si="581"/>
        <v>0</v>
      </c>
      <c r="AJ556" s="354">
        <f t="shared" si="582"/>
        <v>13.558449219027926</v>
      </c>
      <c r="AK556" s="374">
        <f t="shared" si="583"/>
        <v>14.623659710448072</v>
      </c>
      <c r="AL556" s="354">
        <f t="shared" si="584"/>
        <v>4.1897755789507451</v>
      </c>
      <c r="AM556" s="354">
        <f t="shared" si="585"/>
        <v>9.8818469424927748</v>
      </c>
      <c r="AN556" s="354">
        <f t="shared" si="586"/>
        <v>0.55203718900455201</v>
      </c>
      <c r="AO556" s="374">
        <f t="shared" si="587"/>
        <v>8.4794586115854198</v>
      </c>
      <c r="AP556" s="354">
        <f t="shared" si="588"/>
        <v>1.9444290497145349</v>
      </c>
      <c r="AQ556" s="354">
        <f t="shared" si="589"/>
        <v>6.5350295618708856</v>
      </c>
      <c r="AR556" s="374">
        <f t="shared" si="590"/>
        <v>15.469001391211352</v>
      </c>
      <c r="AS556" s="354">
        <f t="shared" si="591"/>
        <v>6.7032434464885231</v>
      </c>
      <c r="AT556" s="354">
        <f t="shared" si="592"/>
        <v>8.7657579447228304</v>
      </c>
      <c r="AU556" s="355" t="s">
        <v>396</v>
      </c>
      <c r="AV556" s="354" t="s">
        <v>397</v>
      </c>
      <c r="AW556" s="353">
        <v>0</v>
      </c>
      <c r="AX556" s="353">
        <v>0</v>
      </c>
      <c r="AY556" s="353">
        <v>0</v>
      </c>
      <c r="AZ556" s="353">
        <v>0</v>
      </c>
      <c r="BA556" s="353">
        <v>0</v>
      </c>
      <c r="BB556" s="353">
        <v>0</v>
      </c>
    </row>
    <row r="557" spans="1:54" ht="30" x14ac:dyDescent="0.25">
      <c r="A557" s="348" t="s">
        <v>1329</v>
      </c>
      <c r="B557" s="349">
        <v>86</v>
      </c>
      <c r="C557" s="423">
        <v>45170</v>
      </c>
      <c r="D557" s="351">
        <v>45204</v>
      </c>
      <c r="E557" s="352"/>
      <c r="F557" s="352">
        <v>6</v>
      </c>
      <c r="G557" s="352" t="s">
        <v>313</v>
      </c>
      <c r="H557" s="424" t="s">
        <v>1332</v>
      </c>
      <c r="I557" s="350" t="s">
        <v>393</v>
      </c>
      <c r="J557" s="375">
        <v>113992.3</v>
      </c>
      <c r="K557" s="350" t="s">
        <v>394</v>
      </c>
      <c r="L557" s="354">
        <v>2802.3999950000002</v>
      </c>
      <c r="M557" s="375">
        <f t="shared" si="593"/>
        <v>40.676670069720004</v>
      </c>
      <c r="N557" s="354" t="s">
        <v>395</v>
      </c>
      <c r="O557" s="354">
        <v>0</v>
      </c>
      <c r="P557" s="374">
        <f t="shared" si="562"/>
        <v>2.562961112878305</v>
      </c>
      <c r="Q557" s="354">
        <f t="shared" si="563"/>
        <v>0.24172633147619221</v>
      </c>
      <c r="R557" s="354">
        <f t="shared" si="564"/>
        <v>0.4074802893177395</v>
      </c>
      <c r="S557" s="354">
        <f t="shared" si="565"/>
        <v>0.36297798551091126</v>
      </c>
      <c r="T557" s="354">
        <f t="shared" si="566"/>
        <v>1.5489657435223982</v>
      </c>
      <c r="U557" s="374">
        <f t="shared" si="567"/>
        <v>10.286275008167115</v>
      </c>
      <c r="V557" s="354">
        <f t="shared" si="568"/>
        <v>0.27228506597567154</v>
      </c>
      <c r="W557" s="354">
        <f t="shared" si="569"/>
        <v>9.288207545357146</v>
      </c>
      <c r="X557" s="354">
        <f t="shared" si="570"/>
        <v>0.72578239683429779</v>
      </c>
      <c r="Y557" s="374">
        <f t="shared" si="571"/>
        <v>1.5079521857461644</v>
      </c>
      <c r="Z557" s="354">
        <f t="shared" si="572"/>
        <v>0.77789225449722255</v>
      </c>
      <c r="AA557" s="354">
        <f t="shared" si="573"/>
        <v>0.73005993124894175</v>
      </c>
      <c r="AB557" s="374">
        <f t="shared" si="574"/>
        <v>8.2385396704261868</v>
      </c>
      <c r="AC557" s="354">
        <f t="shared" si="575"/>
        <v>2.338036418099072</v>
      </c>
      <c r="AD557" s="354">
        <f t="shared" si="576"/>
        <v>5.0893859281868314</v>
      </c>
      <c r="AE557" s="354">
        <f t="shared" si="577"/>
        <v>0.81111732414028292</v>
      </c>
      <c r="AF557" s="374">
        <f t="shared" si="578"/>
        <v>6.5937087840540993</v>
      </c>
      <c r="AG557" s="354">
        <f t="shared" si="579"/>
        <v>0.42375591893144571</v>
      </c>
      <c r="AH557" s="354">
        <f t="shared" si="580"/>
        <v>2.1320863792359774</v>
      </c>
      <c r="AI557" s="354">
        <f t="shared" si="581"/>
        <v>0</v>
      </c>
      <c r="AJ557" s="354">
        <f t="shared" si="582"/>
        <v>4.0378664858866768</v>
      </c>
      <c r="AK557" s="374">
        <f t="shared" si="583"/>
        <v>4.3550987647585115</v>
      </c>
      <c r="AL557" s="354">
        <f t="shared" si="584"/>
        <v>1.2477647052650598</v>
      </c>
      <c r="AM557" s="354">
        <f t="shared" si="585"/>
        <v>2.9429308575906621</v>
      </c>
      <c r="AN557" s="354">
        <f t="shared" si="586"/>
        <v>0.1644032019027897</v>
      </c>
      <c r="AO557" s="374">
        <f t="shared" si="587"/>
        <v>2.5252830314939732</v>
      </c>
      <c r="AP557" s="354">
        <f t="shared" si="588"/>
        <v>0.57907396098133568</v>
      </c>
      <c r="AQ557" s="354">
        <f t="shared" si="589"/>
        <v>1.9462090705126376</v>
      </c>
      <c r="AR557" s="374">
        <f t="shared" si="590"/>
        <v>4.6068515121956475</v>
      </c>
      <c r="AS557" s="354">
        <f t="shared" si="591"/>
        <v>1.9963051542303203</v>
      </c>
      <c r="AT557" s="354">
        <f t="shared" si="592"/>
        <v>2.6105463579653274</v>
      </c>
      <c r="AU557" s="355" t="s">
        <v>396</v>
      </c>
      <c r="AV557" s="354" t="s">
        <v>397</v>
      </c>
      <c r="AW557" s="353">
        <v>0</v>
      </c>
      <c r="AX557" s="353">
        <v>0</v>
      </c>
      <c r="AY557" s="353">
        <v>0</v>
      </c>
      <c r="AZ557" s="353">
        <v>0</v>
      </c>
      <c r="BA557" s="353">
        <v>0</v>
      </c>
      <c r="BB557" s="353">
        <v>0</v>
      </c>
    </row>
    <row r="558" spans="1:54" ht="30" x14ac:dyDescent="0.25">
      <c r="A558" s="348" t="s">
        <v>1329</v>
      </c>
      <c r="B558" s="349">
        <v>86</v>
      </c>
      <c r="C558" s="423">
        <v>45170</v>
      </c>
      <c r="D558" s="351">
        <v>45204</v>
      </c>
      <c r="E558" s="352"/>
      <c r="F558" s="352">
        <v>6</v>
      </c>
      <c r="G558" s="352" t="s">
        <v>314</v>
      </c>
      <c r="H558" s="424" t="s">
        <v>1333</v>
      </c>
      <c r="I558" s="350" t="s">
        <v>393</v>
      </c>
      <c r="J558" s="375">
        <v>183146.6</v>
      </c>
      <c r="K558" s="350" t="s">
        <v>394</v>
      </c>
      <c r="L558" s="354">
        <v>2802.3999950000002</v>
      </c>
      <c r="M558" s="375">
        <f t="shared" si="593"/>
        <v>65.353482845692056</v>
      </c>
      <c r="N558" s="354" t="s">
        <v>395</v>
      </c>
      <c r="O558" s="354">
        <v>0</v>
      </c>
      <c r="P558" s="374">
        <f t="shared" si="562"/>
        <v>4.117801059859989</v>
      </c>
      <c r="Q558" s="354">
        <f t="shared" si="563"/>
        <v>0.38837145789967908</v>
      </c>
      <c r="R558" s="354">
        <f t="shared" si="564"/>
        <v>0.65468132106782928</v>
      </c>
      <c r="S558" s="354">
        <f t="shared" si="565"/>
        <v>0.5831813545403739</v>
      </c>
      <c r="T558" s="354">
        <f t="shared" si="566"/>
        <v>2.4886576500570592</v>
      </c>
      <c r="U558" s="374">
        <f t="shared" si="567"/>
        <v>16.526522356429158</v>
      </c>
      <c r="V558" s="354">
        <f t="shared" si="568"/>
        <v>0.43746888223344849</v>
      </c>
      <c r="W558" s="354">
        <f t="shared" si="569"/>
        <v>14.922969639409919</v>
      </c>
      <c r="X558" s="354">
        <f t="shared" si="570"/>
        <v>1.166083834785792</v>
      </c>
      <c r="Y558" s="374">
        <f t="shared" si="571"/>
        <v>2.4227629040029766</v>
      </c>
      <c r="Z558" s="354">
        <f t="shared" si="572"/>
        <v>1.2498065358581329</v>
      </c>
      <c r="AA558" s="354">
        <f t="shared" si="573"/>
        <v>1.1729563681448436</v>
      </c>
      <c r="AB558" s="374">
        <f t="shared" si="574"/>
        <v>13.236512725891808</v>
      </c>
      <c r="AC558" s="354">
        <f t="shared" si="575"/>
        <v>3.7564240799687658</v>
      </c>
      <c r="AD558" s="354">
        <f t="shared" si="576"/>
        <v>8.176900797994799</v>
      </c>
      <c r="AE558" s="354">
        <f t="shared" si="577"/>
        <v>1.3031878479282439</v>
      </c>
      <c r="AF558" s="374">
        <f t="shared" si="578"/>
        <v>10.593832611410091</v>
      </c>
      <c r="AG558" s="354">
        <f t="shared" si="579"/>
        <v>0.68083068577588057</v>
      </c>
      <c r="AH558" s="354">
        <f t="shared" si="580"/>
        <v>3.4255328760221508</v>
      </c>
      <c r="AI558" s="354">
        <f t="shared" si="581"/>
        <v>0</v>
      </c>
      <c r="AJ558" s="354">
        <f t="shared" si="582"/>
        <v>6.4874690496120602</v>
      </c>
      <c r="AK558" s="374">
        <f t="shared" si="583"/>
        <v>6.9971527149616364</v>
      </c>
      <c r="AL558" s="354">
        <f t="shared" si="584"/>
        <v>2.0047306999621717</v>
      </c>
      <c r="AM558" s="354">
        <f t="shared" si="585"/>
        <v>4.7282823541836949</v>
      </c>
      <c r="AN558" s="354">
        <f t="shared" si="586"/>
        <v>0.26413966081576973</v>
      </c>
      <c r="AO558" s="374">
        <f t="shared" si="587"/>
        <v>4.0572652824428861</v>
      </c>
      <c r="AP558" s="354">
        <f t="shared" si="588"/>
        <v>0.93037360507915279</v>
      </c>
      <c r="AQ558" s="354">
        <f t="shared" si="589"/>
        <v>3.1268916773637332</v>
      </c>
      <c r="AR558" s="374">
        <f t="shared" si="590"/>
        <v>7.4016331906935067</v>
      </c>
      <c r="AS558" s="354">
        <f t="shared" si="591"/>
        <v>3.2073789331363503</v>
      </c>
      <c r="AT558" s="354">
        <f t="shared" si="592"/>
        <v>4.1942542575571569</v>
      </c>
      <c r="AU558" s="355" t="s">
        <v>396</v>
      </c>
      <c r="AV558" s="354" t="s">
        <v>397</v>
      </c>
      <c r="AW558" s="353">
        <v>0</v>
      </c>
      <c r="AX558" s="353">
        <v>0</v>
      </c>
      <c r="AY558" s="353">
        <v>0</v>
      </c>
      <c r="AZ558" s="353">
        <v>0</v>
      </c>
      <c r="BA558" s="353">
        <v>0</v>
      </c>
      <c r="BB558" s="353">
        <v>0</v>
      </c>
    </row>
    <row r="559" spans="1:54" ht="30" x14ac:dyDescent="0.25">
      <c r="A559" s="348" t="s">
        <v>1329</v>
      </c>
      <c r="B559" s="349">
        <v>86</v>
      </c>
      <c r="C559" s="423">
        <v>45170</v>
      </c>
      <c r="D559" s="351">
        <v>45204</v>
      </c>
      <c r="E559" s="352"/>
      <c r="F559" s="352">
        <v>6</v>
      </c>
      <c r="G559" s="352" t="s">
        <v>315</v>
      </c>
      <c r="H559" s="424" t="s">
        <v>1334</v>
      </c>
      <c r="I559" s="350" t="s">
        <v>393</v>
      </c>
      <c r="J559" s="375">
        <v>133403.6</v>
      </c>
      <c r="K559" s="350" t="s">
        <v>394</v>
      </c>
      <c r="L559" s="354">
        <v>2802.3999950000002</v>
      </c>
      <c r="M559" s="375">
        <f t="shared" si="593"/>
        <v>47.60334007922377</v>
      </c>
      <c r="N559" s="354" t="s">
        <v>395</v>
      </c>
      <c r="O559" s="354">
        <v>0</v>
      </c>
      <c r="P559" s="374">
        <f t="shared" si="562"/>
        <v>2.9993976708775265</v>
      </c>
      <c r="Q559" s="354">
        <f t="shared" si="563"/>
        <v>0.28288895683056975</v>
      </c>
      <c r="R559" s="354">
        <f t="shared" si="564"/>
        <v>0.47686850360969996</v>
      </c>
      <c r="S559" s="354">
        <f t="shared" si="565"/>
        <v>0.42478807768510157</v>
      </c>
      <c r="T559" s="354">
        <f t="shared" si="566"/>
        <v>1.8127330219897713</v>
      </c>
      <c r="U559" s="374">
        <f t="shared" si="567"/>
        <v>12.037884284109738</v>
      </c>
      <c r="V559" s="354">
        <f t="shared" si="568"/>
        <v>0.31865141792377288</v>
      </c>
      <c r="W559" s="354">
        <f t="shared" si="569"/>
        <v>10.869859842268351</v>
      </c>
      <c r="X559" s="354">
        <f t="shared" si="570"/>
        <v>0.84937302391761493</v>
      </c>
      <c r="Y559" s="374">
        <f t="shared" si="571"/>
        <v>1.7647354269227573</v>
      </c>
      <c r="Z559" s="354">
        <f t="shared" si="572"/>
        <v>0.91035646409490545</v>
      </c>
      <c r="AA559" s="354">
        <f t="shared" si="573"/>
        <v>0.85437896282785175</v>
      </c>
      <c r="AB559" s="374">
        <f t="shared" si="574"/>
        <v>9.6414481572673498</v>
      </c>
      <c r="AC559" s="354">
        <f t="shared" si="575"/>
        <v>2.7361714353120465</v>
      </c>
      <c r="AD559" s="354">
        <f t="shared" si="576"/>
        <v>5.9560374219088912</v>
      </c>
      <c r="AE559" s="354">
        <f t="shared" si="577"/>
        <v>0.94923930004641233</v>
      </c>
      <c r="AF559" s="374">
        <f t="shared" si="578"/>
        <v>7.7165254946556869</v>
      </c>
      <c r="AG559" s="354">
        <f t="shared" si="579"/>
        <v>0.49591564611612371</v>
      </c>
      <c r="AH559" s="354">
        <f t="shared" si="580"/>
        <v>2.4951509751188863</v>
      </c>
      <c r="AI559" s="354">
        <f t="shared" si="581"/>
        <v>0</v>
      </c>
      <c r="AJ559" s="354">
        <f t="shared" si="582"/>
        <v>4.7254588734206777</v>
      </c>
      <c r="AK559" s="374">
        <f t="shared" si="583"/>
        <v>5.0967113881756809</v>
      </c>
      <c r="AL559" s="354">
        <f t="shared" si="584"/>
        <v>1.4602416447014226</v>
      </c>
      <c r="AM559" s="354">
        <f t="shared" si="585"/>
        <v>3.4440709675450161</v>
      </c>
      <c r="AN559" s="354">
        <f t="shared" si="586"/>
        <v>0.19239877592924259</v>
      </c>
      <c r="AO559" s="374">
        <f t="shared" si="587"/>
        <v>2.9553035373460261</v>
      </c>
      <c r="AP559" s="354">
        <f t="shared" si="588"/>
        <v>0.677682186087742</v>
      </c>
      <c r="AQ559" s="354">
        <f t="shared" si="589"/>
        <v>2.2776213512582841</v>
      </c>
      <c r="AR559" s="374">
        <f t="shared" si="590"/>
        <v>5.3913341198690024</v>
      </c>
      <c r="AS559" s="354">
        <f t="shared" si="591"/>
        <v>2.3362480998530599</v>
      </c>
      <c r="AT559" s="354">
        <f t="shared" si="592"/>
        <v>3.0550860200159429</v>
      </c>
      <c r="AU559" s="355" t="s">
        <v>396</v>
      </c>
      <c r="AV559" s="354" t="s">
        <v>397</v>
      </c>
      <c r="AW559" s="353">
        <v>0</v>
      </c>
      <c r="AX559" s="353">
        <v>0</v>
      </c>
      <c r="AY559" s="353">
        <v>0</v>
      </c>
      <c r="AZ559" s="353">
        <v>0</v>
      </c>
      <c r="BA559" s="353">
        <v>0</v>
      </c>
      <c r="BB559" s="353">
        <v>0</v>
      </c>
    </row>
    <row r="560" spans="1:54" x14ac:dyDescent="0.25">
      <c r="A560" s="348" t="s">
        <v>1329</v>
      </c>
      <c r="B560" s="349">
        <v>86</v>
      </c>
      <c r="C560" s="423">
        <v>45170</v>
      </c>
      <c r="D560" s="351">
        <v>45204</v>
      </c>
      <c r="E560" s="352"/>
      <c r="F560" s="352">
        <v>6</v>
      </c>
      <c r="G560" s="352" t="s">
        <v>316</v>
      </c>
      <c r="H560" s="424" t="s">
        <v>1335</v>
      </c>
      <c r="I560" s="350" t="s">
        <v>393</v>
      </c>
      <c r="J560" s="375">
        <v>345468.5</v>
      </c>
      <c r="K560" s="350" t="s">
        <v>394</v>
      </c>
      <c r="L560" s="354">
        <v>2802.3999950000002</v>
      </c>
      <c r="M560" s="375">
        <f t="shared" si="593"/>
        <v>123.27594226961878</v>
      </c>
      <c r="N560" s="354" t="s">
        <v>395</v>
      </c>
      <c r="O560" s="354">
        <v>0</v>
      </c>
      <c r="P560" s="374">
        <f t="shared" si="562"/>
        <v>7.7673871939104542</v>
      </c>
      <c r="Q560" s="354">
        <f t="shared" si="563"/>
        <v>0.73258310557452477</v>
      </c>
      <c r="R560" s="354">
        <f t="shared" si="564"/>
        <v>1.2349220458764802</v>
      </c>
      <c r="S560" s="354">
        <f t="shared" si="565"/>
        <v>1.1000520227022021</v>
      </c>
      <c r="T560" s="354">
        <f t="shared" si="566"/>
        <v>4.6943422666800094</v>
      </c>
      <c r="U560" s="374">
        <f t="shared" si="567"/>
        <v>31.17389505834149</v>
      </c>
      <c r="V560" s="354">
        <f t="shared" si="568"/>
        <v>0.82519532735997325</v>
      </c>
      <c r="W560" s="354">
        <f t="shared" si="569"/>
        <v>28.149121724741189</v>
      </c>
      <c r="X560" s="354">
        <f t="shared" si="570"/>
        <v>2.1995780062403303</v>
      </c>
      <c r="Y560" s="374">
        <f t="shared" si="571"/>
        <v>4.570045342373553</v>
      </c>
      <c r="Z560" s="354">
        <f t="shared" si="572"/>
        <v>2.3575037114153652</v>
      </c>
      <c r="AA560" s="354">
        <f t="shared" si="573"/>
        <v>2.2125416309581878</v>
      </c>
      <c r="AB560" s="374">
        <f t="shared" si="574"/>
        <v>24.967966626979447</v>
      </c>
      <c r="AC560" s="354">
        <f t="shared" si="575"/>
        <v>7.0857236348951584</v>
      </c>
      <c r="AD560" s="354">
        <f t="shared" si="576"/>
        <v>15.42404638323652</v>
      </c>
      <c r="AE560" s="354">
        <f t="shared" si="577"/>
        <v>2.4581966088477674</v>
      </c>
      <c r="AF560" s="374">
        <f t="shared" si="578"/>
        <v>19.983092569094524</v>
      </c>
      <c r="AG560" s="354">
        <f t="shared" si="579"/>
        <v>1.2842474595158457</v>
      </c>
      <c r="AH560" s="354">
        <f t="shared" si="580"/>
        <v>6.4615652399774737</v>
      </c>
      <c r="AI560" s="354">
        <f t="shared" si="581"/>
        <v>0</v>
      </c>
      <c r="AJ560" s="354">
        <f t="shared" si="582"/>
        <v>12.237279869601204</v>
      </c>
      <c r="AK560" s="374">
        <f t="shared" si="583"/>
        <v>13.198693575030735</v>
      </c>
      <c r="AL560" s="354">
        <f t="shared" si="584"/>
        <v>3.7815133222231885</v>
      </c>
      <c r="AM560" s="354">
        <f t="shared" si="585"/>
        <v>8.9189349541640954</v>
      </c>
      <c r="AN560" s="354">
        <f t="shared" si="586"/>
        <v>0.49824529864345146</v>
      </c>
      <c r="AO560" s="374">
        <f t="shared" si="587"/>
        <v>7.6531988648853977</v>
      </c>
      <c r="AP560" s="354">
        <f t="shared" si="588"/>
        <v>1.7549589988909826</v>
      </c>
      <c r="AQ560" s="354">
        <f t="shared" si="589"/>
        <v>5.8982398659944151</v>
      </c>
      <c r="AR560" s="374">
        <f t="shared" si="590"/>
        <v>13.961663039003177</v>
      </c>
      <c r="AS560" s="354">
        <f t="shared" si="591"/>
        <v>6.0500625671577577</v>
      </c>
      <c r="AT560" s="354">
        <f t="shared" si="592"/>
        <v>7.9116004718454196</v>
      </c>
      <c r="AU560" s="355" t="s">
        <v>396</v>
      </c>
      <c r="AV560" s="354" t="s">
        <v>397</v>
      </c>
      <c r="AW560" s="353">
        <v>0</v>
      </c>
      <c r="AX560" s="353">
        <v>0</v>
      </c>
      <c r="AY560" s="353">
        <v>0</v>
      </c>
      <c r="AZ560" s="353">
        <v>0</v>
      </c>
      <c r="BA560" s="353">
        <v>0</v>
      </c>
      <c r="BB560" s="353">
        <v>0</v>
      </c>
    </row>
    <row r="561" spans="1:54" x14ac:dyDescent="0.25">
      <c r="A561" s="348" t="s">
        <v>1329</v>
      </c>
      <c r="B561" s="349">
        <v>86</v>
      </c>
      <c r="C561" s="423">
        <v>45170</v>
      </c>
      <c r="D561" s="351">
        <v>45204</v>
      </c>
      <c r="E561" s="352"/>
      <c r="F561" s="352">
        <v>6</v>
      </c>
      <c r="G561" s="352" t="s">
        <v>317</v>
      </c>
      <c r="H561" s="424" t="s">
        <v>1336</v>
      </c>
      <c r="I561" s="350" t="s">
        <v>393</v>
      </c>
      <c r="J561" s="375">
        <f>1251994+169809+29400+18000+40000</f>
        <v>1509203</v>
      </c>
      <c r="K561" s="350" t="s">
        <v>394</v>
      </c>
      <c r="L561" s="354">
        <v>2802.3999950000002</v>
      </c>
      <c r="M561" s="375">
        <f t="shared" si="593"/>
        <v>538.5394671327067</v>
      </c>
      <c r="N561" s="354" t="s">
        <v>395</v>
      </c>
      <c r="O561" s="354">
        <v>0</v>
      </c>
      <c r="P561" s="374">
        <f t="shared" si="562"/>
        <v>33.932367365508696</v>
      </c>
      <c r="Q561" s="354">
        <f t="shared" si="563"/>
        <v>3.2003398882456424</v>
      </c>
      <c r="R561" s="354">
        <f t="shared" si="564"/>
        <v>5.3948422400390248</v>
      </c>
      <c r="S561" s="354">
        <f t="shared" si="565"/>
        <v>4.8056532297973096</v>
      </c>
      <c r="T561" s="354">
        <f t="shared" si="566"/>
        <v>20.507558379129417</v>
      </c>
      <c r="U561" s="374">
        <f t="shared" si="567"/>
        <v>136.18531340407057</v>
      </c>
      <c r="V561" s="354">
        <f t="shared" si="568"/>
        <v>3.6049227748337511</v>
      </c>
      <c r="W561" s="354">
        <f t="shared" si="569"/>
        <v>122.97138220805827</v>
      </c>
      <c r="X561" s="354">
        <f t="shared" si="570"/>
        <v>9.6090084211785598</v>
      </c>
      <c r="Y561" s="374">
        <f t="shared" si="571"/>
        <v>19.964558681460666</v>
      </c>
      <c r="Z561" s="354">
        <f t="shared" si="572"/>
        <v>10.298917770445652</v>
      </c>
      <c r="AA561" s="354">
        <f t="shared" si="573"/>
        <v>9.6656409110150125</v>
      </c>
      <c r="AB561" s="374">
        <f t="shared" si="574"/>
        <v>109.07428647571996</v>
      </c>
      <c r="AC561" s="354">
        <f t="shared" si="575"/>
        <v>30.954473032866026</v>
      </c>
      <c r="AD561" s="354">
        <f t="shared" si="576"/>
        <v>67.381011796212121</v>
      </c>
      <c r="AE561" s="354">
        <f t="shared" si="577"/>
        <v>10.738801646641811</v>
      </c>
      <c r="AF561" s="374">
        <f t="shared" si="578"/>
        <v>87.297519902842552</v>
      </c>
      <c r="AG561" s="354">
        <f t="shared" si="579"/>
        <v>5.6103237158921671</v>
      </c>
      <c r="AH561" s="354">
        <f t="shared" si="580"/>
        <v>28.22779398083971</v>
      </c>
      <c r="AI561" s="354">
        <f t="shared" si="581"/>
        <v>0</v>
      </c>
      <c r="AJ561" s="354">
        <f t="shared" si="582"/>
        <v>53.459402206110681</v>
      </c>
      <c r="AK561" s="374">
        <f t="shared" si="583"/>
        <v>57.659404372662372</v>
      </c>
      <c r="AL561" s="354">
        <f t="shared" si="584"/>
        <v>16.51980209610776</v>
      </c>
      <c r="AM561" s="354">
        <f t="shared" si="585"/>
        <v>38.962983281049688</v>
      </c>
      <c r="AN561" s="354">
        <f t="shared" si="586"/>
        <v>2.1766189955049242</v>
      </c>
      <c r="AO561" s="374">
        <f t="shared" si="587"/>
        <v>33.433527764417413</v>
      </c>
      <c r="AP561" s="354">
        <f t="shared" si="588"/>
        <v>7.6666595825763215</v>
      </c>
      <c r="AQ561" s="354">
        <f t="shared" si="589"/>
        <v>25.766868181841094</v>
      </c>
      <c r="AR561" s="374">
        <f t="shared" si="590"/>
        <v>60.992489166024441</v>
      </c>
      <c r="AS561" s="354">
        <f t="shared" si="591"/>
        <v>26.430116136615034</v>
      </c>
      <c r="AT561" s="354">
        <f t="shared" si="592"/>
        <v>34.562373029409407</v>
      </c>
      <c r="AU561" s="355" t="s">
        <v>396</v>
      </c>
      <c r="AV561" s="354" t="s">
        <v>397</v>
      </c>
      <c r="AW561" s="353">
        <v>0</v>
      </c>
      <c r="AX561" s="353">
        <v>0</v>
      </c>
      <c r="AY561" s="353">
        <v>0</v>
      </c>
      <c r="AZ561" s="353">
        <v>0</v>
      </c>
      <c r="BA561" s="353">
        <v>0</v>
      </c>
      <c r="BB561" s="353">
        <v>0</v>
      </c>
    </row>
    <row r="562" spans="1:54" x14ac:dyDescent="0.25">
      <c r="A562" s="348" t="s">
        <v>1337</v>
      </c>
      <c r="B562" s="349">
        <v>87</v>
      </c>
      <c r="C562" s="423">
        <v>45170</v>
      </c>
      <c r="D562" s="351">
        <v>45188</v>
      </c>
      <c r="E562" s="352"/>
      <c r="F562" s="352">
        <v>6</v>
      </c>
      <c r="G562" s="352" t="s">
        <v>335</v>
      </c>
      <c r="H562" s="424" t="s">
        <v>1338</v>
      </c>
      <c r="I562" s="350" t="s">
        <v>393</v>
      </c>
      <c r="J562" s="375">
        <v>200000</v>
      </c>
      <c r="K562" s="350" t="s">
        <v>394</v>
      </c>
      <c r="L562" s="354">
        <v>2802.3999950000002</v>
      </c>
      <c r="M562" s="375">
        <f t="shared" si="593"/>
        <v>71.367399499299523</v>
      </c>
      <c r="N562" s="354" t="s">
        <v>395</v>
      </c>
      <c r="O562" s="354">
        <v>0</v>
      </c>
      <c r="P562" s="374">
        <f t="shared" si="562"/>
        <v>4.496726731328879</v>
      </c>
      <c r="Q562" s="354">
        <f t="shared" si="563"/>
        <v>0.42410992931310659</v>
      </c>
      <c r="R562" s="354">
        <f t="shared" si="564"/>
        <v>0.71492598941812646</v>
      </c>
      <c r="S562" s="354">
        <f t="shared" si="565"/>
        <v>0.63684649842298335</v>
      </c>
      <c r="T562" s="354">
        <f t="shared" si="566"/>
        <v>2.7176673223058017</v>
      </c>
      <c r="U562" s="374">
        <f t="shared" si="567"/>
        <v>18.047315490900903</v>
      </c>
      <c r="V562" s="354">
        <f t="shared" si="568"/>
        <v>0.47772536561797868</v>
      </c>
      <c r="W562" s="354">
        <f t="shared" si="569"/>
        <v>16.296201665125007</v>
      </c>
      <c r="X562" s="354">
        <f t="shared" si="570"/>
        <v>1.2733884601579193</v>
      </c>
      <c r="Y562" s="374">
        <f t="shared" si="571"/>
        <v>2.6457088518192271</v>
      </c>
      <c r="Z562" s="354">
        <f t="shared" si="572"/>
        <v>1.364815438406318</v>
      </c>
      <c r="AA562" s="354">
        <f t="shared" si="573"/>
        <v>1.2808934134129091</v>
      </c>
      <c r="AB562" s="374">
        <f t="shared" si="574"/>
        <v>14.454554685581723</v>
      </c>
      <c r="AC562" s="354">
        <f t="shared" si="575"/>
        <v>4.1020953487192946</v>
      </c>
      <c r="AD562" s="354">
        <f t="shared" si="576"/>
        <v>8.9293503652208646</v>
      </c>
      <c r="AE562" s="354">
        <f t="shared" si="577"/>
        <v>1.4231089716415635</v>
      </c>
      <c r="AF562" s="374">
        <f t="shared" si="578"/>
        <v>11.568691541541138</v>
      </c>
      <c r="AG562" s="354">
        <f t="shared" si="579"/>
        <v>0.74348165434234714</v>
      </c>
      <c r="AH562" s="354">
        <f t="shared" si="580"/>
        <v>3.7407550847486668</v>
      </c>
      <c r="AI562" s="354">
        <f t="shared" si="581"/>
        <v>0</v>
      </c>
      <c r="AJ562" s="354">
        <f t="shared" si="582"/>
        <v>7.084454802450125</v>
      </c>
      <c r="AK562" s="374">
        <f t="shared" si="583"/>
        <v>7.6410402540496367</v>
      </c>
      <c r="AL562" s="354">
        <f t="shared" si="584"/>
        <v>2.1892087540387553</v>
      </c>
      <c r="AM562" s="354">
        <f t="shared" si="585"/>
        <v>5.1633853472395286</v>
      </c>
      <c r="AN562" s="354">
        <f t="shared" si="586"/>
        <v>0.28844615277135338</v>
      </c>
      <c r="AO562" s="374">
        <f t="shared" si="587"/>
        <v>4.4306203690845321</v>
      </c>
      <c r="AP562" s="354">
        <f t="shared" si="588"/>
        <v>1.0159878535328013</v>
      </c>
      <c r="AQ562" s="354">
        <f t="shared" si="589"/>
        <v>3.4146325155517308</v>
      </c>
      <c r="AR562" s="374">
        <f t="shared" si="590"/>
        <v>8.0827415749934826</v>
      </c>
      <c r="AS562" s="354">
        <f t="shared" si="591"/>
        <v>3.5025263184097879</v>
      </c>
      <c r="AT562" s="354">
        <f t="shared" si="592"/>
        <v>4.5802152565836947</v>
      </c>
      <c r="AU562" s="355" t="s">
        <v>396</v>
      </c>
      <c r="AV562" s="354" t="s">
        <v>397</v>
      </c>
      <c r="AW562" s="353">
        <v>0</v>
      </c>
      <c r="AX562" s="353">
        <v>0</v>
      </c>
      <c r="AY562" s="353">
        <v>0</v>
      </c>
      <c r="AZ562" s="353">
        <v>0</v>
      </c>
      <c r="BA562" s="353">
        <v>0</v>
      </c>
      <c r="BB562" s="353">
        <v>0</v>
      </c>
    </row>
    <row r="563" spans="1:54" x14ac:dyDescent="0.25">
      <c r="A563" s="348" t="s">
        <v>1337</v>
      </c>
      <c r="B563" s="349">
        <v>88</v>
      </c>
      <c r="C563" s="423">
        <v>45170</v>
      </c>
      <c r="D563" s="351">
        <v>45188</v>
      </c>
      <c r="E563" s="352"/>
      <c r="F563" s="352">
        <v>6</v>
      </c>
      <c r="G563" s="352" t="s">
        <v>337</v>
      </c>
      <c r="H563" s="424" t="s">
        <v>1339</v>
      </c>
      <c r="I563" s="350" t="s">
        <v>393</v>
      </c>
      <c r="J563" s="375">
        <f>100000*30%</f>
        <v>30000</v>
      </c>
      <c r="K563" s="350" t="s">
        <v>394</v>
      </c>
      <c r="L563" s="354">
        <v>2802.3999950000002</v>
      </c>
      <c r="M563" s="375">
        <f t="shared" si="593"/>
        <v>10.705109924894929</v>
      </c>
      <c r="N563" s="354" t="s">
        <v>395</v>
      </c>
      <c r="O563" s="354">
        <v>0</v>
      </c>
      <c r="P563" s="374">
        <f t="shared" si="562"/>
        <v>0.67450900969933192</v>
      </c>
      <c r="Q563" s="354">
        <f t="shared" si="563"/>
        <v>6.3616489396966E-2</v>
      </c>
      <c r="R563" s="354">
        <f t="shared" si="564"/>
        <v>0.10723889841271898</v>
      </c>
      <c r="S563" s="354">
        <f t="shared" si="565"/>
        <v>9.5526974763447514E-2</v>
      </c>
      <c r="T563" s="354">
        <f t="shared" si="566"/>
        <v>0.40765009834587029</v>
      </c>
      <c r="U563" s="374">
        <f t="shared" si="567"/>
        <v>2.7070973236351357</v>
      </c>
      <c r="V563" s="354">
        <f t="shared" si="568"/>
        <v>7.1658804842696808E-2</v>
      </c>
      <c r="W563" s="354">
        <f t="shared" si="569"/>
        <v>2.4444302497687511</v>
      </c>
      <c r="X563" s="354">
        <f t="shared" si="570"/>
        <v>0.19100826902368789</v>
      </c>
      <c r="Y563" s="374">
        <f t="shared" si="571"/>
        <v>0.3968563277728841</v>
      </c>
      <c r="Z563" s="354">
        <f t="shared" si="572"/>
        <v>0.20472231576094771</v>
      </c>
      <c r="AA563" s="354">
        <f t="shared" si="573"/>
        <v>0.19213401201193636</v>
      </c>
      <c r="AB563" s="374">
        <f t="shared" si="574"/>
        <v>2.1681832028372585</v>
      </c>
      <c r="AC563" s="354">
        <f t="shared" si="575"/>
        <v>0.61531430230789419</v>
      </c>
      <c r="AD563" s="354">
        <f t="shared" si="576"/>
        <v>1.3394025547831296</v>
      </c>
      <c r="AE563" s="354">
        <f t="shared" si="577"/>
        <v>0.21346634574623452</v>
      </c>
      <c r="AF563" s="374">
        <f t="shared" si="578"/>
        <v>1.7353037312311708</v>
      </c>
      <c r="AG563" s="354">
        <f t="shared" si="579"/>
        <v>0.11152224815135207</v>
      </c>
      <c r="AH563" s="354">
        <f t="shared" si="580"/>
        <v>0.5611132627123</v>
      </c>
      <c r="AI563" s="354">
        <f t="shared" si="581"/>
        <v>0</v>
      </c>
      <c r="AJ563" s="354">
        <f t="shared" si="582"/>
        <v>1.0626682203675188</v>
      </c>
      <c r="AK563" s="374">
        <f t="shared" si="583"/>
        <v>1.1461560381074456</v>
      </c>
      <c r="AL563" s="354">
        <f t="shared" si="584"/>
        <v>0.32838131310581331</v>
      </c>
      <c r="AM563" s="354">
        <f t="shared" si="585"/>
        <v>0.77450780208592929</v>
      </c>
      <c r="AN563" s="354">
        <f t="shared" si="586"/>
        <v>4.3266922915703006E-2</v>
      </c>
      <c r="AO563" s="374">
        <f t="shared" si="587"/>
        <v>0.66459305536267976</v>
      </c>
      <c r="AP563" s="354">
        <f t="shared" si="588"/>
        <v>0.1523981780299202</v>
      </c>
      <c r="AQ563" s="354">
        <f t="shared" si="589"/>
        <v>0.51219487733275959</v>
      </c>
      <c r="AR563" s="374">
        <f t="shared" si="590"/>
        <v>1.2124112362490223</v>
      </c>
      <c r="AS563" s="354">
        <f t="shared" si="591"/>
        <v>0.5253789477614681</v>
      </c>
      <c r="AT563" s="354">
        <f t="shared" si="592"/>
        <v>0.68703228848755415</v>
      </c>
      <c r="AU563" s="355" t="s">
        <v>396</v>
      </c>
      <c r="AV563" s="354" t="s">
        <v>397</v>
      </c>
      <c r="AW563" s="353">
        <v>0</v>
      </c>
      <c r="AX563" s="353">
        <v>0</v>
      </c>
      <c r="AY563" s="353">
        <v>0</v>
      </c>
      <c r="AZ563" s="353">
        <v>0</v>
      </c>
      <c r="BA563" s="353">
        <v>0</v>
      </c>
      <c r="BB563" s="353">
        <v>0</v>
      </c>
    </row>
    <row r="564" spans="1:54" x14ac:dyDescent="0.25">
      <c r="A564" s="348" t="s">
        <v>1337</v>
      </c>
      <c r="B564" s="349">
        <v>89</v>
      </c>
      <c r="C564" s="423">
        <v>45170</v>
      </c>
      <c r="D564" s="351">
        <v>45188</v>
      </c>
      <c r="E564" s="352"/>
      <c r="F564" s="352">
        <v>6</v>
      </c>
      <c r="G564" s="352" t="s">
        <v>338</v>
      </c>
      <c r="H564" s="424" t="s">
        <v>1340</v>
      </c>
      <c r="I564" s="350" t="s">
        <v>393</v>
      </c>
      <c r="J564" s="375">
        <v>90000</v>
      </c>
      <c r="K564" s="350" t="s">
        <v>394</v>
      </c>
      <c r="L564" s="354">
        <v>2802.3999950000002</v>
      </c>
      <c r="M564" s="375">
        <f t="shared" si="593"/>
        <v>32.115329774684788</v>
      </c>
      <c r="N564" s="354" t="s">
        <v>395</v>
      </c>
      <c r="O564" s="354">
        <v>0</v>
      </c>
      <c r="P564" s="374">
        <f t="shared" si="562"/>
        <v>2.0235270290979956</v>
      </c>
      <c r="Q564" s="354">
        <f t="shared" si="563"/>
        <v>0.19084946819089799</v>
      </c>
      <c r="R564" s="354">
        <f t="shared" si="564"/>
        <v>0.32171669523815694</v>
      </c>
      <c r="S564" s="354">
        <f t="shared" si="565"/>
        <v>0.28658092429034254</v>
      </c>
      <c r="T564" s="354">
        <f t="shared" si="566"/>
        <v>1.2229502950376108</v>
      </c>
      <c r="U564" s="374">
        <f t="shared" si="567"/>
        <v>8.121291970905407</v>
      </c>
      <c r="V564" s="354">
        <f t="shared" si="568"/>
        <v>0.21497641452809041</v>
      </c>
      <c r="W564" s="354">
        <f t="shared" si="569"/>
        <v>7.3332907493062534</v>
      </c>
      <c r="X564" s="354">
        <f t="shared" si="570"/>
        <v>0.57302480707106374</v>
      </c>
      <c r="Y564" s="374">
        <f t="shared" si="571"/>
        <v>1.1905689833186524</v>
      </c>
      <c r="Z564" s="354">
        <f t="shared" si="572"/>
        <v>0.61416694728284316</v>
      </c>
      <c r="AA564" s="354">
        <f t="shared" si="573"/>
        <v>0.57640203603580908</v>
      </c>
      <c r="AB564" s="374">
        <f t="shared" si="574"/>
        <v>6.504549608511776</v>
      </c>
      <c r="AC564" s="354">
        <f t="shared" si="575"/>
        <v>1.8459429069236828</v>
      </c>
      <c r="AD564" s="354">
        <f t="shared" si="576"/>
        <v>4.0182076643493891</v>
      </c>
      <c r="AE564" s="354">
        <f t="shared" si="577"/>
        <v>0.64039903723870362</v>
      </c>
      <c r="AF564" s="374">
        <f t="shared" si="578"/>
        <v>5.2059111936935123</v>
      </c>
      <c r="AG564" s="354">
        <f t="shared" si="579"/>
        <v>0.33456674445405626</v>
      </c>
      <c r="AH564" s="354">
        <f t="shared" si="580"/>
        <v>1.6833397881369001</v>
      </c>
      <c r="AI564" s="354">
        <f t="shared" si="581"/>
        <v>0</v>
      </c>
      <c r="AJ564" s="354">
        <f t="shared" si="582"/>
        <v>3.1880046611025565</v>
      </c>
      <c r="AK564" s="374">
        <f t="shared" si="583"/>
        <v>3.4384681143223368</v>
      </c>
      <c r="AL564" s="354">
        <f t="shared" si="584"/>
        <v>0.98514393931743993</v>
      </c>
      <c r="AM564" s="354">
        <f t="shared" si="585"/>
        <v>2.3235234062577881</v>
      </c>
      <c r="AN564" s="354">
        <f t="shared" si="586"/>
        <v>0.12980076874710902</v>
      </c>
      <c r="AO564" s="374">
        <f t="shared" si="587"/>
        <v>1.9937791660880395</v>
      </c>
      <c r="AP564" s="354">
        <f t="shared" si="588"/>
        <v>0.45719453408976063</v>
      </c>
      <c r="AQ564" s="354">
        <f t="shared" si="589"/>
        <v>1.536584631998279</v>
      </c>
      <c r="AR564" s="374">
        <f t="shared" si="590"/>
        <v>3.637233708747067</v>
      </c>
      <c r="AS564" s="354">
        <f t="shared" si="591"/>
        <v>1.5761368432844045</v>
      </c>
      <c r="AT564" s="354">
        <f t="shared" si="592"/>
        <v>2.0610968654626629</v>
      </c>
      <c r="AU564" s="355" t="s">
        <v>396</v>
      </c>
      <c r="AV564" s="354" t="s">
        <v>397</v>
      </c>
      <c r="AW564" s="353">
        <v>0</v>
      </c>
      <c r="AX564" s="353">
        <v>0</v>
      </c>
      <c r="AY564" s="353">
        <v>0</v>
      </c>
      <c r="AZ564" s="353">
        <v>0</v>
      </c>
      <c r="BA564" s="353">
        <v>0</v>
      </c>
      <c r="BB564" s="353">
        <v>0</v>
      </c>
    </row>
    <row r="565" spans="1:54" x14ac:dyDescent="0.25">
      <c r="A565" s="348" t="s">
        <v>1337</v>
      </c>
      <c r="B565" s="349">
        <v>90</v>
      </c>
      <c r="C565" s="423">
        <v>45170</v>
      </c>
      <c r="D565" s="351">
        <v>45188</v>
      </c>
      <c r="E565" s="352"/>
      <c r="F565" s="352">
        <v>6</v>
      </c>
      <c r="G565" s="352" t="s">
        <v>339</v>
      </c>
      <c r="H565" s="424" t="s">
        <v>1341</v>
      </c>
      <c r="I565" s="350" t="s">
        <v>393</v>
      </c>
      <c r="J565" s="375">
        <v>60000</v>
      </c>
      <c r="K565" s="350" t="s">
        <v>394</v>
      </c>
      <c r="L565" s="354">
        <v>2802.3999950000002</v>
      </c>
      <c r="M565" s="375">
        <f t="shared" si="593"/>
        <v>21.410219849789858</v>
      </c>
      <c r="N565" s="354" t="s">
        <v>395</v>
      </c>
      <c r="O565" s="354">
        <v>0</v>
      </c>
      <c r="P565" s="374">
        <f t="shared" si="562"/>
        <v>1.3490180193986638</v>
      </c>
      <c r="Q565" s="354">
        <f t="shared" si="563"/>
        <v>0.127232978793932</v>
      </c>
      <c r="R565" s="354">
        <f t="shared" si="564"/>
        <v>0.21447779682543797</v>
      </c>
      <c r="S565" s="354">
        <f t="shared" si="565"/>
        <v>0.19105394952689503</v>
      </c>
      <c r="T565" s="354">
        <f t="shared" si="566"/>
        <v>0.81530019669174059</v>
      </c>
      <c r="U565" s="374">
        <f t="shared" si="567"/>
        <v>5.4141946472702713</v>
      </c>
      <c r="V565" s="354">
        <f t="shared" si="568"/>
        <v>0.14331760968539362</v>
      </c>
      <c r="W565" s="354">
        <f t="shared" si="569"/>
        <v>4.8888604995375022</v>
      </c>
      <c r="X565" s="354">
        <f t="shared" si="570"/>
        <v>0.38201653804737579</v>
      </c>
      <c r="Y565" s="374">
        <f t="shared" si="571"/>
        <v>0.7937126555457682</v>
      </c>
      <c r="Z565" s="354">
        <f t="shared" si="572"/>
        <v>0.40944463152189542</v>
      </c>
      <c r="AA565" s="354">
        <f t="shared" si="573"/>
        <v>0.38426802402387272</v>
      </c>
      <c r="AB565" s="374">
        <f t="shared" si="574"/>
        <v>4.336366405674517</v>
      </c>
      <c r="AC565" s="354">
        <f t="shared" si="575"/>
        <v>1.2306286046157884</v>
      </c>
      <c r="AD565" s="354">
        <f t="shared" si="576"/>
        <v>2.6788051095662593</v>
      </c>
      <c r="AE565" s="354">
        <f t="shared" si="577"/>
        <v>0.42693269149246904</v>
      </c>
      <c r="AF565" s="374">
        <f t="shared" si="578"/>
        <v>3.4706074624623415</v>
      </c>
      <c r="AG565" s="354">
        <f t="shared" si="579"/>
        <v>0.22304449630270415</v>
      </c>
      <c r="AH565" s="354">
        <f t="shared" si="580"/>
        <v>1.1222265254246</v>
      </c>
      <c r="AI565" s="354">
        <f t="shared" si="581"/>
        <v>0</v>
      </c>
      <c r="AJ565" s="354">
        <f t="shared" si="582"/>
        <v>2.1253364407350377</v>
      </c>
      <c r="AK565" s="374">
        <f t="shared" si="583"/>
        <v>2.2923120762148912</v>
      </c>
      <c r="AL565" s="354">
        <f t="shared" si="584"/>
        <v>0.65676262621162662</v>
      </c>
      <c r="AM565" s="354">
        <f t="shared" si="585"/>
        <v>1.5490156041718586</v>
      </c>
      <c r="AN565" s="354">
        <f t="shared" si="586"/>
        <v>8.6533845831406012E-2</v>
      </c>
      <c r="AO565" s="374">
        <f t="shared" si="587"/>
        <v>1.3291861107253595</v>
      </c>
      <c r="AP565" s="354">
        <f t="shared" si="588"/>
        <v>0.3047963560598404</v>
      </c>
      <c r="AQ565" s="354">
        <f t="shared" si="589"/>
        <v>1.0243897546655192</v>
      </c>
      <c r="AR565" s="374">
        <f t="shared" si="590"/>
        <v>2.4248224724980445</v>
      </c>
      <c r="AS565" s="354">
        <f t="shared" si="591"/>
        <v>1.0507578955229362</v>
      </c>
      <c r="AT565" s="354">
        <f t="shared" si="592"/>
        <v>1.3740645769751083</v>
      </c>
      <c r="AU565" s="355" t="s">
        <v>396</v>
      </c>
      <c r="AV565" s="354" t="s">
        <v>397</v>
      </c>
      <c r="AW565" s="353">
        <v>0</v>
      </c>
      <c r="AX565" s="353">
        <v>0</v>
      </c>
      <c r="AY565" s="353">
        <v>0</v>
      </c>
      <c r="AZ565" s="353">
        <v>0</v>
      </c>
      <c r="BA565" s="353">
        <v>0</v>
      </c>
      <c r="BB565" s="353">
        <v>0</v>
      </c>
    </row>
    <row r="566" spans="1:54" x14ac:dyDescent="0.25">
      <c r="A566" s="348" t="s">
        <v>1337</v>
      </c>
      <c r="B566" s="349">
        <v>91</v>
      </c>
      <c r="C566" s="423">
        <v>45170</v>
      </c>
      <c r="D566" s="351">
        <v>45188</v>
      </c>
      <c r="E566" s="352"/>
      <c r="F566" s="352">
        <v>6</v>
      </c>
      <c r="G566" s="352" t="s">
        <v>340</v>
      </c>
      <c r="H566" s="424" t="s">
        <v>1342</v>
      </c>
      <c r="I566" s="350" t="s">
        <v>393</v>
      </c>
      <c r="J566" s="375">
        <v>29495</v>
      </c>
      <c r="K566" s="350" t="s">
        <v>394</v>
      </c>
      <c r="L566" s="354">
        <v>2802.3999950000002</v>
      </c>
      <c r="M566" s="375">
        <f t="shared" si="593"/>
        <v>10.524907241159196</v>
      </c>
      <c r="N566" s="354" t="s">
        <v>395</v>
      </c>
      <c r="O566" s="354">
        <v>0</v>
      </c>
      <c r="P566" s="374">
        <f t="shared" si="562"/>
        <v>0.66315477470272644</v>
      </c>
      <c r="Q566" s="354">
        <f t="shared" si="563"/>
        <v>6.254561182545039E-2</v>
      </c>
      <c r="R566" s="354">
        <f t="shared" si="564"/>
        <v>0.10543371028943821</v>
      </c>
      <c r="S566" s="354">
        <f t="shared" si="565"/>
        <v>9.3918937354929469E-2</v>
      </c>
      <c r="T566" s="354">
        <f t="shared" si="566"/>
        <v>0.4007879883570481</v>
      </c>
      <c r="U566" s="374">
        <f t="shared" si="567"/>
        <v>2.6615278520206105</v>
      </c>
      <c r="V566" s="354">
        <f t="shared" si="568"/>
        <v>7.0452548294511405E-2</v>
      </c>
      <c r="W566" s="354">
        <f t="shared" si="569"/>
        <v>2.40328234056431</v>
      </c>
      <c r="X566" s="354">
        <f t="shared" si="570"/>
        <v>0.18779296316178912</v>
      </c>
      <c r="Y566" s="374">
        <f t="shared" si="571"/>
        <v>0.39017591292204051</v>
      </c>
      <c r="Z566" s="354">
        <f t="shared" si="572"/>
        <v>0.20127615677897173</v>
      </c>
      <c r="AA566" s="354">
        <f t="shared" si="573"/>
        <v>0.18889975614306875</v>
      </c>
      <c r="AB566" s="374">
        <f t="shared" si="574"/>
        <v>2.1316854522561646</v>
      </c>
      <c r="AC566" s="354">
        <f t="shared" si="575"/>
        <v>0.60495651155237795</v>
      </c>
      <c r="AD566" s="354">
        <f t="shared" si="576"/>
        <v>1.3168559451109469</v>
      </c>
      <c r="AE566" s="354">
        <f t="shared" si="577"/>
        <v>0.20987299559283956</v>
      </c>
      <c r="AF566" s="374">
        <f t="shared" si="578"/>
        <v>1.7060927850887793</v>
      </c>
      <c r="AG566" s="354">
        <f t="shared" si="579"/>
        <v>0.10964495697413765</v>
      </c>
      <c r="AH566" s="354">
        <f t="shared" si="580"/>
        <v>0.5516678561233096</v>
      </c>
      <c r="AI566" s="354">
        <f t="shared" si="581"/>
        <v>0</v>
      </c>
      <c r="AJ566" s="354">
        <f t="shared" si="582"/>
        <v>1.0447799719913322</v>
      </c>
      <c r="AK566" s="374">
        <f t="shared" si="583"/>
        <v>1.1268624114659702</v>
      </c>
      <c r="AL566" s="354">
        <f t="shared" si="584"/>
        <v>0.32285356100186546</v>
      </c>
      <c r="AM566" s="354">
        <f t="shared" si="585"/>
        <v>0.76147025408414948</v>
      </c>
      <c r="AN566" s="354">
        <f t="shared" si="586"/>
        <v>4.2538596379955343E-2</v>
      </c>
      <c r="AO566" s="374">
        <f t="shared" si="587"/>
        <v>0.65340573893074128</v>
      </c>
      <c r="AP566" s="354">
        <f t="shared" si="588"/>
        <v>0.14983280869974985</v>
      </c>
      <c r="AQ566" s="354">
        <f t="shared" si="589"/>
        <v>0.50357293023099148</v>
      </c>
      <c r="AR566" s="374">
        <f t="shared" si="590"/>
        <v>1.1920023137721636</v>
      </c>
      <c r="AS566" s="354">
        <f t="shared" si="591"/>
        <v>0.51653506880748334</v>
      </c>
      <c r="AT566" s="354">
        <f t="shared" si="592"/>
        <v>0.67546724496468025</v>
      </c>
      <c r="AU566" s="355" t="s">
        <v>396</v>
      </c>
      <c r="AV566" s="354" t="s">
        <v>397</v>
      </c>
      <c r="AW566" s="353">
        <v>0</v>
      </c>
      <c r="AX566" s="353">
        <v>0</v>
      </c>
      <c r="AY566" s="353">
        <v>0</v>
      </c>
      <c r="AZ566" s="353">
        <v>0</v>
      </c>
      <c r="BA566" s="353">
        <v>0</v>
      </c>
      <c r="BB566" s="353">
        <v>0</v>
      </c>
    </row>
    <row r="567" spans="1:54" x14ac:dyDescent="0.25">
      <c r="A567" s="348" t="s">
        <v>1343</v>
      </c>
      <c r="B567" s="349">
        <v>92</v>
      </c>
      <c r="C567" s="423">
        <v>45170</v>
      </c>
      <c r="D567" s="351">
        <v>45170</v>
      </c>
      <c r="E567" s="352"/>
      <c r="F567" s="352">
        <v>6</v>
      </c>
      <c r="G567" s="352" t="s">
        <v>1306</v>
      </c>
      <c r="H567" s="424" t="s">
        <v>1307</v>
      </c>
      <c r="I567" s="350" t="s">
        <v>393</v>
      </c>
      <c r="J567" s="375">
        <f>32500+48000</f>
        <v>80500</v>
      </c>
      <c r="K567" s="350" t="s">
        <v>394</v>
      </c>
      <c r="L567" s="354">
        <v>2802.3999950000002</v>
      </c>
      <c r="M567" s="375">
        <f>J567/L567</f>
        <v>28.725378298468058</v>
      </c>
      <c r="N567" s="354" t="s">
        <v>395</v>
      </c>
      <c r="O567" s="354">
        <v>0</v>
      </c>
      <c r="P567" s="374">
        <f t="shared" si="562"/>
        <v>1.8099325093598739</v>
      </c>
      <c r="Q567" s="354">
        <f t="shared" si="563"/>
        <v>0.17070424654852542</v>
      </c>
      <c r="R567" s="354">
        <f t="shared" si="564"/>
        <v>0.28775771074079592</v>
      </c>
      <c r="S567" s="354">
        <f t="shared" si="565"/>
        <v>0.25633071561525084</v>
      </c>
      <c r="T567" s="354">
        <f t="shared" si="566"/>
        <v>1.0938610972280851</v>
      </c>
      <c r="U567" s="374">
        <f t="shared" si="567"/>
        <v>7.2640444850876138</v>
      </c>
      <c r="V567" s="354">
        <f t="shared" si="568"/>
        <v>0.19228445966123642</v>
      </c>
      <c r="W567" s="354">
        <f t="shared" si="569"/>
        <v>6.5592211702128154</v>
      </c>
      <c r="X567" s="354">
        <f t="shared" si="570"/>
        <v>0.51253885521356246</v>
      </c>
      <c r="Y567" s="374">
        <f t="shared" si="571"/>
        <v>1.0648978128572391</v>
      </c>
      <c r="Z567" s="354">
        <f t="shared" si="572"/>
        <v>0.5493382139585431</v>
      </c>
      <c r="AA567" s="354">
        <f t="shared" si="573"/>
        <v>0.51555959889869596</v>
      </c>
      <c r="AB567" s="374">
        <f t="shared" si="574"/>
        <v>5.8179582609466429</v>
      </c>
      <c r="AC567" s="354">
        <f t="shared" si="575"/>
        <v>1.6510933778595158</v>
      </c>
      <c r="AD567" s="354">
        <f t="shared" si="576"/>
        <v>3.5940635220013979</v>
      </c>
      <c r="AE567" s="354">
        <f t="shared" si="577"/>
        <v>0.57280136108572921</v>
      </c>
      <c r="AF567" s="374">
        <f t="shared" si="578"/>
        <v>4.6563983454703077</v>
      </c>
      <c r="AG567" s="354">
        <f t="shared" si="579"/>
        <v>0.29925136587279472</v>
      </c>
      <c r="AH567" s="354">
        <f t="shared" si="580"/>
        <v>1.5056539216113383</v>
      </c>
      <c r="AI567" s="354">
        <f t="shared" si="581"/>
        <v>0</v>
      </c>
      <c r="AJ567" s="354">
        <f t="shared" si="582"/>
        <v>2.851493057986175</v>
      </c>
      <c r="AK567" s="374">
        <f t="shared" si="583"/>
        <v>3.0755187022549788</v>
      </c>
      <c r="AL567" s="354">
        <f t="shared" si="584"/>
        <v>0.88115652350059903</v>
      </c>
      <c r="AM567" s="354">
        <f t="shared" si="585"/>
        <v>2.0782626022639104</v>
      </c>
      <c r="AN567" s="354">
        <f t="shared" si="586"/>
        <v>0.11609957649046973</v>
      </c>
      <c r="AO567" s="374">
        <f t="shared" si="587"/>
        <v>1.7833246985565241</v>
      </c>
      <c r="AP567" s="354">
        <f t="shared" si="588"/>
        <v>0.40893511104695252</v>
      </c>
      <c r="AQ567" s="354">
        <f t="shared" si="589"/>
        <v>1.3743895875095715</v>
      </c>
      <c r="AR567" s="374">
        <f t="shared" si="590"/>
        <v>3.2533034839348764</v>
      </c>
      <c r="AS567" s="354">
        <f t="shared" si="591"/>
        <v>1.4097668431599395</v>
      </c>
      <c r="AT567" s="354">
        <f t="shared" si="592"/>
        <v>1.8435366407749372</v>
      </c>
      <c r="AU567" s="355" t="s">
        <v>396</v>
      </c>
      <c r="AV567" s="354" t="s">
        <v>397</v>
      </c>
      <c r="AW567" s="353">
        <v>0</v>
      </c>
      <c r="AX567" s="353">
        <v>0</v>
      </c>
      <c r="AY567" s="353">
        <v>0</v>
      </c>
      <c r="AZ567" s="353">
        <v>0</v>
      </c>
      <c r="BA567" s="353">
        <v>0</v>
      </c>
      <c r="BB567" s="353">
        <v>0</v>
      </c>
    </row>
    <row r="568" spans="1:54" x14ac:dyDescent="0.25">
      <c r="A568" s="348" t="s">
        <v>1344</v>
      </c>
      <c r="B568" s="349">
        <v>92</v>
      </c>
      <c r="C568" s="423">
        <v>45170</v>
      </c>
      <c r="D568" s="351">
        <v>45187</v>
      </c>
      <c r="E568" s="352"/>
      <c r="F568" s="352">
        <v>6</v>
      </c>
      <c r="G568" s="352" t="s">
        <v>1306</v>
      </c>
      <c r="H568" s="424" t="s">
        <v>1307</v>
      </c>
      <c r="I568" s="350" t="s">
        <v>393</v>
      </c>
      <c r="J568" s="375">
        <f>26000+44500</f>
        <v>70500</v>
      </c>
      <c r="K568" s="350" t="s">
        <v>394</v>
      </c>
      <c r="L568" s="354">
        <v>2802.3999950000002</v>
      </c>
      <c r="M568" s="375">
        <f>J568/L568</f>
        <v>25.157008323503081</v>
      </c>
      <c r="N568" s="354" t="s">
        <v>395</v>
      </c>
      <c r="O568" s="354">
        <v>0</v>
      </c>
      <c r="P568" s="374">
        <f t="shared" si="562"/>
        <v>1.5850961727934298</v>
      </c>
      <c r="Q568" s="354">
        <f t="shared" si="563"/>
        <v>0.14949875008287009</v>
      </c>
      <c r="R568" s="354">
        <f t="shared" si="564"/>
        <v>0.25201141126988957</v>
      </c>
      <c r="S568" s="354">
        <f t="shared" si="565"/>
        <v>0.22448839069410165</v>
      </c>
      <c r="T568" s="354">
        <f t="shared" si="566"/>
        <v>0.95797773111279505</v>
      </c>
      <c r="U568" s="374">
        <f t="shared" si="567"/>
        <v>6.3616787105425683</v>
      </c>
      <c r="V568" s="354">
        <f t="shared" si="568"/>
        <v>0.16839819138033749</v>
      </c>
      <c r="W568" s="354">
        <f t="shared" si="569"/>
        <v>5.744411086956565</v>
      </c>
      <c r="X568" s="354">
        <f t="shared" si="570"/>
        <v>0.4488694322056665</v>
      </c>
      <c r="Y568" s="374">
        <f t="shared" si="571"/>
        <v>0.93261237026627752</v>
      </c>
      <c r="Z568" s="354">
        <f t="shared" si="572"/>
        <v>0.48109744203822707</v>
      </c>
      <c r="AA568" s="354">
        <f t="shared" si="573"/>
        <v>0.45151492822805039</v>
      </c>
      <c r="AB568" s="374">
        <f t="shared" si="574"/>
        <v>5.0952305266675575</v>
      </c>
      <c r="AC568" s="354">
        <f t="shared" si="575"/>
        <v>1.4459886104235513</v>
      </c>
      <c r="AD568" s="354">
        <f t="shared" si="576"/>
        <v>3.1475960037403548</v>
      </c>
      <c r="AE568" s="354">
        <f t="shared" si="577"/>
        <v>0.50164591250365109</v>
      </c>
      <c r="AF568" s="374">
        <f t="shared" si="578"/>
        <v>4.0779637683932508</v>
      </c>
      <c r="AG568" s="354">
        <f t="shared" si="579"/>
        <v>0.26207728315567735</v>
      </c>
      <c r="AH568" s="354">
        <f t="shared" si="580"/>
        <v>1.318616167373905</v>
      </c>
      <c r="AI568" s="354">
        <f t="shared" si="581"/>
        <v>0</v>
      </c>
      <c r="AJ568" s="354">
        <f t="shared" si="582"/>
        <v>2.497270317863669</v>
      </c>
      <c r="AK568" s="374">
        <f t="shared" si="583"/>
        <v>2.6934666895524968</v>
      </c>
      <c r="AL568" s="354">
        <f t="shared" si="584"/>
        <v>0.77169608579866122</v>
      </c>
      <c r="AM568" s="354">
        <f t="shared" si="585"/>
        <v>1.8200933349019337</v>
      </c>
      <c r="AN568" s="354">
        <f t="shared" si="586"/>
        <v>0.10167726885190206</v>
      </c>
      <c r="AO568" s="374">
        <f t="shared" si="587"/>
        <v>1.5617936801022974</v>
      </c>
      <c r="AP568" s="354">
        <f t="shared" si="588"/>
        <v>0.35813571837031244</v>
      </c>
      <c r="AQ568" s="354">
        <f t="shared" si="589"/>
        <v>1.2036579617319849</v>
      </c>
      <c r="AR568" s="374">
        <f t="shared" si="590"/>
        <v>2.8491664051852021</v>
      </c>
      <c r="AS568" s="354">
        <f t="shared" si="591"/>
        <v>1.2346405272394501</v>
      </c>
      <c r="AT568" s="354">
        <f t="shared" si="592"/>
        <v>1.6145258779457523</v>
      </c>
      <c r="AU568" s="355" t="s">
        <v>396</v>
      </c>
      <c r="AV568" s="354" t="s">
        <v>397</v>
      </c>
      <c r="AW568" s="353">
        <v>0</v>
      </c>
      <c r="AX568" s="353">
        <v>0</v>
      </c>
      <c r="AY568" s="353">
        <v>0</v>
      </c>
      <c r="AZ568" s="353">
        <v>0</v>
      </c>
      <c r="BA568" s="353">
        <v>0</v>
      </c>
      <c r="BB568" s="353">
        <v>0</v>
      </c>
    </row>
    <row r="569" spans="1:54" x14ac:dyDescent="0.25">
      <c r="A569" s="348" t="s">
        <v>1345</v>
      </c>
      <c r="B569" s="349">
        <v>93</v>
      </c>
      <c r="C569" s="423">
        <v>45170</v>
      </c>
      <c r="D569" s="351">
        <v>45204</v>
      </c>
      <c r="E569" s="352"/>
      <c r="F569" s="352">
        <v>6</v>
      </c>
      <c r="G569" s="352" t="s">
        <v>336</v>
      </c>
      <c r="H569" s="424" t="s">
        <v>1346</v>
      </c>
      <c r="I569" s="350" t="s">
        <v>393</v>
      </c>
      <c r="J569" s="375">
        <v>150000</v>
      </c>
      <c r="K569" s="350" t="s">
        <v>394</v>
      </c>
      <c r="L569" s="354">
        <v>2802.3999950000002</v>
      </c>
      <c r="M569" s="375">
        <f t="shared" si="593"/>
        <v>53.525549624474642</v>
      </c>
      <c r="N569" s="354" t="s">
        <v>395</v>
      </c>
      <c r="O569" s="354">
        <v>0</v>
      </c>
      <c r="P569" s="374">
        <f t="shared" si="562"/>
        <v>3.3725450484966593</v>
      </c>
      <c r="Q569" s="354">
        <f t="shared" si="563"/>
        <v>0.31808244698482996</v>
      </c>
      <c r="R569" s="354">
        <f t="shared" si="564"/>
        <v>0.53619449206359482</v>
      </c>
      <c r="S569" s="354">
        <f t="shared" si="565"/>
        <v>0.47763487381723752</v>
      </c>
      <c r="T569" s="354">
        <f t="shared" si="566"/>
        <v>2.0382504917293511</v>
      </c>
      <c r="U569" s="374">
        <f t="shared" si="567"/>
        <v>13.535486618175677</v>
      </c>
      <c r="V569" s="354">
        <f t="shared" si="568"/>
        <v>0.358294024213484</v>
      </c>
      <c r="W569" s="354">
        <f t="shared" si="569"/>
        <v>12.222151248843755</v>
      </c>
      <c r="X569" s="354">
        <f t="shared" si="570"/>
        <v>0.9550413451184393</v>
      </c>
      <c r="Y569" s="374">
        <f t="shared" si="571"/>
        <v>1.9842816388644204</v>
      </c>
      <c r="Z569" s="354">
        <f t="shared" si="572"/>
        <v>1.0236115788047384</v>
      </c>
      <c r="AA569" s="354">
        <f t="shared" si="573"/>
        <v>0.96067006005968181</v>
      </c>
      <c r="AB569" s="374">
        <f t="shared" si="574"/>
        <v>10.840916014186291</v>
      </c>
      <c r="AC569" s="354">
        <f t="shared" si="575"/>
        <v>3.0765715115394707</v>
      </c>
      <c r="AD569" s="354">
        <f t="shared" si="576"/>
        <v>6.697012773915648</v>
      </c>
      <c r="AE569" s="354">
        <f t="shared" si="577"/>
        <v>1.0673317287311725</v>
      </c>
      <c r="AF569" s="374">
        <f t="shared" si="578"/>
        <v>8.6765186561558529</v>
      </c>
      <c r="AG569" s="354">
        <f t="shared" si="579"/>
        <v>0.55761124075676038</v>
      </c>
      <c r="AH569" s="354">
        <f t="shared" si="580"/>
        <v>2.8055663135614997</v>
      </c>
      <c r="AI569" s="354">
        <f t="shared" si="581"/>
        <v>0</v>
      </c>
      <c r="AJ569" s="354">
        <f t="shared" si="582"/>
        <v>5.3133411018375929</v>
      </c>
      <c r="AK569" s="374">
        <f t="shared" si="583"/>
        <v>5.730780190537228</v>
      </c>
      <c r="AL569" s="354">
        <f t="shared" si="584"/>
        <v>1.6419065655290666</v>
      </c>
      <c r="AM569" s="354">
        <f t="shared" si="585"/>
        <v>3.8725390104296467</v>
      </c>
      <c r="AN569" s="354">
        <f t="shared" si="586"/>
        <v>0.21633461457851505</v>
      </c>
      <c r="AO569" s="374">
        <f t="shared" si="587"/>
        <v>3.3229652768133988</v>
      </c>
      <c r="AP569" s="354">
        <f t="shared" si="588"/>
        <v>0.76199089014960097</v>
      </c>
      <c r="AQ569" s="354">
        <f t="shared" si="589"/>
        <v>2.5609743866637982</v>
      </c>
      <c r="AR569" s="374">
        <f t="shared" si="590"/>
        <v>6.0620561812451115</v>
      </c>
      <c r="AS569" s="354">
        <f t="shared" si="591"/>
        <v>2.6268947388073407</v>
      </c>
      <c r="AT569" s="354">
        <f t="shared" si="592"/>
        <v>3.4351614424377712</v>
      </c>
      <c r="AU569" s="355" t="s">
        <v>396</v>
      </c>
      <c r="AV569" s="354" t="s">
        <v>397</v>
      </c>
      <c r="AW569" s="353">
        <v>0</v>
      </c>
      <c r="AX569" s="353">
        <v>0</v>
      </c>
      <c r="AY569" s="353">
        <v>0</v>
      </c>
      <c r="AZ569" s="353">
        <v>0</v>
      </c>
      <c r="BA569" s="353">
        <v>0</v>
      </c>
      <c r="BB569" s="353">
        <v>0</v>
      </c>
    </row>
    <row r="570" spans="1:54" x14ac:dyDescent="0.25">
      <c r="A570" s="348" t="s">
        <v>1347</v>
      </c>
      <c r="B570" s="349">
        <v>94</v>
      </c>
      <c r="C570" s="423">
        <v>45170</v>
      </c>
      <c r="D570" s="351">
        <v>45204</v>
      </c>
      <c r="E570" s="352"/>
      <c r="F570" s="352">
        <v>6</v>
      </c>
      <c r="G570" s="352" t="s">
        <v>1326</v>
      </c>
      <c r="H570" s="424" t="s">
        <v>1348</v>
      </c>
      <c r="I570" s="350" t="s">
        <v>393</v>
      </c>
      <c r="J570" s="375">
        <v>93958</v>
      </c>
      <c r="K570" s="350" t="s">
        <v>394</v>
      </c>
      <c r="L570" s="354">
        <v>2802.3999950000002</v>
      </c>
      <c r="M570" s="375">
        <f>J570/L570</f>
        <v>33.52769061077592</v>
      </c>
      <c r="N570" s="354" t="s">
        <v>395</v>
      </c>
      <c r="O570" s="354">
        <v>0</v>
      </c>
      <c r="P570" s="374">
        <f t="shared" si="562"/>
        <v>2.1125172511109942</v>
      </c>
      <c r="Q570" s="354">
        <f t="shared" si="563"/>
        <v>0.19924260369200436</v>
      </c>
      <c r="R570" s="354">
        <f t="shared" si="564"/>
        <v>0.33586508056874165</v>
      </c>
      <c r="S570" s="354">
        <f t="shared" si="565"/>
        <v>0.29918411649413335</v>
      </c>
      <c r="T570" s="354">
        <f t="shared" si="566"/>
        <v>1.2767329313460427</v>
      </c>
      <c r="U570" s="374">
        <f t="shared" si="567"/>
        <v>8.4784483444703351</v>
      </c>
      <c r="V570" s="354">
        <f t="shared" si="568"/>
        <v>0.2244305995136702</v>
      </c>
      <c r="W570" s="354">
        <f t="shared" si="569"/>
        <v>7.6557925802590763</v>
      </c>
      <c r="X570" s="354">
        <f t="shared" si="570"/>
        <v>0.5982251646975888</v>
      </c>
      <c r="Y570" s="374">
        <f t="shared" si="571"/>
        <v>1.2429275614961546</v>
      </c>
      <c r="Z570" s="354">
        <f t="shared" si="572"/>
        <v>0.64117664480890402</v>
      </c>
      <c r="AA570" s="354">
        <f t="shared" si="573"/>
        <v>0.60175091668725045</v>
      </c>
      <c r="AB570" s="374">
        <f t="shared" si="574"/>
        <v>6.790605245739437</v>
      </c>
      <c r="AC570" s="354">
        <f t="shared" si="575"/>
        <v>1.9271233738748372</v>
      </c>
      <c r="AD570" s="354">
        <f t="shared" si="576"/>
        <v>4.1949195080771098</v>
      </c>
      <c r="AE570" s="354">
        <f t="shared" si="577"/>
        <v>0.66856236378749001</v>
      </c>
      <c r="AF570" s="374">
        <f t="shared" si="578"/>
        <v>5.4348555993006107</v>
      </c>
      <c r="AG570" s="354">
        <f t="shared" si="579"/>
        <v>0.34928024639349126</v>
      </c>
      <c r="AH570" s="354">
        <f t="shared" si="580"/>
        <v>1.7573693312640759</v>
      </c>
      <c r="AI570" s="354">
        <f t="shared" si="581"/>
        <v>0</v>
      </c>
      <c r="AJ570" s="354">
        <f t="shared" si="582"/>
        <v>3.328206021643044</v>
      </c>
      <c r="AK570" s="374">
        <f t="shared" si="583"/>
        <v>3.5896843009499784</v>
      </c>
      <c r="AL570" s="354">
        <f t="shared" si="584"/>
        <v>1.0284683805598667</v>
      </c>
      <c r="AM570" s="354">
        <f t="shared" si="585"/>
        <v>2.4257068022796577</v>
      </c>
      <c r="AN570" s="354">
        <f t="shared" si="586"/>
        <v>0.13550911811045407</v>
      </c>
      <c r="AO570" s="374">
        <f t="shared" si="587"/>
        <v>2.0814611431922221</v>
      </c>
      <c r="AP570" s="354">
        <f t="shared" si="588"/>
        <v>0.47730093371117466</v>
      </c>
      <c r="AQ570" s="354">
        <f t="shared" si="589"/>
        <v>1.6041602094810474</v>
      </c>
      <c r="AR570" s="374">
        <f t="shared" si="590"/>
        <v>3.7971911645161875</v>
      </c>
      <c r="AS570" s="354">
        <f t="shared" si="591"/>
        <v>1.645451839125734</v>
      </c>
      <c r="AT570" s="354">
        <f t="shared" si="592"/>
        <v>2.1517393253904538</v>
      </c>
      <c r="AU570" s="355" t="s">
        <v>396</v>
      </c>
      <c r="AV570" s="354" t="s">
        <v>397</v>
      </c>
      <c r="AW570" s="353">
        <v>0</v>
      </c>
      <c r="AX570" s="353">
        <v>0</v>
      </c>
      <c r="AY570" s="353">
        <v>0</v>
      </c>
      <c r="AZ570" s="353">
        <v>0</v>
      </c>
      <c r="BA570" s="353">
        <v>0</v>
      </c>
      <c r="BB570" s="353">
        <v>0</v>
      </c>
    </row>
    <row r="571" spans="1:54" x14ac:dyDescent="0.25">
      <c r="A571" s="348" t="s">
        <v>1349</v>
      </c>
      <c r="B571" s="349">
        <v>95</v>
      </c>
      <c r="C571" s="423">
        <v>45170</v>
      </c>
      <c r="D571" s="351">
        <v>45204</v>
      </c>
      <c r="E571" s="352"/>
      <c r="F571" s="352">
        <v>6</v>
      </c>
      <c r="G571" s="352" t="s">
        <v>1326</v>
      </c>
      <c r="H571" s="424" t="s">
        <v>1348</v>
      </c>
      <c r="I571" s="350" t="s">
        <v>393</v>
      </c>
      <c r="J571" s="375">
        <v>16042</v>
      </c>
      <c r="K571" s="350" t="s">
        <v>394</v>
      </c>
      <c r="L571" s="354">
        <v>2802.3999950000002</v>
      </c>
      <c r="M571" s="375">
        <f>J571/L571</f>
        <v>5.7243791138388147</v>
      </c>
      <c r="N571" s="354" t="s">
        <v>395</v>
      </c>
      <c r="O571" s="354">
        <v>0</v>
      </c>
      <c r="P571" s="374">
        <f t="shared" si="562"/>
        <v>0.36068245111988939</v>
      </c>
      <c r="Q571" s="354">
        <f t="shared" si="563"/>
        <v>3.401785743020428E-2</v>
      </c>
      <c r="R571" s="354">
        <f t="shared" si="564"/>
        <v>5.7344213611227927E-2</v>
      </c>
      <c r="S571" s="354">
        <f t="shared" si="565"/>
        <v>5.1081457638507494E-2</v>
      </c>
      <c r="T571" s="354">
        <f t="shared" si="566"/>
        <v>0.21798409592214835</v>
      </c>
      <c r="U571" s="374">
        <f t="shared" si="567"/>
        <v>1.4475751755251614</v>
      </c>
      <c r="V571" s="354">
        <f t="shared" si="568"/>
        <v>3.8318351576218067E-2</v>
      </c>
      <c r="W571" s="354">
        <f t="shared" si="569"/>
        <v>1.3071183355596767</v>
      </c>
      <c r="X571" s="354">
        <f t="shared" si="570"/>
        <v>0.10213848838926669</v>
      </c>
      <c r="Y571" s="374">
        <f t="shared" si="571"/>
        <v>0.2122123070044202</v>
      </c>
      <c r="Z571" s="354">
        <f t="shared" si="572"/>
        <v>0.10947184631457076</v>
      </c>
      <c r="AA571" s="354">
        <f t="shared" si="573"/>
        <v>0.10274046068984943</v>
      </c>
      <c r="AB571" s="374">
        <f t="shared" si="574"/>
        <v>1.1593998313305101</v>
      </c>
      <c r="AC571" s="354">
        <f t="shared" si="575"/>
        <v>0.32902906792077463</v>
      </c>
      <c r="AD571" s="354">
        <f t="shared" si="576"/>
        <v>0.71622319279436564</v>
      </c>
      <c r="AE571" s="354">
        <f t="shared" si="577"/>
        <v>0.11414757061536981</v>
      </c>
      <c r="AF571" s="374">
        <f t="shared" si="578"/>
        <v>0.92792474854701468</v>
      </c>
      <c r="AG571" s="354">
        <f t="shared" si="579"/>
        <v>5.9634663494799664E-2</v>
      </c>
      <c r="AH571" s="354">
        <f t="shared" si="580"/>
        <v>0.30004596534769057</v>
      </c>
      <c r="AI571" s="354">
        <f t="shared" si="581"/>
        <v>0</v>
      </c>
      <c r="AJ571" s="354">
        <f t="shared" si="582"/>
        <v>0.56824411970452449</v>
      </c>
      <c r="AK571" s="374">
        <f t="shared" si="583"/>
        <v>0.61288783877732134</v>
      </c>
      <c r="AL571" s="354">
        <f t="shared" si="584"/>
        <v>0.17559643416144854</v>
      </c>
      <c r="AM571" s="354">
        <f t="shared" si="585"/>
        <v>0.41415513870208254</v>
      </c>
      <c r="AN571" s="354">
        <f t="shared" si="586"/>
        <v>2.3136265913790251E-2</v>
      </c>
      <c r="AO571" s="374">
        <f t="shared" si="587"/>
        <v>0.35538005980427029</v>
      </c>
      <c r="AP571" s="354">
        <f t="shared" si="588"/>
        <v>8.1492385731865985E-2</v>
      </c>
      <c r="AQ571" s="354">
        <f t="shared" si="589"/>
        <v>0.27388767407240433</v>
      </c>
      <c r="AR571" s="374">
        <f t="shared" si="590"/>
        <v>0.64831670173022715</v>
      </c>
      <c r="AS571" s="354">
        <f t="shared" si="591"/>
        <v>0.28093763599964905</v>
      </c>
      <c r="AT571" s="354">
        <f t="shared" si="592"/>
        <v>0.36737906573057816</v>
      </c>
      <c r="AU571" s="355" t="s">
        <v>396</v>
      </c>
      <c r="AV571" s="354" t="s">
        <v>397</v>
      </c>
      <c r="AW571" s="353">
        <v>0</v>
      </c>
      <c r="AX571" s="353">
        <v>0</v>
      </c>
      <c r="AY571" s="353">
        <v>0</v>
      </c>
      <c r="AZ571" s="353">
        <v>0</v>
      </c>
      <c r="BA571" s="353">
        <v>0</v>
      </c>
      <c r="BB571" s="353">
        <v>0</v>
      </c>
    </row>
    <row r="572" spans="1:54" x14ac:dyDescent="0.25">
      <c r="A572" s="348" t="s">
        <v>1350</v>
      </c>
      <c r="B572" s="349">
        <v>96</v>
      </c>
      <c r="C572" s="423">
        <v>45170</v>
      </c>
      <c r="D572" s="351">
        <v>45204</v>
      </c>
      <c r="E572" s="352"/>
      <c r="F572" s="352">
        <v>6</v>
      </c>
      <c r="G572" s="352" t="s">
        <v>1326</v>
      </c>
      <c r="H572" s="424" t="s">
        <v>1348</v>
      </c>
      <c r="I572" s="350" t="s">
        <v>393</v>
      </c>
      <c r="J572" s="375">
        <v>40000</v>
      </c>
      <c r="K572" s="350" t="s">
        <v>394</v>
      </c>
      <c r="L572" s="354">
        <v>2802.3999950000002</v>
      </c>
      <c r="M572" s="375">
        <f>J572/L572</f>
        <v>14.273479899859904</v>
      </c>
      <c r="N572" s="354" t="s">
        <v>395</v>
      </c>
      <c r="O572" s="354">
        <v>0</v>
      </c>
      <c r="P572" s="374">
        <f t="shared" si="562"/>
        <v>0.89934534626577578</v>
      </c>
      <c r="Q572" s="354">
        <f t="shared" si="563"/>
        <v>8.482198586262131E-2</v>
      </c>
      <c r="R572" s="354">
        <f t="shared" si="564"/>
        <v>0.14298519788362529</v>
      </c>
      <c r="S572" s="354">
        <f t="shared" si="565"/>
        <v>0.12736929968459668</v>
      </c>
      <c r="T572" s="354">
        <f t="shared" si="566"/>
        <v>0.54353346446116035</v>
      </c>
      <c r="U572" s="374">
        <f t="shared" si="567"/>
        <v>3.6094630981801803</v>
      </c>
      <c r="V572" s="354">
        <f t="shared" si="568"/>
        <v>9.5545073123595725E-2</v>
      </c>
      <c r="W572" s="354">
        <f t="shared" si="569"/>
        <v>3.259240333025001</v>
      </c>
      <c r="X572" s="354">
        <f t="shared" si="570"/>
        <v>0.2546776920315838</v>
      </c>
      <c r="Y572" s="374">
        <f t="shared" si="571"/>
        <v>0.52914177036384547</v>
      </c>
      <c r="Z572" s="354">
        <f t="shared" si="572"/>
        <v>0.27296308768126359</v>
      </c>
      <c r="AA572" s="354">
        <f t="shared" si="573"/>
        <v>0.25617868268258182</v>
      </c>
      <c r="AB572" s="374">
        <f t="shared" si="574"/>
        <v>2.8909109371163444</v>
      </c>
      <c r="AC572" s="354">
        <f t="shared" si="575"/>
        <v>0.82041906974385892</v>
      </c>
      <c r="AD572" s="354">
        <f t="shared" si="576"/>
        <v>1.7858700730441728</v>
      </c>
      <c r="AE572" s="354">
        <f t="shared" si="577"/>
        <v>0.28462179432831269</v>
      </c>
      <c r="AF572" s="374">
        <f t="shared" si="578"/>
        <v>2.3137383083082277</v>
      </c>
      <c r="AG572" s="354">
        <f t="shared" si="579"/>
        <v>0.14869633086846945</v>
      </c>
      <c r="AH572" s="354">
        <f t="shared" si="580"/>
        <v>0.74815101694973341</v>
      </c>
      <c r="AI572" s="354">
        <f t="shared" si="581"/>
        <v>0</v>
      </c>
      <c r="AJ572" s="354">
        <f t="shared" si="582"/>
        <v>1.4168909604900251</v>
      </c>
      <c r="AK572" s="374">
        <f t="shared" si="583"/>
        <v>1.5282080508099274</v>
      </c>
      <c r="AL572" s="354">
        <f t="shared" si="584"/>
        <v>0.43784175080775106</v>
      </c>
      <c r="AM572" s="354">
        <f t="shared" si="585"/>
        <v>1.0326770694479057</v>
      </c>
      <c r="AN572" s="354">
        <f t="shared" si="586"/>
        <v>5.7689230554270679E-2</v>
      </c>
      <c r="AO572" s="374">
        <f t="shared" si="587"/>
        <v>0.88612407381690628</v>
      </c>
      <c r="AP572" s="354">
        <f t="shared" si="588"/>
        <v>0.20319757070656022</v>
      </c>
      <c r="AQ572" s="354">
        <f t="shared" si="589"/>
        <v>0.68292650311034608</v>
      </c>
      <c r="AR572" s="374">
        <f t="shared" si="590"/>
        <v>1.6165483149986963</v>
      </c>
      <c r="AS572" s="354">
        <f t="shared" si="591"/>
        <v>0.70050526368195754</v>
      </c>
      <c r="AT572" s="354">
        <f t="shared" si="592"/>
        <v>0.91604305131673891</v>
      </c>
      <c r="AU572" s="355" t="s">
        <v>396</v>
      </c>
      <c r="AV572" s="354" t="s">
        <v>397</v>
      </c>
      <c r="AW572" s="353">
        <v>0</v>
      </c>
      <c r="AX572" s="353">
        <v>0</v>
      </c>
      <c r="AY572" s="353">
        <v>0</v>
      </c>
      <c r="AZ572" s="353">
        <v>0</v>
      </c>
      <c r="BA572" s="353">
        <v>0</v>
      </c>
      <c r="BB572" s="353">
        <v>0</v>
      </c>
    </row>
    <row r="573" spans="1:54" x14ac:dyDescent="0.25">
      <c r="A573" s="348" t="s">
        <v>737</v>
      </c>
      <c r="B573" s="349">
        <v>97</v>
      </c>
      <c r="C573" s="423">
        <v>45170</v>
      </c>
      <c r="D573" s="351">
        <v>45199</v>
      </c>
      <c r="E573" s="352"/>
      <c r="F573" s="352">
        <v>6</v>
      </c>
      <c r="G573" s="352" t="s">
        <v>342</v>
      </c>
      <c r="H573" s="424" t="s">
        <v>1310</v>
      </c>
      <c r="I573" s="350" t="s">
        <v>393</v>
      </c>
      <c r="J573" s="375">
        <f>2000+4900+3000</f>
        <v>9900</v>
      </c>
      <c r="K573" s="350" t="s">
        <v>394</v>
      </c>
      <c r="L573" s="354">
        <v>2802.3999950000002</v>
      </c>
      <c r="M573" s="375">
        <f>J573/L573</f>
        <v>3.5326862752153265</v>
      </c>
      <c r="N573" s="354" t="s">
        <v>395</v>
      </c>
      <c r="O573" s="354">
        <v>0</v>
      </c>
      <c r="P573" s="374">
        <f t="shared" si="562"/>
        <v>0.22258797320077953</v>
      </c>
      <c r="Q573" s="354">
        <f t="shared" si="563"/>
        <v>2.0993441500998779E-2</v>
      </c>
      <c r="R573" s="354">
        <f t="shared" si="564"/>
        <v>3.5388836476197262E-2</v>
      </c>
      <c r="S573" s="354">
        <f t="shared" si="565"/>
        <v>3.1523901671937679E-2</v>
      </c>
      <c r="T573" s="354">
        <f t="shared" si="566"/>
        <v>0.13452453245413717</v>
      </c>
      <c r="U573" s="374">
        <f t="shared" si="567"/>
        <v>0.89334211679959474</v>
      </c>
      <c r="V573" s="354">
        <f t="shared" si="568"/>
        <v>2.3647405598089945E-2</v>
      </c>
      <c r="W573" s="354">
        <f t="shared" si="569"/>
        <v>0.80666198242368781</v>
      </c>
      <c r="X573" s="354">
        <f t="shared" si="570"/>
        <v>6.3032728777817001E-2</v>
      </c>
      <c r="Y573" s="374">
        <f t="shared" si="571"/>
        <v>0.13096258816505174</v>
      </c>
      <c r="Z573" s="354">
        <f t="shared" si="572"/>
        <v>6.7558364201112733E-2</v>
      </c>
      <c r="AA573" s="354">
        <f t="shared" si="573"/>
        <v>6.3404223963938994E-2</v>
      </c>
      <c r="AB573" s="374">
        <f t="shared" si="574"/>
        <v>0.71550045693629527</v>
      </c>
      <c r="AC573" s="354">
        <f t="shared" si="575"/>
        <v>0.20305371976160508</v>
      </c>
      <c r="AD573" s="354">
        <f t="shared" si="576"/>
        <v>0.44200284307843279</v>
      </c>
      <c r="AE573" s="354">
        <f t="shared" si="577"/>
        <v>7.0443894096257384E-2</v>
      </c>
      <c r="AF573" s="374">
        <f t="shared" si="578"/>
        <v>0.57265023130628634</v>
      </c>
      <c r="AG573" s="354">
        <f t="shared" si="579"/>
        <v>3.6802341889946188E-2</v>
      </c>
      <c r="AH573" s="354">
        <f t="shared" si="580"/>
        <v>0.185167376695059</v>
      </c>
      <c r="AI573" s="354">
        <f t="shared" si="581"/>
        <v>0</v>
      </c>
      <c r="AJ573" s="354">
        <f t="shared" si="582"/>
        <v>0.3506805127212812</v>
      </c>
      <c r="AK573" s="374">
        <f t="shared" si="583"/>
        <v>0.37823149257545702</v>
      </c>
      <c r="AL573" s="354">
        <f t="shared" si="584"/>
        <v>0.10836583332491839</v>
      </c>
      <c r="AM573" s="354">
        <f t="shared" si="585"/>
        <v>0.25558757468835663</v>
      </c>
      <c r="AN573" s="354">
        <f t="shared" si="586"/>
        <v>1.4278084562181992E-2</v>
      </c>
      <c r="AO573" s="374">
        <f t="shared" si="587"/>
        <v>0.21931570826968433</v>
      </c>
      <c r="AP573" s="354">
        <f t="shared" si="588"/>
        <v>5.0291398749873664E-2</v>
      </c>
      <c r="AQ573" s="354">
        <f t="shared" si="589"/>
        <v>0.16902430951981068</v>
      </c>
      <c r="AR573" s="374">
        <f t="shared" si="590"/>
        <v>0.40009570796217736</v>
      </c>
      <c r="AS573" s="354">
        <f t="shared" si="591"/>
        <v>0.17337505276128448</v>
      </c>
      <c r="AT573" s="354">
        <f t="shared" si="592"/>
        <v>0.22672065520089288</v>
      </c>
      <c r="AU573" s="355" t="s">
        <v>396</v>
      </c>
      <c r="AV573" s="354" t="s">
        <v>397</v>
      </c>
      <c r="AW573" s="353">
        <v>0</v>
      </c>
      <c r="AX573" s="353">
        <v>0</v>
      </c>
      <c r="AY573" s="353">
        <v>0</v>
      </c>
      <c r="AZ573" s="353">
        <v>0</v>
      </c>
      <c r="BA573" s="353">
        <v>0</v>
      </c>
      <c r="BB573" s="353">
        <v>0</v>
      </c>
    </row>
    <row r="574" spans="1:54" x14ac:dyDescent="0.25">
      <c r="A574" s="348" t="s">
        <v>1428</v>
      </c>
      <c r="B574" s="349">
        <v>5197</v>
      </c>
      <c r="C574" s="350" t="s">
        <v>1429</v>
      </c>
      <c r="D574" s="351">
        <v>45127</v>
      </c>
      <c r="E574" s="352">
        <v>3420</v>
      </c>
      <c r="F574" s="352">
        <v>7</v>
      </c>
      <c r="G574" s="351"/>
      <c r="H574" s="350" t="s">
        <v>1430</v>
      </c>
      <c r="I574" s="350" t="s">
        <v>393</v>
      </c>
      <c r="J574" s="354">
        <v>145636</v>
      </c>
      <c r="K574" s="350" t="s">
        <v>394</v>
      </c>
      <c r="L574" s="354">
        <v>2.8078499999999998E-4</v>
      </c>
      <c r="M574" s="354">
        <v>51.91</v>
      </c>
      <c r="N574" s="350" t="s">
        <v>395</v>
      </c>
      <c r="O574" s="354">
        <v>40.89</v>
      </c>
      <c r="P574" s="374">
        <f t="shared" ref="P574:P637" si="594">M574*$P$2</f>
        <v>3.270752279905802</v>
      </c>
      <c r="Q574" s="354">
        <f t="shared" ref="Q574:Q637" si="595">P574*$Q$2</f>
        <v>0.30848183603578616</v>
      </c>
      <c r="R574" s="354">
        <f t="shared" ref="R574:R637" si="596">P574*$R$2</f>
        <v>0.52001065431926241</v>
      </c>
      <c r="S574" s="354">
        <f t="shared" ref="S574:S637" si="597">P574*$S$2</f>
        <v>0.46321852785824907</v>
      </c>
      <c r="T574" s="354">
        <f t="shared" ref="T574:T637" si="598">P574*$T$2</f>
        <v>1.9767304356140762</v>
      </c>
      <c r="U574" s="374">
        <f t="shared" ref="U574:U637" si="599">M574*$U$2</f>
        <v>13.12694807020201</v>
      </c>
      <c r="V574" s="354">
        <f t="shared" ref="V574:V637" si="600">U574*$V$2</f>
        <v>0.34747971627399249</v>
      </c>
      <c r="W574" s="354">
        <f t="shared" ref="W574:W637" si="601">U574*$W$2</f>
        <v>11.85325280690579</v>
      </c>
      <c r="X574" s="354">
        <f t="shared" ref="X574:X637" si="602">U574*$X$2</f>
        <v>0.92621554702222786</v>
      </c>
      <c r="Y574" s="374">
        <f t="shared" ref="Y574:Y637" si="603">M574*$Y$2</f>
        <v>1.9243905124956118</v>
      </c>
      <c r="Z574" s="354">
        <f t="shared" ref="Z574:Z637" si="604">Y574*$Z$2</f>
        <v>0.99271614076911041</v>
      </c>
      <c r="AA574" s="354">
        <f t="shared" ref="AA574:AA637" si="605">Y574*$AA$2</f>
        <v>0.93167437172650125</v>
      </c>
      <c r="AB574" s="374">
        <f t="shared" ref="AB574:AB637" si="606">M574*$AB$2</f>
        <v>10.513707084646006</v>
      </c>
      <c r="AC574" s="354">
        <f t="shared" ref="AC574:AC637" si="607">AB574*$AC$2</f>
        <v>2.9837120456393902</v>
      </c>
      <c r="AD574" s="354">
        <f t="shared" ref="AD574:AD637" si="608">AB574*$AD$2</f>
        <v>6.4948783437620508</v>
      </c>
      <c r="AE574" s="354">
        <f t="shared" ref="AE574:AE637" si="609">AB574*$AE$2</f>
        <v>1.0351166952445652</v>
      </c>
      <c r="AF574" s="374">
        <f t="shared" ref="AF574:AF637" si="610">M574*$AF$2</f>
        <v>8.4146372452213942</v>
      </c>
      <c r="AG574" s="354">
        <f t="shared" ref="AG574:AG637" si="611">AF574*$AG$2</f>
        <v>0.54078098610402703</v>
      </c>
      <c r="AH574" s="354">
        <f t="shared" ref="AH574:AH637" si="612">AF574*$AH$2</f>
        <v>2.7208865365930728</v>
      </c>
      <c r="AI574" s="354">
        <f t="shared" ref="AI574:AI637" si="613">AF574*$AI$2</f>
        <v>0</v>
      </c>
      <c r="AJ574" s="354">
        <f t="shared" ref="AJ574:AJ637" si="614">AF574*$AJ$2</f>
        <v>5.1529697225242952</v>
      </c>
      <c r="AK574" s="374">
        <f t="shared" ref="AK574:AK637" si="615">M574*$AK$2</f>
        <v>5.5578093411069256</v>
      </c>
      <c r="AL574" s="354">
        <f t="shared" ref="AL574:AL637" si="616">AK574*$AL$2</f>
        <v>1.5923492689861451</v>
      </c>
      <c r="AM574" s="354">
        <f t="shared" ref="AM574:AM637" si="617">AK574*$AM$2</f>
        <v>3.7556550365525738</v>
      </c>
      <c r="AN574" s="354">
        <f t="shared" ref="AN574:AN637" si="618">AK574*$AN$2</f>
        <v>0.20980503556820668</v>
      </c>
      <c r="AO574" s="374">
        <f t="shared" ref="AO574:AO637" si="619">M574*$AO$2</f>
        <v>3.2226689633189651</v>
      </c>
      <c r="AP574" s="354">
        <f t="shared" ref="AP574:AP637" si="620">AO574*$AP$2</f>
        <v>0.73899189051165237</v>
      </c>
      <c r="AQ574" s="354">
        <f t="shared" ref="AQ574:AQ637" si="621">AO574*$AQ$2</f>
        <v>2.4836770728073128</v>
      </c>
      <c r="AR574" s="374">
        <f t="shared" ref="AR574:AR637" si="622">M574*$AR$2</f>
        <v>5.87908650310328</v>
      </c>
      <c r="AS574" s="354">
        <f t="shared" ref="AS574:AS637" si="623">AR574*$AS$2</f>
        <v>2.5476077657899894</v>
      </c>
      <c r="AT574" s="354">
        <f t="shared" ref="AT574:AT637" si="624">AR574*$AT$2</f>
        <v>3.331478737313291</v>
      </c>
      <c r="AU574" s="355" t="s">
        <v>396</v>
      </c>
      <c r="AV574" s="354" t="s">
        <v>404</v>
      </c>
      <c r="AW574" s="355" t="s">
        <v>405</v>
      </c>
      <c r="AX574" s="355">
        <v>0</v>
      </c>
      <c r="AY574" s="350" t="s">
        <v>410</v>
      </c>
      <c r="AZ574" s="351">
        <v>45142</v>
      </c>
      <c r="BA574" s="351">
        <v>45145</v>
      </c>
      <c r="BB574" s="350" t="s">
        <v>407</v>
      </c>
    </row>
    <row r="575" spans="1:54" x14ac:dyDescent="0.25">
      <c r="A575" s="348" t="s">
        <v>457</v>
      </c>
      <c r="B575" s="349">
        <v>5234</v>
      </c>
      <c r="C575" s="350" t="s">
        <v>1429</v>
      </c>
      <c r="D575" s="351">
        <v>45138</v>
      </c>
      <c r="E575" s="352">
        <v>3600</v>
      </c>
      <c r="F575" s="352">
        <v>7</v>
      </c>
      <c r="G575" s="351"/>
      <c r="H575" s="350" t="s">
        <v>1431</v>
      </c>
      <c r="I575" s="350" t="s">
        <v>393</v>
      </c>
      <c r="J575" s="354">
        <v>50500</v>
      </c>
      <c r="K575" s="350" t="s">
        <v>394</v>
      </c>
      <c r="L575" s="354">
        <v>2.8078499999999998E-4</v>
      </c>
      <c r="M575" s="354">
        <v>18</v>
      </c>
      <c r="N575" s="350" t="s">
        <v>395</v>
      </c>
      <c r="O575" s="354">
        <v>14.18</v>
      </c>
      <c r="P575" s="374">
        <f t="shared" si="594"/>
        <v>1.1341464272453177</v>
      </c>
      <c r="Q575" s="354">
        <f t="shared" si="595"/>
        <v>0.10696730974078504</v>
      </c>
      <c r="R575" s="354">
        <f t="shared" si="596"/>
        <v>0.18031577302536553</v>
      </c>
      <c r="S575" s="354">
        <f t="shared" si="597"/>
        <v>0.16062287615967027</v>
      </c>
      <c r="T575" s="354">
        <f t="shared" si="598"/>
        <v>0.68543918013972982</v>
      </c>
      <c r="U575" s="374">
        <f t="shared" si="599"/>
        <v>4.5518217157317702</v>
      </c>
      <c r="V575" s="354">
        <f t="shared" si="600"/>
        <v>0.12048998059972769</v>
      </c>
      <c r="W575" s="354">
        <f t="shared" si="601"/>
        <v>4.1101627918378778</v>
      </c>
      <c r="X575" s="354">
        <f t="shared" si="602"/>
        <v>0.32116894329416495</v>
      </c>
      <c r="Y575" s="374">
        <f t="shared" si="603"/>
        <v>0.66729010257986932</v>
      </c>
      <c r="Z575" s="354">
        <f t="shared" si="604"/>
        <v>0.34422828999892102</v>
      </c>
      <c r="AA575" s="354">
        <f t="shared" si="605"/>
        <v>0.32306181258094829</v>
      </c>
      <c r="AB575" s="374">
        <f t="shared" si="606"/>
        <v>3.6456699580741305</v>
      </c>
      <c r="AC575" s="354">
        <f t="shared" si="607"/>
        <v>1.0346140786266429</v>
      </c>
      <c r="AD575" s="354">
        <f t="shared" si="608"/>
        <v>2.252125027696338</v>
      </c>
      <c r="AE575" s="354">
        <f t="shared" si="609"/>
        <v>0.35893085175114958</v>
      </c>
      <c r="AF575" s="374">
        <f t="shared" si="610"/>
        <v>2.9178091006354285</v>
      </c>
      <c r="AG575" s="354">
        <f t="shared" si="611"/>
        <v>0.1875179685970427</v>
      </c>
      <c r="AH575" s="354">
        <f t="shared" si="612"/>
        <v>0.94347828277162993</v>
      </c>
      <c r="AI575" s="354">
        <f t="shared" si="613"/>
        <v>0</v>
      </c>
      <c r="AJ575" s="354">
        <f t="shared" si="614"/>
        <v>1.7868128492667561</v>
      </c>
      <c r="AK575" s="374">
        <f t="shared" si="615"/>
        <v>1.9271926052769153</v>
      </c>
      <c r="AL575" s="354">
        <f t="shared" si="616"/>
        <v>0.5521534741234948</v>
      </c>
      <c r="AM575" s="354">
        <f t="shared" si="617"/>
        <v>1.3022883964158416</v>
      </c>
      <c r="AN575" s="354">
        <f t="shared" si="618"/>
        <v>7.2750734737578898E-2</v>
      </c>
      <c r="AO575" s="374">
        <f t="shared" si="619"/>
        <v>1.1174733450152452</v>
      </c>
      <c r="AP575" s="354">
        <f t="shared" si="620"/>
        <v>0.2562483920094345</v>
      </c>
      <c r="AQ575" s="354">
        <f t="shared" si="621"/>
        <v>0.8612249530058107</v>
      </c>
      <c r="AR575" s="374">
        <f t="shared" si="622"/>
        <v>2.0385967454413225</v>
      </c>
      <c r="AS575" s="354">
        <f t="shared" si="623"/>
        <v>0.88339317634790626</v>
      </c>
      <c r="AT575" s="354">
        <f t="shared" si="624"/>
        <v>1.1552035690934164</v>
      </c>
      <c r="AU575" s="355" t="s">
        <v>396</v>
      </c>
      <c r="AV575" s="354" t="s">
        <v>404</v>
      </c>
      <c r="AW575" s="355" t="s">
        <v>405</v>
      </c>
      <c r="AX575" s="355">
        <v>0</v>
      </c>
      <c r="AY575" s="350" t="s">
        <v>410</v>
      </c>
      <c r="AZ575" s="351">
        <v>45145</v>
      </c>
      <c r="BA575" s="351">
        <v>45145</v>
      </c>
      <c r="BB575" s="350" t="s">
        <v>407</v>
      </c>
    </row>
    <row r="576" spans="1:54" x14ac:dyDescent="0.25">
      <c r="A576" s="348" t="s">
        <v>1432</v>
      </c>
      <c r="B576" s="349">
        <v>5259</v>
      </c>
      <c r="C576" s="350" t="s">
        <v>1429</v>
      </c>
      <c r="D576" s="351">
        <v>45125</v>
      </c>
      <c r="E576" s="352">
        <v>3420</v>
      </c>
      <c r="F576" s="352">
        <v>7</v>
      </c>
      <c r="G576" s="351"/>
      <c r="H576" s="350" t="s">
        <v>1433</v>
      </c>
      <c r="I576" s="350" t="s">
        <v>393</v>
      </c>
      <c r="J576" s="354">
        <v>50000</v>
      </c>
      <c r="K576" s="350" t="s">
        <v>394</v>
      </c>
      <c r="L576" s="354">
        <v>2.8078499999999998E-4</v>
      </c>
      <c r="M576" s="354">
        <v>17.82</v>
      </c>
      <c r="N576" s="350" t="s">
        <v>395</v>
      </c>
      <c r="O576" s="354">
        <v>14.04</v>
      </c>
      <c r="P576" s="374">
        <f t="shared" si="594"/>
        <v>1.1228049629728645</v>
      </c>
      <c r="Q576" s="354">
        <f t="shared" si="595"/>
        <v>0.10589763664337719</v>
      </c>
      <c r="R576" s="354">
        <f t="shared" si="596"/>
        <v>0.17851261529511186</v>
      </c>
      <c r="S576" s="354">
        <f t="shared" si="597"/>
        <v>0.15901664739807356</v>
      </c>
      <c r="T576" s="354">
        <f t="shared" si="598"/>
        <v>0.67858478833833258</v>
      </c>
      <c r="U576" s="374">
        <f t="shared" si="599"/>
        <v>4.5063034985744528</v>
      </c>
      <c r="V576" s="354">
        <f t="shared" si="600"/>
        <v>0.11928508079373043</v>
      </c>
      <c r="W576" s="354">
        <f t="shared" si="601"/>
        <v>4.0690611639194989</v>
      </c>
      <c r="X576" s="354">
        <f t="shared" si="602"/>
        <v>0.31795725386122331</v>
      </c>
      <c r="Y576" s="374">
        <f t="shared" si="603"/>
        <v>0.66061720155407055</v>
      </c>
      <c r="Z576" s="354">
        <f t="shared" si="604"/>
        <v>0.34078600709893175</v>
      </c>
      <c r="AA576" s="354">
        <f t="shared" si="605"/>
        <v>0.31983119445513875</v>
      </c>
      <c r="AB576" s="374">
        <f t="shared" si="606"/>
        <v>3.6092132584933889</v>
      </c>
      <c r="AC576" s="354">
        <f t="shared" si="607"/>
        <v>1.0242679378403763</v>
      </c>
      <c r="AD576" s="354">
        <f t="shared" si="608"/>
        <v>2.2296037774193747</v>
      </c>
      <c r="AE576" s="354">
        <f t="shared" si="609"/>
        <v>0.35534154323363804</v>
      </c>
      <c r="AF576" s="374">
        <f t="shared" si="610"/>
        <v>2.8886310096290746</v>
      </c>
      <c r="AG576" s="354">
        <f t="shared" si="611"/>
        <v>0.18564278891107228</v>
      </c>
      <c r="AH576" s="354">
        <f t="shared" si="612"/>
        <v>0.93404349994391378</v>
      </c>
      <c r="AI576" s="354">
        <f t="shared" si="613"/>
        <v>0</v>
      </c>
      <c r="AJ576" s="354">
        <f t="shared" si="614"/>
        <v>1.7689447207740887</v>
      </c>
      <c r="AK576" s="374">
        <f t="shared" si="615"/>
        <v>1.9079206792241461</v>
      </c>
      <c r="AL576" s="354">
        <f t="shared" si="616"/>
        <v>0.54663193938225985</v>
      </c>
      <c r="AM576" s="354">
        <f t="shared" si="617"/>
        <v>1.2892655124516832</v>
      </c>
      <c r="AN576" s="354">
        <f t="shared" si="618"/>
        <v>7.2023227390203115E-2</v>
      </c>
      <c r="AO576" s="374">
        <f t="shared" si="619"/>
        <v>1.1062986115650928</v>
      </c>
      <c r="AP576" s="354">
        <f t="shared" si="620"/>
        <v>0.25368590808934016</v>
      </c>
      <c r="AQ576" s="354">
        <f t="shared" si="621"/>
        <v>0.85261270347575269</v>
      </c>
      <c r="AR576" s="374">
        <f t="shared" si="622"/>
        <v>2.0182107779869094</v>
      </c>
      <c r="AS576" s="354">
        <f t="shared" si="623"/>
        <v>0.87455924458442724</v>
      </c>
      <c r="AT576" s="354">
        <f t="shared" si="624"/>
        <v>1.1436515334024824</v>
      </c>
      <c r="AU576" s="355" t="s">
        <v>396</v>
      </c>
      <c r="AV576" s="354" t="s">
        <v>404</v>
      </c>
      <c r="AW576" s="355" t="s">
        <v>405</v>
      </c>
      <c r="AX576" s="355">
        <v>0</v>
      </c>
      <c r="AY576" s="350" t="s">
        <v>474</v>
      </c>
      <c r="AZ576" s="351">
        <v>45142</v>
      </c>
      <c r="BA576" s="351">
        <v>45145</v>
      </c>
      <c r="BB576" s="350" t="s">
        <v>407</v>
      </c>
    </row>
    <row r="577" spans="1:54" x14ac:dyDescent="0.25">
      <c r="A577" s="348" t="s">
        <v>1434</v>
      </c>
      <c r="B577" s="349">
        <v>5180</v>
      </c>
      <c r="C577" s="350" t="s">
        <v>1429</v>
      </c>
      <c r="D577" s="351">
        <v>45125</v>
      </c>
      <c r="E577" s="352">
        <v>3420</v>
      </c>
      <c r="F577" s="352">
        <v>7</v>
      </c>
      <c r="G577" s="351"/>
      <c r="H577" s="350" t="s">
        <v>1435</v>
      </c>
      <c r="I577" s="350" t="s">
        <v>393</v>
      </c>
      <c r="J577" s="354">
        <v>50000</v>
      </c>
      <c r="K577" s="350" t="s">
        <v>394</v>
      </c>
      <c r="L577" s="354">
        <v>2.8078499999999998E-4</v>
      </c>
      <c r="M577" s="354">
        <v>17.82</v>
      </c>
      <c r="N577" s="350" t="s">
        <v>395</v>
      </c>
      <c r="O577" s="354">
        <v>14.04</v>
      </c>
      <c r="P577" s="374">
        <f t="shared" si="594"/>
        <v>1.1228049629728645</v>
      </c>
      <c r="Q577" s="354">
        <f t="shared" si="595"/>
        <v>0.10589763664337719</v>
      </c>
      <c r="R577" s="354">
        <f t="shared" si="596"/>
        <v>0.17851261529511186</v>
      </c>
      <c r="S577" s="354">
        <f t="shared" si="597"/>
        <v>0.15901664739807356</v>
      </c>
      <c r="T577" s="354">
        <f t="shared" si="598"/>
        <v>0.67858478833833258</v>
      </c>
      <c r="U577" s="374">
        <f t="shared" si="599"/>
        <v>4.5063034985744528</v>
      </c>
      <c r="V577" s="354">
        <f t="shared" si="600"/>
        <v>0.11928508079373043</v>
      </c>
      <c r="W577" s="354">
        <f t="shared" si="601"/>
        <v>4.0690611639194989</v>
      </c>
      <c r="X577" s="354">
        <f t="shared" si="602"/>
        <v>0.31795725386122331</v>
      </c>
      <c r="Y577" s="374">
        <f t="shared" si="603"/>
        <v>0.66061720155407055</v>
      </c>
      <c r="Z577" s="354">
        <f t="shared" si="604"/>
        <v>0.34078600709893175</v>
      </c>
      <c r="AA577" s="354">
        <f t="shared" si="605"/>
        <v>0.31983119445513875</v>
      </c>
      <c r="AB577" s="374">
        <f t="shared" si="606"/>
        <v>3.6092132584933889</v>
      </c>
      <c r="AC577" s="354">
        <f t="shared" si="607"/>
        <v>1.0242679378403763</v>
      </c>
      <c r="AD577" s="354">
        <f t="shared" si="608"/>
        <v>2.2296037774193747</v>
      </c>
      <c r="AE577" s="354">
        <f t="shared" si="609"/>
        <v>0.35534154323363804</v>
      </c>
      <c r="AF577" s="374">
        <f t="shared" si="610"/>
        <v>2.8886310096290746</v>
      </c>
      <c r="AG577" s="354">
        <f t="shared" si="611"/>
        <v>0.18564278891107228</v>
      </c>
      <c r="AH577" s="354">
        <f t="shared" si="612"/>
        <v>0.93404349994391378</v>
      </c>
      <c r="AI577" s="354">
        <f t="shared" si="613"/>
        <v>0</v>
      </c>
      <c r="AJ577" s="354">
        <f t="shared" si="614"/>
        <v>1.7689447207740887</v>
      </c>
      <c r="AK577" s="374">
        <f t="shared" si="615"/>
        <v>1.9079206792241461</v>
      </c>
      <c r="AL577" s="354">
        <f t="shared" si="616"/>
        <v>0.54663193938225985</v>
      </c>
      <c r="AM577" s="354">
        <f t="shared" si="617"/>
        <v>1.2892655124516832</v>
      </c>
      <c r="AN577" s="354">
        <f t="shared" si="618"/>
        <v>7.2023227390203115E-2</v>
      </c>
      <c r="AO577" s="374">
        <f t="shared" si="619"/>
        <v>1.1062986115650928</v>
      </c>
      <c r="AP577" s="354">
        <f t="shared" si="620"/>
        <v>0.25368590808934016</v>
      </c>
      <c r="AQ577" s="354">
        <f t="shared" si="621"/>
        <v>0.85261270347575269</v>
      </c>
      <c r="AR577" s="374">
        <f t="shared" si="622"/>
        <v>2.0182107779869094</v>
      </c>
      <c r="AS577" s="354">
        <f t="shared" si="623"/>
        <v>0.87455924458442724</v>
      </c>
      <c r="AT577" s="354">
        <f t="shared" si="624"/>
        <v>1.1436515334024824</v>
      </c>
      <c r="AU577" s="355" t="s">
        <v>396</v>
      </c>
      <c r="AV577" s="354" t="s">
        <v>404</v>
      </c>
      <c r="AW577" s="355" t="s">
        <v>405</v>
      </c>
      <c r="AX577" s="355">
        <v>0</v>
      </c>
      <c r="AY577" s="350" t="s">
        <v>410</v>
      </c>
      <c r="AZ577" s="351">
        <v>45142</v>
      </c>
      <c r="BA577" s="351">
        <v>45142</v>
      </c>
      <c r="BB577" s="350" t="s">
        <v>407</v>
      </c>
    </row>
    <row r="578" spans="1:54" x14ac:dyDescent="0.25">
      <c r="A578" s="348" t="s">
        <v>1436</v>
      </c>
      <c r="B578" s="349">
        <v>5214</v>
      </c>
      <c r="C578" s="350" t="s">
        <v>1429</v>
      </c>
      <c r="D578" s="351">
        <v>45135</v>
      </c>
      <c r="E578" s="352">
        <v>3350</v>
      </c>
      <c r="F578" s="352">
        <v>5</v>
      </c>
      <c r="G578" s="351"/>
      <c r="H578" s="350" t="s">
        <v>1437</v>
      </c>
      <c r="I578" s="350" t="s">
        <v>393</v>
      </c>
      <c r="J578" s="354">
        <v>406700</v>
      </c>
      <c r="K578" s="350" t="s">
        <v>394</v>
      </c>
      <c r="L578" s="354">
        <v>2.8078499999999998E-4</v>
      </c>
      <c r="M578" s="354">
        <v>144.97</v>
      </c>
      <c r="N578" s="350" t="s">
        <v>395</v>
      </c>
      <c r="O578" s="354">
        <v>114.2</v>
      </c>
      <c r="P578" s="374">
        <f t="shared" si="594"/>
        <v>9.1342893087640942</v>
      </c>
      <c r="Q578" s="354">
        <f t="shared" si="595"/>
        <v>0.86150282739564477</v>
      </c>
      <c r="R578" s="354">
        <f t="shared" si="596"/>
        <v>1.452243200860402</v>
      </c>
      <c r="S578" s="354">
        <f t="shared" si="597"/>
        <v>1.2936387976037442</v>
      </c>
      <c r="T578" s="354">
        <f t="shared" si="598"/>
        <v>5.5204509969364794</v>
      </c>
      <c r="U578" s="374">
        <f t="shared" si="599"/>
        <v>36.659866340535267</v>
      </c>
      <c r="V578" s="354">
        <f t="shared" si="600"/>
        <v>0.97041291597458479</v>
      </c>
      <c r="W578" s="354">
        <f t="shared" si="601"/>
        <v>33.102794440707626</v>
      </c>
      <c r="X578" s="354">
        <f t="shared" si="602"/>
        <v>2.5866589838530611</v>
      </c>
      <c r="Y578" s="374">
        <f t="shared" si="603"/>
        <v>5.3742803428335364</v>
      </c>
      <c r="Z578" s="354">
        <f t="shared" si="604"/>
        <v>2.772376400063532</v>
      </c>
      <c r="AA578" s="354">
        <f t="shared" si="605"/>
        <v>2.6019039427700039</v>
      </c>
      <c r="AB578" s="374">
        <f t="shared" si="606"/>
        <v>29.36182076788926</v>
      </c>
      <c r="AC578" s="354">
        <f t="shared" si="607"/>
        <v>8.3326668321391324</v>
      </c>
      <c r="AD578" s="354">
        <f t="shared" si="608"/>
        <v>18.138364736952116</v>
      </c>
      <c r="AE578" s="354">
        <f t="shared" si="609"/>
        <v>2.8907891987980081</v>
      </c>
      <c r="AF578" s="374">
        <f t="shared" si="610"/>
        <v>23.49971029550656</v>
      </c>
      <c r="AG578" s="354">
        <f t="shared" si="611"/>
        <v>1.5102488837507377</v>
      </c>
      <c r="AH578" s="354">
        <f t="shared" si="612"/>
        <v>7.5986692585224</v>
      </c>
      <c r="AI578" s="354">
        <f t="shared" si="613"/>
        <v>0</v>
      </c>
      <c r="AJ578" s="354">
        <f t="shared" si="614"/>
        <v>14.390792153233424</v>
      </c>
      <c r="AK578" s="374">
        <f t="shared" si="615"/>
        <v>15.521395110388578</v>
      </c>
      <c r="AL578" s="354">
        <f t="shared" si="616"/>
        <v>4.4469827302046134</v>
      </c>
      <c r="AM578" s="354">
        <f t="shared" si="617"/>
        <v>10.488486046022475</v>
      </c>
      <c r="AN578" s="354">
        <f t="shared" si="618"/>
        <v>0.58592633416148965</v>
      </c>
      <c r="AO578" s="374">
        <f t="shared" si="619"/>
        <v>9.0000061570477836</v>
      </c>
      <c r="AP578" s="354">
        <f t="shared" si="620"/>
        <v>2.0637960772004287</v>
      </c>
      <c r="AQ578" s="354">
        <f t="shared" si="621"/>
        <v>6.9362100798473554</v>
      </c>
      <c r="AR578" s="374">
        <f t="shared" si="622"/>
        <v>16.418631677034917</v>
      </c>
      <c r="AS578" s="354">
        <f t="shared" si="623"/>
        <v>7.1147504875086645</v>
      </c>
      <c r="AT578" s="354">
        <f t="shared" si="624"/>
        <v>9.303881189526253</v>
      </c>
      <c r="AU578" s="355" t="s">
        <v>396</v>
      </c>
      <c r="AV578" s="354" t="s">
        <v>404</v>
      </c>
      <c r="AW578" s="355" t="s">
        <v>405</v>
      </c>
      <c r="AX578" s="355">
        <v>0</v>
      </c>
      <c r="AY578" s="350" t="s">
        <v>410</v>
      </c>
      <c r="AZ578" s="351">
        <v>45145</v>
      </c>
      <c r="BA578" s="351">
        <v>45145</v>
      </c>
      <c r="BB578" s="350" t="s">
        <v>407</v>
      </c>
    </row>
    <row r="579" spans="1:54" x14ac:dyDescent="0.25">
      <c r="A579" s="348" t="s">
        <v>1436</v>
      </c>
      <c r="B579" s="349">
        <v>5214</v>
      </c>
      <c r="C579" s="350" t="s">
        <v>1429</v>
      </c>
      <c r="D579" s="351">
        <v>45135</v>
      </c>
      <c r="E579" s="352">
        <v>3350</v>
      </c>
      <c r="F579" s="352">
        <v>5</v>
      </c>
      <c r="G579" s="351"/>
      <c r="H579" s="350" t="s">
        <v>1438</v>
      </c>
      <c r="I579" s="350" t="s">
        <v>393</v>
      </c>
      <c r="J579" s="354">
        <v>148000</v>
      </c>
      <c r="K579" s="350" t="s">
        <v>394</v>
      </c>
      <c r="L579" s="354">
        <v>2.8078499999999998E-4</v>
      </c>
      <c r="M579" s="354">
        <v>52.76</v>
      </c>
      <c r="N579" s="350" t="s">
        <v>395</v>
      </c>
      <c r="O579" s="354">
        <v>41.56</v>
      </c>
      <c r="P579" s="374">
        <f t="shared" si="594"/>
        <v>3.3243091945257199</v>
      </c>
      <c r="Q579" s="354">
        <f t="shared" si="595"/>
        <v>0.31353307010687881</v>
      </c>
      <c r="R579" s="354">
        <f t="shared" si="596"/>
        <v>0.52852556582323806</v>
      </c>
      <c r="S579" s="354">
        <f t="shared" si="597"/>
        <v>0.4708034970102335</v>
      </c>
      <c r="T579" s="354">
        <f t="shared" si="598"/>
        <v>2.0090983968984526</v>
      </c>
      <c r="U579" s="374">
        <f t="shared" si="599"/>
        <v>13.341895206778233</v>
      </c>
      <c r="V579" s="354">
        <f t="shared" si="600"/>
        <v>0.35316952091342407</v>
      </c>
      <c r="W579" s="354">
        <f t="shared" si="601"/>
        <v>12.047343827631469</v>
      </c>
      <c r="X579" s="354">
        <f t="shared" si="602"/>
        <v>0.9413818582333412</v>
      </c>
      <c r="Y579" s="374">
        <f t="shared" si="603"/>
        <v>1.9559014340063279</v>
      </c>
      <c r="Z579" s="354">
        <f t="shared" si="604"/>
        <v>1.0089713655746151</v>
      </c>
      <c r="AA579" s="354">
        <f t="shared" si="605"/>
        <v>0.94693006843171279</v>
      </c>
      <c r="AB579" s="374">
        <f t="shared" si="606"/>
        <v>10.685863721555062</v>
      </c>
      <c r="AC579" s="354">
        <f t="shared" si="607"/>
        <v>3.0325688215745372</v>
      </c>
      <c r="AD579" s="354">
        <f t="shared" si="608"/>
        <v>6.601228692292155</v>
      </c>
      <c r="AE579" s="354">
        <f t="shared" si="609"/>
        <v>1.0520662076883693</v>
      </c>
      <c r="AF579" s="374">
        <f t="shared" si="610"/>
        <v>8.5524226749736236</v>
      </c>
      <c r="AG579" s="354">
        <f t="shared" si="611"/>
        <v>0.54963600128777634</v>
      </c>
      <c r="AH579" s="354">
        <f t="shared" si="612"/>
        <v>2.7654396777239558</v>
      </c>
      <c r="AI579" s="354">
        <f t="shared" si="613"/>
        <v>0</v>
      </c>
      <c r="AJ579" s="354">
        <f t="shared" si="614"/>
        <v>5.2373469959618921</v>
      </c>
      <c r="AK579" s="374">
        <f t="shared" si="615"/>
        <v>5.6488156585783358</v>
      </c>
      <c r="AL579" s="354">
        <f t="shared" si="616"/>
        <v>1.6184231830419771</v>
      </c>
      <c r="AM579" s="354">
        <f t="shared" si="617"/>
        <v>3.8171519886055445</v>
      </c>
      <c r="AN579" s="354">
        <f t="shared" si="618"/>
        <v>0.2132404869308146</v>
      </c>
      <c r="AO579" s="374">
        <f t="shared" si="619"/>
        <v>3.2754385379446851</v>
      </c>
      <c r="AP579" s="354">
        <f t="shared" si="620"/>
        <v>0.75109250902320901</v>
      </c>
      <c r="AQ579" s="354">
        <f t="shared" si="621"/>
        <v>2.5243460289214763</v>
      </c>
      <c r="AR579" s="374">
        <f t="shared" si="622"/>
        <v>5.9753535716380091</v>
      </c>
      <c r="AS579" s="354">
        <f t="shared" si="623"/>
        <v>2.5893235546730851</v>
      </c>
      <c r="AT579" s="354">
        <f t="shared" si="624"/>
        <v>3.3860300169649244</v>
      </c>
      <c r="AU579" s="355" t="s">
        <v>396</v>
      </c>
      <c r="AV579" s="354" t="s">
        <v>404</v>
      </c>
      <c r="AW579" s="355" t="s">
        <v>405</v>
      </c>
      <c r="AX579" s="355">
        <v>0</v>
      </c>
      <c r="AY579" s="350" t="s">
        <v>410</v>
      </c>
      <c r="AZ579" s="351">
        <v>45145</v>
      </c>
      <c r="BA579" s="351">
        <v>45145</v>
      </c>
      <c r="BB579" s="350" t="s">
        <v>407</v>
      </c>
    </row>
    <row r="580" spans="1:54" x14ac:dyDescent="0.25">
      <c r="A580" s="348" t="s">
        <v>1439</v>
      </c>
      <c r="B580" s="349">
        <v>5194</v>
      </c>
      <c r="C580" s="350" t="s">
        <v>1429</v>
      </c>
      <c r="D580" s="351">
        <v>45125</v>
      </c>
      <c r="E580" s="352">
        <v>3490</v>
      </c>
      <c r="F580" s="352">
        <v>7</v>
      </c>
      <c r="G580" s="351"/>
      <c r="H580" s="350" t="s">
        <v>1440</v>
      </c>
      <c r="I580" s="350" t="s">
        <v>393</v>
      </c>
      <c r="J580" s="354">
        <v>166400</v>
      </c>
      <c r="K580" s="350" t="s">
        <v>394</v>
      </c>
      <c r="L580" s="354">
        <v>2.8078499999999998E-4</v>
      </c>
      <c r="M580" s="354">
        <v>59.31</v>
      </c>
      <c r="N580" s="350" t="s">
        <v>395</v>
      </c>
      <c r="O580" s="354">
        <v>46.72</v>
      </c>
      <c r="P580" s="374">
        <f t="shared" si="594"/>
        <v>3.7370124777733218</v>
      </c>
      <c r="Q580" s="354">
        <f t="shared" si="595"/>
        <v>0.35245728559588668</v>
      </c>
      <c r="R580" s="354">
        <f t="shared" si="596"/>
        <v>0.59414047211857934</v>
      </c>
      <c r="S580" s="354">
        <f t="shared" si="597"/>
        <v>0.52925237694611349</v>
      </c>
      <c r="T580" s="354">
        <f t="shared" si="598"/>
        <v>2.2585220985604098</v>
      </c>
      <c r="U580" s="374">
        <f t="shared" si="599"/>
        <v>14.998252553336185</v>
      </c>
      <c r="V580" s="354">
        <f t="shared" si="600"/>
        <v>0.39701448607610279</v>
      </c>
      <c r="W580" s="354">
        <f t="shared" si="601"/>
        <v>13.542986399105809</v>
      </c>
      <c r="X580" s="354">
        <f t="shared" si="602"/>
        <v>1.0582516681542735</v>
      </c>
      <c r="Y580" s="374">
        <f t="shared" si="603"/>
        <v>2.1987208880006692</v>
      </c>
      <c r="Z580" s="354">
        <f t="shared" si="604"/>
        <v>1.1342322155464446</v>
      </c>
      <c r="AA580" s="354">
        <f t="shared" si="605"/>
        <v>1.0644886724542244</v>
      </c>
      <c r="AB580" s="374">
        <f t="shared" si="606"/>
        <v>12.012482511854261</v>
      </c>
      <c r="AC580" s="354">
        <f t="shared" si="607"/>
        <v>3.4090533890747881</v>
      </c>
      <c r="AD580" s="354">
        <f t="shared" si="608"/>
        <v>7.4207519662594343</v>
      </c>
      <c r="AE580" s="354">
        <f t="shared" si="609"/>
        <v>1.1826771565200378</v>
      </c>
      <c r="AF580" s="374">
        <f t="shared" si="610"/>
        <v>9.6141809865937375</v>
      </c>
      <c r="AG580" s="354">
        <f t="shared" si="611"/>
        <v>0.61787170652725576</v>
      </c>
      <c r="AH580" s="354">
        <f t="shared" si="612"/>
        <v>3.108760941732521</v>
      </c>
      <c r="AI580" s="354">
        <f t="shared" si="613"/>
        <v>0</v>
      </c>
      <c r="AJ580" s="354">
        <f t="shared" si="614"/>
        <v>5.8875483383339615</v>
      </c>
      <c r="AK580" s="374">
        <f t="shared" si="615"/>
        <v>6.3500996343874361</v>
      </c>
      <c r="AL580" s="354">
        <f t="shared" si="616"/>
        <v>1.8193456972369155</v>
      </c>
      <c r="AM580" s="354">
        <f t="shared" si="617"/>
        <v>4.2910402661901985</v>
      </c>
      <c r="AN580" s="354">
        <f t="shared" si="618"/>
        <v>0.23971367096032248</v>
      </c>
      <c r="AO580" s="374">
        <f t="shared" si="619"/>
        <v>3.6820746718252328</v>
      </c>
      <c r="AP580" s="354">
        <f t="shared" si="620"/>
        <v>0.84433845167108668</v>
      </c>
      <c r="AQ580" s="354">
        <f t="shared" si="621"/>
        <v>2.8377362201541465</v>
      </c>
      <c r="AR580" s="374">
        <f t="shared" si="622"/>
        <v>6.717176276229158</v>
      </c>
      <c r="AS580" s="354">
        <f t="shared" si="623"/>
        <v>2.9107805160663514</v>
      </c>
      <c r="AT580" s="354">
        <f t="shared" si="624"/>
        <v>3.8063957601628071</v>
      </c>
      <c r="AU580" s="355" t="s">
        <v>396</v>
      </c>
      <c r="AV580" s="354" t="s">
        <v>404</v>
      </c>
      <c r="AW580" s="355" t="s">
        <v>405</v>
      </c>
      <c r="AX580" s="355">
        <v>0</v>
      </c>
      <c r="AY580" s="350" t="s">
        <v>410</v>
      </c>
      <c r="AZ580" s="351">
        <v>45142</v>
      </c>
      <c r="BA580" s="351">
        <v>45145</v>
      </c>
      <c r="BB580" s="350" t="s">
        <v>407</v>
      </c>
    </row>
    <row r="581" spans="1:54" x14ac:dyDescent="0.25">
      <c r="A581" s="348" t="s">
        <v>1441</v>
      </c>
      <c r="B581" s="349">
        <v>5252</v>
      </c>
      <c r="C581" s="350" t="s">
        <v>1429</v>
      </c>
      <c r="D581" s="351">
        <v>45117</v>
      </c>
      <c r="E581" s="352">
        <v>3490</v>
      </c>
      <c r="F581" s="352">
        <v>7</v>
      </c>
      <c r="G581" s="351"/>
      <c r="H581" s="350" t="s">
        <v>1442</v>
      </c>
      <c r="I581" s="350" t="s">
        <v>393</v>
      </c>
      <c r="J581" s="354">
        <v>42000</v>
      </c>
      <c r="K581" s="350" t="s">
        <v>394</v>
      </c>
      <c r="L581" s="354">
        <v>2.8078499999999998E-4</v>
      </c>
      <c r="M581" s="354">
        <v>14.97</v>
      </c>
      <c r="N581" s="350" t="s">
        <v>395</v>
      </c>
      <c r="O581" s="354">
        <v>11.79</v>
      </c>
      <c r="P581" s="374">
        <f t="shared" si="594"/>
        <v>0.94323177865902252</v>
      </c>
      <c r="Q581" s="354">
        <f t="shared" si="595"/>
        <v>8.8961145934419561E-2</v>
      </c>
      <c r="R581" s="354">
        <f t="shared" si="596"/>
        <v>0.149962617899429</v>
      </c>
      <c r="S581" s="354">
        <f t="shared" si="597"/>
        <v>0.13358469200612577</v>
      </c>
      <c r="T581" s="354">
        <f t="shared" si="598"/>
        <v>0.57005691814954196</v>
      </c>
      <c r="U581" s="374">
        <f t="shared" si="599"/>
        <v>3.7855983935835891</v>
      </c>
      <c r="V581" s="354">
        <f t="shared" si="600"/>
        <v>0.10020750053210688</v>
      </c>
      <c r="W581" s="354">
        <f t="shared" si="601"/>
        <v>3.4182853885451685</v>
      </c>
      <c r="X581" s="354">
        <f t="shared" si="602"/>
        <v>0.26710550450631387</v>
      </c>
      <c r="Y581" s="374">
        <f t="shared" si="603"/>
        <v>0.55496293531225793</v>
      </c>
      <c r="Z581" s="354">
        <f t="shared" si="604"/>
        <v>0.28628319451576928</v>
      </c>
      <c r="AA581" s="354">
        <f t="shared" si="605"/>
        <v>0.26867974079648865</v>
      </c>
      <c r="AB581" s="374">
        <f t="shared" si="606"/>
        <v>3.0319821817983184</v>
      </c>
      <c r="AC581" s="354">
        <f t="shared" si="607"/>
        <v>0.8604540420578245</v>
      </c>
      <c r="AD581" s="354">
        <f t="shared" si="608"/>
        <v>1.8730173147007878</v>
      </c>
      <c r="AE581" s="354">
        <f t="shared" si="609"/>
        <v>0.29851082503970605</v>
      </c>
      <c r="AF581" s="374">
        <f t="shared" si="610"/>
        <v>2.4266445686951315</v>
      </c>
      <c r="AG581" s="354">
        <f t="shared" si="611"/>
        <v>0.15595244388320717</v>
      </c>
      <c r="AH581" s="354">
        <f t="shared" si="612"/>
        <v>0.78465943850507225</v>
      </c>
      <c r="AI581" s="354">
        <f t="shared" si="613"/>
        <v>0</v>
      </c>
      <c r="AJ581" s="354">
        <f t="shared" si="614"/>
        <v>1.4860326863068523</v>
      </c>
      <c r="AK581" s="374">
        <f t="shared" si="615"/>
        <v>1.6027818500553013</v>
      </c>
      <c r="AL581" s="354">
        <f t="shared" si="616"/>
        <v>0.45920763931270653</v>
      </c>
      <c r="AM581" s="354">
        <f t="shared" si="617"/>
        <v>1.0830698496858417</v>
      </c>
      <c r="AN581" s="354">
        <f t="shared" si="618"/>
        <v>6.0504361056753123E-2</v>
      </c>
      <c r="AO581" s="374">
        <f t="shared" si="619"/>
        <v>0.9293653319376789</v>
      </c>
      <c r="AP581" s="354">
        <f t="shared" si="620"/>
        <v>0.21311324602117968</v>
      </c>
      <c r="AQ581" s="354">
        <f t="shared" si="621"/>
        <v>0.71625208591649925</v>
      </c>
      <c r="AR581" s="374">
        <f t="shared" si="622"/>
        <v>1.6954329599586999</v>
      </c>
      <c r="AS581" s="354">
        <f t="shared" si="623"/>
        <v>0.73468865832934205</v>
      </c>
      <c r="AT581" s="354">
        <f t="shared" si="624"/>
        <v>0.96074430162935798</v>
      </c>
      <c r="AU581" s="355" t="s">
        <v>396</v>
      </c>
      <c r="AV581" s="354" t="s">
        <v>404</v>
      </c>
      <c r="AW581" s="355" t="s">
        <v>405</v>
      </c>
      <c r="AX581" s="355">
        <v>0</v>
      </c>
      <c r="AY581" s="350" t="s">
        <v>410</v>
      </c>
      <c r="AZ581" s="351">
        <v>45145</v>
      </c>
      <c r="BA581" s="351">
        <v>45145</v>
      </c>
      <c r="BB581" s="350" t="s">
        <v>407</v>
      </c>
    </row>
    <row r="582" spans="1:54" x14ac:dyDescent="0.25">
      <c r="A582" s="348" t="s">
        <v>1443</v>
      </c>
      <c r="B582" s="349">
        <v>5275</v>
      </c>
      <c r="C582" s="350" t="s">
        <v>1429</v>
      </c>
      <c r="D582" s="351">
        <v>45124</v>
      </c>
      <c r="E582" s="352">
        <v>3460</v>
      </c>
      <c r="F582" s="352">
        <v>7</v>
      </c>
      <c r="G582" s="351"/>
      <c r="H582" s="350" t="s">
        <v>1444</v>
      </c>
      <c r="I582" s="350" t="s">
        <v>393</v>
      </c>
      <c r="J582" s="354">
        <v>80000</v>
      </c>
      <c r="K582" s="350" t="s">
        <v>394</v>
      </c>
      <c r="L582" s="354">
        <v>2.8078499999999998E-4</v>
      </c>
      <c r="M582" s="354">
        <v>28.52</v>
      </c>
      <c r="N582" s="350" t="s">
        <v>395</v>
      </c>
      <c r="O582" s="354">
        <v>22.46</v>
      </c>
      <c r="P582" s="374">
        <f t="shared" si="594"/>
        <v>1.7969920058353588</v>
      </c>
      <c r="Q582" s="354">
        <f t="shared" si="595"/>
        <v>0.16948375965595494</v>
      </c>
      <c r="R582" s="354">
        <f t="shared" si="596"/>
        <v>0.28570032481574581</v>
      </c>
      <c r="S582" s="354">
        <f t="shared" si="597"/>
        <v>0.25449802378187752</v>
      </c>
      <c r="T582" s="354">
        <f t="shared" si="598"/>
        <v>1.0860403009769497</v>
      </c>
      <c r="U582" s="374">
        <f t="shared" si="599"/>
        <v>7.212108629592783</v>
      </c>
      <c r="V582" s="354">
        <f t="shared" si="600"/>
        <v>0.19090968037245745</v>
      </c>
      <c r="W582" s="354">
        <f t="shared" si="601"/>
        <v>6.5123246012897935</v>
      </c>
      <c r="X582" s="354">
        <f t="shared" si="602"/>
        <v>0.50887434793053243</v>
      </c>
      <c r="Y582" s="374">
        <f t="shared" si="603"/>
        <v>1.0572840958654373</v>
      </c>
      <c r="Z582" s="354">
        <f t="shared" si="604"/>
        <v>0.54541060170940148</v>
      </c>
      <c r="AA582" s="354">
        <f t="shared" si="605"/>
        <v>0.51187349415603578</v>
      </c>
      <c r="AB582" s="374">
        <f t="shared" si="606"/>
        <v>5.7763615113485667</v>
      </c>
      <c r="AC582" s="354">
        <f t="shared" si="607"/>
        <v>1.6392885290239918</v>
      </c>
      <c r="AD582" s="354">
        <f t="shared" si="608"/>
        <v>3.5683669883277536</v>
      </c>
      <c r="AE582" s="354">
        <f t="shared" si="609"/>
        <v>0.56870599399682142</v>
      </c>
      <c r="AF582" s="374">
        <f t="shared" si="610"/>
        <v>4.6231064194512461</v>
      </c>
      <c r="AG582" s="354">
        <f t="shared" si="611"/>
        <v>0.2971118035770921</v>
      </c>
      <c r="AH582" s="354">
        <f t="shared" si="612"/>
        <v>1.4948889235914939</v>
      </c>
      <c r="AI582" s="354">
        <f t="shared" si="613"/>
        <v>0</v>
      </c>
      <c r="AJ582" s="354">
        <f t="shared" si="614"/>
        <v>2.8311056922826605</v>
      </c>
      <c r="AK582" s="374">
        <f t="shared" si="615"/>
        <v>3.0535296168054233</v>
      </c>
      <c r="AL582" s="354">
        <f t="shared" si="616"/>
        <v>0.87485650455567066</v>
      </c>
      <c r="AM582" s="354">
        <f t="shared" si="617"/>
        <v>2.0634036147655443</v>
      </c>
      <c r="AN582" s="354">
        <f t="shared" si="618"/>
        <v>0.11526949748420834</v>
      </c>
      <c r="AO582" s="374">
        <f t="shared" si="619"/>
        <v>1.7705744333241551</v>
      </c>
      <c r="AP582" s="354">
        <f t="shared" si="620"/>
        <v>0.40601134111717063</v>
      </c>
      <c r="AQ582" s="354">
        <f t="shared" si="621"/>
        <v>1.3645630922069845</v>
      </c>
      <c r="AR582" s="374">
        <f t="shared" si="622"/>
        <v>3.2300432877770286</v>
      </c>
      <c r="AS582" s="354">
        <f t="shared" si="623"/>
        <v>1.3996874105245714</v>
      </c>
      <c r="AT582" s="354">
        <f t="shared" si="624"/>
        <v>1.8303558772524575</v>
      </c>
      <c r="AU582" s="355" t="s">
        <v>396</v>
      </c>
      <c r="AV582" s="354" t="s">
        <v>404</v>
      </c>
      <c r="AW582" s="355" t="s">
        <v>405</v>
      </c>
      <c r="AX582" s="355">
        <v>0</v>
      </c>
      <c r="AY582" s="350" t="s">
        <v>410</v>
      </c>
      <c r="AZ582" s="351">
        <v>45145</v>
      </c>
      <c r="BA582" s="351">
        <v>45145</v>
      </c>
      <c r="BB582" s="350" t="s">
        <v>407</v>
      </c>
    </row>
    <row r="583" spans="1:54" x14ac:dyDescent="0.25">
      <c r="A583" s="348" t="s">
        <v>1445</v>
      </c>
      <c r="B583" s="349">
        <v>5277</v>
      </c>
      <c r="C583" s="350" t="s">
        <v>1429</v>
      </c>
      <c r="D583" s="351">
        <v>45124</v>
      </c>
      <c r="E583" s="352">
        <v>3490</v>
      </c>
      <c r="F583" s="352">
        <v>7</v>
      </c>
      <c r="G583" s="351"/>
      <c r="H583" s="350" t="s">
        <v>1442</v>
      </c>
      <c r="I583" s="350" t="s">
        <v>393</v>
      </c>
      <c r="J583" s="354">
        <v>54000</v>
      </c>
      <c r="K583" s="350" t="s">
        <v>394</v>
      </c>
      <c r="L583" s="354">
        <v>2.8078499999999998E-4</v>
      </c>
      <c r="M583" s="354">
        <v>19.25</v>
      </c>
      <c r="N583" s="350" t="s">
        <v>395</v>
      </c>
      <c r="O583" s="354">
        <v>15.16</v>
      </c>
      <c r="P583" s="374">
        <f t="shared" si="594"/>
        <v>1.2129065958040202</v>
      </c>
      <c r="Q583" s="354">
        <f t="shared" si="595"/>
        <v>0.11439559513945065</v>
      </c>
      <c r="R583" s="354">
        <f t="shared" si="596"/>
        <v>0.19283770170768255</v>
      </c>
      <c r="S583" s="354">
        <f t="shared" si="597"/>
        <v>0.17177724255964735</v>
      </c>
      <c r="T583" s="354">
        <f t="shared" si="598"/>
        <v>0.73303912320498876</v>
      </c>
      <c r="U583" s="374">
        <f t="shared" si="599"/>
        <v>4.8679204459909213</v>
      </c>
      <c r="V583" s="354">
        <f t="shared" si="600"/>
        <v>0.12885734036359769</v>
      </c>
      <c r="W583" s="354">
        <f t="shared" si="601"/>
        <v>4.3955907634932867</v>
      </c>
      <c r="X583" s="354">
        <f t="shared" si="602"/>
        <v>0.34347234213403754</v>
      </c>
      <c r="Y583" s="374">
        <f t="shared" si="603"/>
        <v>0.71362969303680468</v>
      </c>
      <c r="Z583" s="354">
        <f t="shared" si="604"/>
        <v>0.3681330323599572</v>
      </c>
      <c r="AA583" s="354">
        <f t="shared" si="605"/>
        <v>0.34549666067684748</v>
      </c>
      <c r="AB583" s="374">
        <f t="shared" si="606"/>
        <v>3.8988414829403895</v>
      </c>
      <c r="AC583" s="354">
        <f t="shared" si="607"/>
        <v>1.1064622785312708</v>
      </c>
      <c r="AD583" s="354">
        <f t="shared" si="608"/>
        <v>2.4085225990641392</v>
      </c>
      <c r="AE583" s="354">
        <f t="shared" si="609"/>
        <v>0.3838566053449794</v>
      </c>
      <c r="AF583" s="374">
        <f t="shared" si="610"/>
        <v>3.1204347326240001</v>
      </c>
      <c r="AG583" s="354">
        <f t="shared" si="611"/>
        <v>0.20054004974961512</v>
      </c>
      <c r="AH583" s="354">
        <f t="shared" si="612"/>
        <v>1.0089976079641043</v>
      </c>
      <c r="AI583" s="354">
        <f t="shared" si="613"/>
        <v>0</v>
      </c>
      <c r="AJ583" s="354">
        <f t="shared" si="614"/>
        <v>1.9108970749102809</v>
      </c>
      <c r="AK583" s="374">
        <f t="shared" si="615"/>
        <v>2.0610254250878119</v>
      </c>
      <c r="AL583" s="354">
        <f t="shared" si="616"/>
        <v>0.59049746538207082</v>
      </c>
      <c r="AM583" s="354">
        <f t="shared" si="617"/>
        <v>1.3927250906113859</v>
      </c>
      <c r="AN583" s="354">
        <f t="shared" si="618"/>
        <v>7.7802869094355201E-2</v>
      </c>
      <c r="AO583" s="374">
        <f t="shared" si="619"/>
        <v>1.1950756606413038</v>
      </c>
      <c r="AP583" s="354">
        <f t="shared" si="620"/>
        <v>0.27404341923231185</v>
      </c>
      <c r="AQ583" s="354">
        <f t="shared" si="621"/>
        <v>0.92103224140899198</v>
      </c>
      <c r="AR583" s="374">
        <f t="shared" si="622"/>
        <v>2.1801659638747477</v>
      </c>
      <c r="AS583" s="354">
        <f t="shared" si="623"/>
        <v>0.94473992470539969</v>
      </c>
      <c r="AT583" s="354">
        <f t="shared" si="624"/>
        <v>1.2354260391693481</v>
      </c>
      <c r="AU583" s="355" t="s">
        <v>396</v>
      </c>
      <c r="AV583" s="354" t="s">
        <v>404</v>
      </c>
      <c r="AW583" s="355" t="s">
        <v>405</v>
      </c>
      <c r="AX583" s="355">
        <v>0</v>
      </c>
      <c r="AY583" s="350" t="s">
        <v>410</v>
      </c>
      <c r="AZ583" s="351">
        <v>45145</v>
      </c>
      <c r="BA583" s="351">
        <v>45145</v>
      </c>
      <c r="BB583" s="350" t="s">
        <v>407</v>
      </c>
    </row>
    <row r="584" spans="1:54" x14ac:dyDescent="0.25">
      <c r="A584" s="348" t="s">
        <v>1448</v>
      </c>
      <c r="B584" s="349">
        <v>5286</v>
      </c>
      <c r="C584" s="350" t="s">
        <v>1429</v>
      </c>
      <c r="D584" s="351">
        <v>45128</v>
      </c>
      <c r="E584" s="352">
        <v>3340</v>
      </c>
      <c r="F584" s="352">
        <v>5</v>
      </c>
      <c r="G584" s="351"/>
      <c r="H584" s="350" t="s">
        <v>1449</v>
      </c>
      <c r="I584" s="350" t="s">
        <v>393</v>
      </c>
      <c r="J584" s="354">
        <v>10000</v>
      </c>
      <c r="K584" s="350" t="s">
        <v>394</v>
      </c>
      <c r="L584" s="354">
        <v>2.8078499999999998E-4</v>
      </c>
      <c r="M584" s="354">
        <v>3.56</v>
      </c>
      <c r="N584" s="350" t="s">
        <v>395</v>
      </c>
      <c r="O584" s="354">
        <v>2.81</v>
      </c>
      <c r="P584" s="374">
        <f t="shared" si="594"/>
        <v>0.22430896005518505</v>
      </c>
      <c r="Q584" s="354">
        <f t="shared" si="595"/>
        <v>2.1155756815399707E-2</v>
      </c>
      <c r="R584" s="354">
        <f t="shared" si="596"/>
        <v>3.566245288723896E-2</v>
      </c>
      <c r="S584" s="354">
        <f t="shared" si="597"/>
        <v>3.1767635507134788E-2</v>
      </c>
      <c r="T584" s="354">
        <f t="shared" si="598"/>
        <v>0.13556463784985767</v>
      </c>
      <c r="U584" s="374">
        <f t="shared" si="599"/>
        <v>0.90024918377806129</v>
      </c>
      <c r="V584" s="354">
        <f t="shared" si="600"/>
        <v>2.3830240607501701E-2</v>
      </c>
      <c r="W584" s="354">
        <f t="shared" si="601"/>
        <v>0.81289886327460259</v>
      </c>
      <c r="X584" s="354">
        <f t="shared" si="602"/>
        <v>6.3520079895957066E-2</v>
      </c>
      <c r="Y584" s="374">
        <f t="shared" si="603"/>
        <v>0.13197515362135193</v>
      </c>
      <c r="Z584" s="354">
        <f t="shared" si="604"/>
        <v>6.8080706244231043E-2</v>
      </c>
      <c r="AA584" s="354">
        <f t="shared" si="605"/>
        <v>6.3894447377120883E-2</v>
      </c>
      <c r="AB584" s="374">
        <f t="shared" si="606"/>
        <v>0.7210325028191058</v>
      </c>
      <c r="AC584" s="354">
        <f t="shared" si="607"/>
        <v>0.20462367332838047</v>
      </c>
      <c r="AD584" s="354">
        <f t="shared" si="608"/>
        <v>0.44542028325549798</v>
      </c>
      <c r="AE584" s="354">
        <f t="shared" si="609"/>
        <v>7.0988546235227351E-2</v>
      </c>
      <c r="AF584" s="374">
        <f t="shared" si="610"/>
        <v>0.57707779990345143</v>
      </c>
      <c r="AG584" s="354">
        <f t="shared" si="611"/>
        <v>3.7086887122526224E-2</v>
      </c>
      <c r="AH584" s="354">
        <f t="shared" si="612"/>
        <v>0.18659903814816681</v>
      </c>
      <c r="AI584" s="354">
        <f t="shared" si="613"/>
        <v>0</v>
      </c>
      <c r="AJ584" s="354">
        <f t="shared" si="614"/>
        <v>0.35339187463275845</v>
      </c>
      <c r="AK584" s="374">
        <f t="shared" si="615"/>
        <v>0.38115587082143437</v>
      </c>
      <c r="AL584" s="354">
        <f t="shared" si="616"/>
        <v>0.10920368710442453</v>
      </c>
      <c r="AM584" s="354">
        <f t="shared" si="617"/>
        <v>0.25756370506891091</v>
      </c>
      <c r="AN584" s="354">
        <f t="shared" si="618"/>
        <v>1.4388478648098939E-2</v>
      </c>
      <c r="AO584" s="374">
        <f t="shared" si="619"/>
        <v>0.22101139490301516</v>
      </c>
      <c r="AP584" s="354">
        <f t="shared" si="620"/>
        <v>5.0680237530754825E-2</v>
      </c>
      <c r="AQ584" s="354">
        <f t="shared" si="621"/>
        <v>0.17033115737226034</v>
      </c>
      <c r="AR584" s="374">
        <f t="shared" si="622"/>
        <v>0.40318913409839491</v>
      </c>
      <c r="AS584" s="354">
        <f t="shared" si="623"/>
        <v>0.17471553932214146</v>
      </c>
      <c r="AT584" s="354">
        <f t="shared" si="624"/>
        <v>0.22847359477625348</v>
      </c>
      <c r="AU584" s="355" t="s">
        <v>396</v>
      </c>
      <c r="AV584" s="354" t="s">
        <v>404</v>
      </c>
      <c r="AW584" s="355" t="s">
        <v>405</v>
      </c>
      <c r="AX584" s="355">
        <v>0</v>
      </c>
      <c r="AY584" s="350" t="s">
        <v>410</v>
      </c>
      <c r="AZ584" s="351">
        <v>45145</v>
      </c>
      <c r="BA584" s="351">
        <v>45145</v>
      </c>
      <c r="BB584" s="350" t="s">
        <v>407</v>
      </c>
    </row>
    <row r="585" spans="1:54" x14ac:dyDescent="0.25">
      <c r="A585" s="348" t="s">
        <v>1450</v>
      </c>
      <c r="B585" s="349">
        <v>5300</v>
      </c>
      <c r="C585" s="350" t="s">
        <v>1429</v>
      </c>
      <c r="D585" s="351">
        <v>45138</v>
      </c>
      <c r="E585" s="352">
        <v>3490</v>
      </c>
      <c r="F585" s="352">
        <v>7</v>
      </c>
      <c r="G585" s="351"/>
      <c r="H585" s="350" t="s">
        <v>1451</v>
      </c>
      <c r="I585" s="350" t="s">
        <v>393</v>
      </c>
      <c r="J585" s="354">
        <v>10000</v>
      </c>
      <c r="K585" s="350" t="s">
        <v>394</v>
      </c>
      <c r="L585" s="354">
        <v>2.8078499999999998E-4</v>
      </c>
      <c r="M585" s="354">
        <v>3.56</v>
      </c>
      <c r="N585" s="350" t="s">
        <v>395</v>
      </c>
      <c r="O585" s="354">
        <v>2.81</v>
      </c>
      <c r="P585" s="374">
        <f t="shared" si="594"/>
        <v>0.22430896005518505</v>
      </c>
      <c r="Q585" s="354">
        <f t="shared" si="595"/>
        <v>2.1155756815399707E-2</v>
      </c>
      <c r="R585" s="354">
        <f t="shared" si="596"/>
        <v>3.566245288723896E-2</v>
      </c>
      <c r="S585" s="354">
        <f t="shared" si="597"/>
        <v>3.1767635507134788E-2</v>
      </c>
      <c r="T585" s="354">
        <f t="shared" si="598"/>
        <v>0.13556463784985767</v>
      </c>
      <c r="U585" s="374">
        <f t="shared" si="599"/>
        <v>0.90024918377806129</v>
      </c>
      <c r="V585" s="354">
        <f t="shared" si="600"/>
        <v>2.3830240607501701E-2</v>
      </c>
      <c r="W585" s="354">
        <f t="shared" si="601"/>
        <v>0.81289886327460259</v>
      </c>
      <c r="X585" s="354">
        <f t="shared" si="602"/>
        <v>6.3520079895957066E-2</v>
      </c>
      <c r="Y585" s="374">
        <f t="shared" si="603"/>
        <v>0.13197515362135193</v>
      </c>
      <c r="Z585" s="354">
        <f t="shared" si="604"/>
        <v>6.8080706244231043E-2</v>
      </c>
      <c r="AA585" s="354">
        <f t="shared" si="605"/>
        <v>6.3894447377120883E-2</v>
      </c>
      <c r="AB585" s="374">
        <f t="shared" si="606"/>
        <v>0.7210325028191058</v>
      </c>
      <c r="AC585" s="354">
        <f t="shared" si="607"/>
        <v>0.20462367332838047</v>
      </c>
      <c r="AD585" s="354">
        <f t="shared" si="608"/>
        <v>0.44542028325549798</v>
      </c>
      <c r="AE585" s="354">
        <f t="shared" si="609"/>
        <v>7.0988546235227351E-2</v>
      </c>
      <c r="AF585" s="374">
        <f t="shared" si="610"/>
        <v>0.57707779990345143</v>
      </c>
      <c r="AG585" s="354">
        <f t="shared" si="611"/>
        <v>3.7086887122526224E-2</v>
      </c>
      <c r="AH585" s="354">
        <f t="shared" si="612"/>
        <v>0.18659903814816681</v>
      </c>
      <c r="AI585" s="354">
        <f t="shared" si="613"/>
        <v>0</v>
      </c>
      <c r="AJ585" s="354">
        <f t="shared" si="614"/>
        <v>0.35339187463275845</v>
      </c>
      <c r="AK585" s="374">
        <f t="shared" si="615"/>
        <v>0.38115587082143437</v>
      </c>
      <c r="AL585" s="354">
        <f t="shared" si="616"/>
        <v>0.10920368710442453</v>
      </c>
      <c r="AM585" s="354">
        <f t="shared" si="617"/>
        <v>0.25756370506891091</v>
      </c>
      <c r="AN585" s="354">
        <f t="shared" si="618"/>
        <v>1.4388478648098939E-2</v>
      </c>
      <c r="AO585" s="374">
        <f t="shared" si="619"/>
        <v>0.22101139490301516</v>
      </c>
      <c r="AP585" s="354">
        <f t="shared" si="620"/>
        <v>5.0680237530754825E-2</v>
      </c>
      <c r="AQ585" s="354">
        <f t="shared" si="621"/>
        <v>0.17033115737226034</v>
      </c>
      <c r="AR585" s="374">
        <f t="shared" si="622"/>
        <v>0.40318913409839491</v>
      </c>
      <c r="AS585" s="354">
        <f t="shared" si="623"/>
        <v>0.17471553932214146</v>
      </c>
      <c r="AT585" s="354">
        <f t="shared" si="624"/>
        <v>0.22847359477625348</v>
      </c>
      <c r="AU585" s="355" t="s">
        <v>396</v>
      </c>
      <c r="AV585" s="354" t="s">
        <v>404</v>
      </c>
      <c r="AW585" s="355" t="s">
        <v>405</v>
      </c>
      <c r="AX585" s="355">
        <v>0</v>
      </c>
      <c r="AY585" s="350" t="s">
        <v>410</v>
      </c>
      <c r="AZ585" s="351">
        <v>45145</v>
      </c>
      <c r="BA585" s="351">
        <v>45145</v>
      </c>
      <c r="BB585" s="350" t="s">
        <v>407</v>
      </c>
    </row>
    <row r="586" spans="1:54" x14ac:dyDescent="0.25">
      <c r="A586" s="348" t="s">
        <v>1452</v>
      </c>
      <c r="B586" s="349">
        <v>5264</v>
      </c>
      <c r="C586" s="350" t="s">
        <v>1429</v>
      </c>
      <c r="D586" s="351">
        <v>45114</v>
      </c>
      <c r="E586" s="352">
        <v>3350</v>
      </c>
      <c r="F586" s="352">
        <v>5</v>
      </c>
      <c r="G586" s="351"/>
      <c r="H586" s="350" t="s">
        <v>1453</v>
      </c>
      <c r="I586" s="350" t="s">
        <v>393</v>
      </c>
      <c r="J586" s="354">
        <v>372117.5</v>
      </c>
      <c r="K586" s="350" t="s">
        <v>394</v>
      </c>
      <c r="L586" s="354">
        <v>2.8078499999999998E-4</v>
      </c>
      <c r="M586" s="354">
        <v>132.63999999999999</v>
      </c>
      <c r="N586" s="350" t="s">
        <v>395</v>
      </c>
      <c r="O586" s="354">
        <v>104.49</v>
      </c>
      <c r="P586" s="374">
        <f t="shared" si="594"/>
        <v>8.3573990061010512</v>
      </c>
      <c r="Q586" s="354">
        <f t="shared" si="595"/>
        <v>0.78823022022320699</v>
      </c>
      <c r="R586" s="354">
        <f t="shared" si="596"/>
        <v>1.3287268963380268</v>
      </c>
      <c r="S586" s="354">
        <f t="shared" si="597"/>
        <v>1.1836121274343701</v>
      </c>
      <c r="T586" s="354">
        <f t="shared" si="598"/>
        <v>5.0509251585407648</v>
      </c>
      <c r="U586" s="374">
        <f t="shared" si="599"/>
        <v>33.541868465259</v>
      </c>
      <c r="V586" s="354">
        <f t="shared" si="600"/>
        <v>0.88787727926377125</v>
      </c>
      <c r="W586" s="354">
        <f t="shared" si="601"/>
        <v>30.287332928298675</v>
      </c>
      <c r="X586" s="354">
        <f t="shared" si="602"/>
        <v>2.3666582576965576</v>
      </c>
      <c r="Y586" s="374">
        <f t="shared" si="603"/>
        <v>4.9171866225663248</v>
      </c>
      <c r="Z586" s="354">
        <f t="shared" si="604"/>
        <v>2.5365800214142706</v>
      </c>
      <c r="AA586" s="354">
        <f t="shared" si="605"/>
        <v>2.3806066011520537</v>
      </c>
      <c r="AB586" s="374">
        <f t="shared" si="606"/>
        <v>26.864536846608477</v>
      </c>
      <c r="AC586" s="354">
        <f t="shared" si="607"/>
        <v>7.6239561882798821</v>
      </c>
      <c r="AD586" s="354">
        <f t="shared" si="608"/>
        <v>16.595659092980124</v>
      </c>
      <c r="AE586" s="354">
        <f t="shared" si="609"/>
        <v>2.6449215653484703</v>
      </c>
      <c r="AF586" s="374">
        <f t="shared" si="610"/>
        <v>21.50101106157129</v>
      </c>
      <c r="AG586" s="354">
        <f t="shared" si="611"/>
        <v>1.3817990752617635</v>
      </c>
      <c r="AH586" s="354">
        <f t="shared" si="612"/>
        <v>6.9523866348238332</v>
      </c>
      <c r="AI586" s="354">
        <f t="shared" si="613"/>
        <v>0</v>
      </c>
      <c r="AJ586" s="354">
        <f t="shared" si="614"/>
        <v>13.166825351485695</v>
      </c>
      <c r="AK586" s="374">
        <f t="shared" si="615"/>
        <v>14.201268175773889</v>
      </c>
      <c r="AL586" s="354">
        <f t="shared" si="616"/>
        <v>4.0687576004300192</v>
      </c>
      <c r="AM586" s="354">
        <f t="shared" si="617"/>
        <v>9.5964184944776214</v>
      </c>
      <c r="AN586" s="354">
        <f t="shared" si="618"/>
        <v>0.53609208086624793</v>
      </c>
      <c r="AO586" s="374">
        <f t="shared" si="619"/>
        <v>8.2345369157123383</v>
      </c>
      <c r="AP586" s="354">
        <f t="shared" si="620"/>
        <v>1.8882659286739658</v>
      </c>
      <c r="AQ586" s="354">
        <f t="shared" si="621"/>
        <v>6.3462709870383724</v>
      </c>
      <c r="AR586" s="374">
        <f t="shared" si="622"/>
        <v>15.022192906407609</v>
      </c>
      <c r="AS586" s="354">
        <f t="shared" si="623"/>
        <v>6.5096261617103481</v>
      </c>
      <c r="AT586" s="354">
        <f t="shared" si="624"/>
        <v>8.5125667446972617</v>
      </c>
      <c r="AU586" s="355" t="s">
        <v>396</v>
      </c>
      <c r="AV586" s="354" t="s">
        <v>404</v>
      </c>
      <c r="AW586" s="355" t="s">
        <v>405</v>
      </c>
      <c r="AX586" s="355">
        <v>102727</v>
      </c>
      <c r="AY586" s="350" t="s">
        <v>410</v>
      </c>
      <c r="AZ586" s="351">
        <v>45145</v>
      </c>
      <c r="BA586" s="351">
        <v>45145</v>
      </c>
      <c r="BB586" s="350" t="s">
        <v>407</v>
      </c>
    </row>
    <row r="587" spans="1:54" x14ac:dyDescent="0.25">
      <c r="A587" s="348" t="s">
        <v>1454</v>
      </c>
      <c r="B587" s="349">
        <v>5129</v>
      </c>
      <c r="C587" s="350" t="s">
        <v>1429</v>
      </c>
      <c r="D587" s="351">
        <v>45135</v>
      </c>
      <c r="E587" s="352">
        <v>3110</v>
      </c>
      <c r="F587" s="352">
        <v>1</v>
      </c>
      <c r="G587" s="351"/>
      <c r="H587" s="350" t="s">
        <v>437</v>
      </c>
      <c r="I587" s="350" t="s">
        <v>393</v>
      </c>
      <c r="J587" s="354">
        <v>2110426.7999999998</v>
      </c>
      <c r="K587" s="350" t="s">
        <v>394</v>
      </c>
      <c r="L587" s="354">
        <v>3.0000099999999999E-4</v>
      </c>
      <c r="M587" s="354">
        <v>752.28</v>
      </c>
      <c r="N587" s="350" t="s">
        <v>395</v>
      </c>
      <c r="O587" s="354">
        <v>633.13</v>
      </c>
      <c r="P587" s="374">
        <f t="shared" si="594"/>
        <v>47.399759682672638</v>
      </c>
      <c r="Q587" s="354">
        <f t="shared" si="595"/>
        <v>4.4705204317665421</v>
      </c>
      <c r="R587" s="354">
        <f t="shared" si="596"/>
        <v>7.5359972073067754</v>
      </c>
      <c r="S587" s="354">
        <f t="shared" si="597"/>
        <v>6.712965404299819</v>
      </c>
      <c r="T587" s="354">
        <f t="shared" si="598"/>
        <v>28.646788135306441</v>
      </c>
      <c r="U587" s="374">
        <f t="shared" si="599"/>
        <v>190.23580223948312</v>
      </c>
      <c r="V587" s="354">
        <f t="shared" si="600"/>
        <v>5.0356779225312867</v>
      </c>
      <c r="W587" s="354">
        <f t="shared" si="601"/>
        <v>171.77740361354438</v>
      </c>
      <c r="X587" s="354">
        <f t="shared" si="602"/>
        <v>13.422720703407467</v>
      </c>
      <c r="Y587" s="374">
        <f t="shared" si="603"/>
        <v>27.88827768715467</v>
      </c>
      <c r="Z587" s="354">
        <f t="shared" si="604"/>
        <v>14.386447666688237</v>
      </c>
      <c r="AA587" s="354">
        <f t="shared" si="605"/>
        <v>13.50183002046643</v>
      </c>
      <c r="AB587" s="374">
        <f t="shared" si="606"/>
        <v>152.36469978111148</v>
      </c>
      <c r="AC587" s="354">
        <f t="shared" si="607"/>
        <v>43.239971059402819</v>
      </c>
      <c r="AD587" s="354">
        <f t="shared" si="608"/>
        <v>94.123811990855614</v>
      </c>
      <c r="AE587" s="354">
        <f t="shared" si="609"/>
        <v>15.000916730853042</v>
      </c>
      <c r="AF587" s="374">
        <f t="shared" si="610"/>
        <v>121.94496834589</v>
      </c>
      <c r="AG587" s="354">
        <f t="shared" si="611"/>
        <v>7.8370009675657375</v>
      </c>
      <c r="AH587" s="354">
        <f t="shared" si="612"/>
        <v>39.431102364635656</v>
      </c>
      <c r="AI587" s="354">
        <f t="shared" si="613"/>
        <v>0</v>
      </c>
      <c r="AJ587" s="354">
        <f t="shared" si="614"/>
        <v>74.676865013688627</v>
      </c>
      <c r="AK587" s="374">
        <f t="shared" si="615"/>
        <v>80.543802949873211</v>
      </c>
      <c r="AL587" s="354">
        <f t="shared" si="616"/>
        <v>23.076334195201259</v>
      </c>
      <c r="AM587" s="354">
        <f t="shared" si="617"/>
        <v>54.426973047539406</v>
      </c>
      <c r="AN587" s="354">
        <f t="shared" si="618"/>
        <v>3.0404957071325476</v>
      </c>
      <c r="AO587" s="374">
        <f t="shared" si="619"/>
        <v>46.702935999337143</v>
      </c>
      <c r="AP587" s="354">
        <f t="shared" si="620"/>
        <v>10.709474463380964</v>
      </c>
      <c r="AQ587" s="354">
        <f t="shared" si="621"/>
        <v>35.993461535956179</v>
      </c>
      <c r="AR587" s="374">
        <f t="shared" si="622"/>
        <v>85.199753314477661</v>
      </c>
      <c r="AS587" s="354">
        <f t="shared" si="623"/>
        <v>36.919945483500157</v>
      </c>
      <c r="AT587" s="354">
        <f t="shared" si="624"/>
        <v>48.279807830977511</v>
      </c>
      <c r="AU587" s="355" t="s">
        <v>396</v>
      </c>
      <c r="AV587" s="354" t="s">
        <v>404</v>
      </c>
      <c r="AW587" s="355" t="s">
        <v>405</v>
      </c>
      <c r="AX587" s="355">
        <v>102955</v>
      </c>
      <c r="AY587" s="350" t="s">
        <v>406</v>
      </c>
      <c r="AZ587" s="351">
        <v>45140</v>
      </c>
      <c r="BA587" s="351">
        <v>45139</v>
      </c>
      <c r="BB587" s="350" t="s">
        <v>407</v>
      </c>
    </row>
    <row r="588" spans="1:54" x14ac:dyDescent="0.25">
      <c r="A588" s="348" t="s">
        <v>1454</v>
      </c>
      <c r="B588" s="349">
        <v>5129</v>
      </c>
      <c r="C588" s="350" t="s">
        <v>1429</v>
      </c>
      <c r="D588" s="351">
        <v>45135</v>
      </c>
      <c r="E588" s="352">
        <v>3110</v>
      </c>
      <c r="F588" s="352">
        <v>1</v>
      </c>
      <c r="G588" s="351"/>
      <c r="H588" s="350" t="s">
        <v>437</v>
      </c>
      <c r="I588" s="350" t="s">
        <v>393</v>
      </c>
      <c r="J588" s="354">
        <v>595528.80000000005</v>
      </c>
      <c r="K588" s="350" t="s">
        <v>394</v>
      </c>
      <c r="L588" s="354">
        <v>3.0000200000000001E-4</v>
      </c>
      <c r="M588" s="354">
        <v>212.28</v>
      </c>
      <c r="N588" s="350" t="s">
        <v>395</v>
      </c>
      <c r="O588" s="354">
        <v>178.66</v>
      </c>
      <c r="P588" s="374">
        <f t="shared" si="594"/>
        <v>13.375366865313113</v>
      </c>
      <c r="Q588" s="354">
        <f t="shared" si="595"/>
        <v>1.2615011395429916</v>
      </c>
      <c r="R588" s="354">
        <f t="shared" si="596"/>
        <v>2.1265240165458108</v>
      </c>
      <c r="S588" s="354">
        <f t="shared" si="597"/>
        <v>1.8942791195097113</v>
      </c>
      <c r="T588" s="354">
        <f t="shared" si="598"/>
        <v>8.0836127311145471</v>
      </c>
      <c r="U588" s="374">
        <f t="shared" si="599"/>
        <v>53.681150767530013</v>
      </c>
      <c r="V588" s="354">
        <f t="shared" si="600"/>
        <v>1.4209785045394554</v>
      </c>
      <c r="W588" s="354">
        <f t="shared" si="601"/>
        <v>48.472519858408042</v>
      </c>
      <c r="X588" s="354">
        <f t="shared" si="602"/>
        <v>3.7876524045825186</v>
      </c>
      <c r="Y588" s="374">
        <f t="shared" si="603"/>
        <v>7.8695746097585912</v>
      </c>
      <c r="Z588" s="354">
        <f t="shared" si="604"/>
        <v>4.0595989667206078</v>
      </c>
      <c r="AA588" s="354">
        <f t="shared" si="605"/>
        <v>3.809975643037983</v>
      </c>
      <c r="AB588" s="374">
        <f t="shared" si="606"/>
        <v>42.994601038887581</v>
      </c>
      <c r="AC588" s="354">
        <f t="shared" si="607"/>
        <v>12.20154870060354</v>
      </c>
      <c r="AD588" s="354">
        <f t="shared" si="608"/>
        <v>26.560061159965482</v>
      </c>
      <c r="AE588" s="354">
        <f t="shared" si="609"/>
        <v>4.2329911783185574</v>
      </c>
      <c r="AF588" s="374">
        <f t="shared" si="610"/>
        <v>34.410695326827152</v>
      </c>
      <c r="AG588" s="354">
        <f t="shared" si="611"/>
        <v>2.2114619096544565</v>
      </c>
      <c r="AH588" s="354">
        <f t="shared" si="612"/>
        <v>11.126753881486756</v>
      </c>
      <c r="AI588" s="354">
        <f t="shared" si="613"/>
        <v>0</v>
      </c>
      <c r="AJ588" s="354">
        <f t="shared" si="614"/>
        <v>21.072479535685943</v>
      </c>
      <c r="AK588" s="374">
        <f t="shared" si="615"/>
        <v>22.728024791565755</v>
      </c>
      <c r="AL588" s="354">
        <f t="shared" si="616"/>
        <v>6.5117299714964156</v>
      </c>
      <c r="AM588" s="354">
        <f t="shared" si="617"/>
        <v>15.358321155064159</v>
      </c>
      <c r="AN588" s="354">
        <f t="shared" si="618"/>
        <v>0.85797366500518057</v>
      </c>
      <c r="AO588" s="374">
        <f t="shared" si="619"/>
        <v>13.178735648879792</v>
      </c>
      <c r="AP588" s="354">
        <f t="shared" si="620"/>
        <v>3.0220227030979308</v>
      </c>
      <c r="AQ588" s="354">
        <f t="shared" si="621"/>
        <v>10.156712945781862</v>
      </c>
      <c r="AR588" s="374">
        <f t="shared" si="622"/>
        <v>24.041850951237997</v>
      </c>
      <c r="AS588" s="354">
        <f t="shared" si="623"/>
        <v>10.418150193062974</v>
      </c>
      <c r="AT588" s="354">
        <f t="shared" si="624"/>
        <v>13.623700758175024</v>
      </c>
      <c r="AU588" s="355" t="s">
        <v>396</v>
      </c>
      <c r="AV588" s="354" t="s">
        <v>404</v>
      </c>
      <c r="AW588" s="355" t="s">
        <v>405</v>
      </c>
      <c r="AX588" s="355">
        <v>103265</v>
      </c>
      <c r="AY588" s="350" t="s">
        <v>406</v>
      </c>
      <c r="AZ588" s="351">
        <v>45140</v>
      </c>
      <c r="BA588" s="351">
        <v>45139</v>
      </c>
      <c r="BB588" s="350" t="s">
        <v>407</v>
      </c>
    </row>
    <row r="589" spans="1:54" x14ac:dyDescent="0.25">
      <c r="A589" s="348" t="s">
        <v>1454</v>
      </c>
      <c r="B589" s="349">
        <v>5129</v>
      </c>
      <c r="C589" s="350" t="s">
        <v>1429</v>
      </c>
      <c r="D589" s="351">
        <v>45135</v>
      </c>
      <c r="E589" s="352">
        <v>3110</v>
      </c>
      <c r="F589" s="352">
        <v>1</v>
      </c>
      <c r="G589" s="351"/>
      <c r="H589" s="350" t="s">
        <v>437</v>
      </c>
      <c r="I589" s="350" t="s">
        <v>393</v>
      </c>
      <c r="J589" s="354">
        <v>5592445</v>
      </c>
      <c r="K589" s="350" t="s">
        <v>394</v>
      </c>
      <c r="L589" s="354">
        <v>2.9999900000000001E-4</v>
      </c>
      <c r="M589" s="354">
        <v>1993.47</v>
      </c>
      <c r="N589" s="350" t="s">
        <v>395</v>
      </c>
      <c r="O589" s="354">
        <v>1677.73</v>
      </c>
      <c r="P589" s="374">
        <f t="shared" si="594"/>
        <v>125.60482657337351</v>
      </c>
      <c r="Q589" s="354">
        <f t="shared" si="595"/>
        <v>11.846451274942375</v>
      </c>
      <c r="R589" s="354">
        <f t="shared" si="596"/>
        <v>19.969671336270853</v>
      </c>
      <c r="S589" s="354">
        <f t="shared" si="597"/>
        <v>17.788715829889881</v>
      </c>
      <c r="T589" s="354">
        <f t="shared" si="598"/>
        <v>75.911246801841514</v>
      </c>
      <c r="U589" s="374">
        <f t="shared" si="599"/>
        <v>504.10666864776738</v>
      </c>
      <c r="V589" s="354">
        <f t="shared" si="600"/>
        <v>13.344064534785511</v>
      </c>
      <c r="W589" s="354">
        <f t="shared" si="601"/>
        <v>455.1936789247253</v>
      </c>
      <c r="X589" s="354">
        <f t="shared" si="602"/>
        <v>35.568925188256614</v>
      </c>
      <c r="Y589" s="374">
        <f t="shared" si="603"/>
        <v>73.90126671054955</v>
      </c>
      <c r="Z589" s="354">
        <f t="shared" si="604"/>
        <v>38.122709403563832</v>
      </c>
      <c r="AA589" s="354">
        <f t="shared" si="605"/>
        <v>35.778557306985718</v>
      </c>
      <c r="AB589" s="374">
        <f t="shared" si="606"/>
        <v>403.75187174011313</v>
      </c>
      <c r="AC589" s="354">
        <f t="shared" si="607"/>
        <v>114.58178485110297</v>
      </c>
      <c r="AD589" s="354">
        <f t="shared" si="608"/>
        <v>249.41909327565659</v>
      </c>
      <c r="AE589" s="354">
        <f t="shared" si="609"/>
        <v>39.750993613353558</v>
      </c>
      <c r="AF589" s="374">
        <f t="shared" si="610"/>
        <v>323.14249488020602</v>
      </c>
      <c r="AG589" s="354">
        <f t="shared" si="611"/>
        <v>20.767302492174817</v>
      </c>
      <c r="AH589" s="354">
        <f t="shared" si="612"/>
        <v>104.48864735315341</v>
      </c>
      <c r="AI589" s="354">
        <f t="shared" si="613"/>
        <v>0</v>
      </c>
      <c r="AJ589" s="354">
        <f t="shared" si="614"/>
        <v>197.8865450348778</v>
      </c>
      <c r="AK589" s="374">
        <f t="shared" si="615"/>
        <v>213.43336904674291</v>
      </c>
      <c r="AL589" s="354">
        <f t="shared" si="616"/>
        <v>61.150077003386848</v>
      </c>
      <c r="AM589" s="354">
        <f t="shared" si="617"/>
        <v>144.22626942239376</v>
      </c>
      <c r="AN589" s="354">
        <f t="shared" si="618"/>
        <v>8.0570226209623002</v>
      </c>
      <c r="AO589" s="374">
        <f t="shared" si="619"/>
        <v>123.75831050486337</v>
      </c>
      <c r="AP589" s="354">
        <f t="shared" si="620"/>
        <v>28.379082334391519</v>
      </c>
      <c r="AQ589" s="354">
        <f t="shared" si="621"/>
        <v>95.379228170471862</v>
      </c>
      <c r="AR589" s="374">
        <f t="shared" si="622"/>
        <v>225.77119189638407</v>
      </c>
      <c r="AS589" s="354">
        <f t="shared" si="623"/>
        <v>97.83432195857003</v>
      </c>
      <c r="AT589" s="354">
        <f t="shared" si="624"/>
        <v>127.93686993781404</v>
      </c>
      <c r="AU589" s="355" t="s">
        <v>396</v>
      </c>
      <c r="AV589" s="354" t="s">
        <v>404</v>
      </c>
      <c r="AW589" s="355" t="s">
        <v>405</v>
      </c>
      <c r="AX589" s="355">
        <v>117871</v>
      </c>
      <c r="AY589" s="350" t="s">
        <v>406</v>
      </c>
      <c r="AZ589" s="351">
        <v>45140</v>
      </c>
      <c r="BA589" s="351">
        <v>45139</v>
      </c>
      <c r="BB589" s="350" t="s">
        <v>407</v>
      </c>
    </row>
    <row r="590" spans="1:54" x14ac:dyDescent="0.25">
      <c r="A590" s="348" t="s">
        <v>1454</v>
      </c>
      <c r="B590" s="349">
        <v>5129</v>
      </c>
      <c r="C590" s="350" t="s">
        <v>1429</v>
      </c>
      <c r="D590" s="351">
        <v>45135</v>
      </c>
      <c r="E590" s="352">
        <v>3110</v>
      </c>
      <c r="F590" s="352">
        <v>1</v>
      </c>
      <c r="G590" s="351"/>
      <c r="H590" s="350" t="s">
        <v>437</v>
      </c>
      <c r="I590" s="350" t="s">
        <v>393</v>
      </c>
      <c r="J590" s="354">
        <v>3083644.8</v>
      </c>
      <c r="K590" s="350" t="s">
        <v>394</v>
      </c>
      <c r="L590" s="354">
        <v>2.9999900000000001E-4</v>
      </c>
      <c r="M590" s="354">
        <v>1099.19</v>
      </c>
      <c r="N590" s="350" t="s">
        <v>395</v>
      </c>
      <c r="O590" s="354">
        <v>925.09</v>
      </c>
      <c r="P590" s="374">
        <f t="shared" si="594"/>
        <v>69.25791174243227</v>
      </c>
      <c r="Q590" s="354">
        <f t="shared" si="595"/>
        <v>6.5320776218874181</v>
      </c>
      <c r="R590" s="354">
        <f t="shared" si="596"/>
        <v>11.011183030652864</v>
      </c>
      <c r="S590" s="354">
        <f t="shared" si="597"/>
        <v>9.8086144025526654</v>
      </c>
      <c r="T590" s="354">
        <f t="shared" si="598"/>
        <v>41.85710513432165</v>
      </c>
      <c r="U590" s="374">
        <f t="shared" si="599"/>
        <v>277.96205065084473</v>
      </c>
      <c r="V590" s="354">
        <f t="shared" si="600"/>
        <v>7.3578545430785951</v>
      </c>
      <c r="W590" s="354">
        <f t="shared" si="601"/>
        <v>250.99165773112654</v>
      </c>
      <c r="X590" s="354">
        <f t="shared" si="602"/>
        <v>19.612538376639623</v>
      </c>
      <c r="Y590" s="374">
        <f t="shared" si="603"/>
        <v>40.74881154748703</v>
      </c>
      <c r="Z590" s="354">
        <f t="shared" si="604"/>
        <v>21.020683004661887</v>
      </c>
      <c r="AA590" s="354">
        <f t="shared" si="605"/>
        <v>19.728128542825139</v>
      </c>
      <c r="AB590" s="374">
        <f t="shared" si="606"/>
        <v>222.62688673419464</v>
      </c>
      <c r="AC590" s="354">
        <f t="shared" si="607"/>
        <v>63.179858282534418</v>
      </c>
      <c r="AD590" s="354">
        <f t="shared" si="608"/>
        <v>137.52851717741876</v>
      </c>
      <c r="AE590" s="354">
        <f t="shared" si="609"/>
        <v>21.91851127424145</v>
      </c>
      <c r="AF590" s="374">
        <f t="shared" si="610"/>
        <v>178.17925474041428</v>
      </c>
      <c r="AG590" s="354">
        <f t="shared" si="611"/>
        <v>11.450993105676854</v>
      </c>
      <c r="AH590" s="354">
        <f t="shared" si="612"/>
        <v>57.614549646652669</v>
      </c>
      <c r="AI590" s="354">
        <f t="shared" si="613"/>
        <v>0</v>
      </c>
      <c r="AJ590" s="354">
        <f t="shared" si="614"/>
        <v>109.11371198808477</v>
      </c>
      <c r="AK590" s="374">
        <f t="shared" si="615"/>
        <v>117.68615776635181</v>
      </c>
      <c r="AL590" s="354">
        <f t="shared" si="616"/>
        <v>33.717865401211348</v>
      </c>
      <c r="AM590" s="354">
        <f t="shared" si="617"/>
        <v>79.525687914240507</v>
      </c>
      <c r="AN590" s="354">
        <f t="shared" si="618"/>
        <v>4.4426044508999647</v>
      </c>
      <c r="AO590" s="374">
        <f t="shared" si="619"/>
        <v>68.239751450405961</v>
      </c>
      <c r="AP590" s="354">
        <f t="shared" si="620"/>
        <v>15.648092778491682</v>
      </c>
      <c r="AQ590" s="354">
        <f t="shared" si="621"/>
        <v>52.591658671914281</v>
      </c>
      <c r="AR590" s="374">
        <f t="shared" si="622"/>
        <v>124.48917536786929</v>
      </c>
      <c r="AS590" s="354">
        <f t="shared" si="623"/>
        <v>53.945385861658615</v>
      </c>
      <c r="AT590" s="354">
        <f t="shared" si="624"/>
        <v>70.543789506210686</v>
      </c>
      <c r="AU590" s="355" t="s">
        <v>396</v>
      </c>
      <c r="AV590" s="354" t="s">
        <v>404</v>
      </c>
      <c r="AW590" s="355" t="s">
        <v>405</v>
      </c>
      <c r="AX590" s="355">
        <v>103321</v>
      </c>
      <c r="AY590" s="350" t="s">
        <v>406</v>
      </c>
      <c r="AZ590" s="351">
        <v>45140</v>
      </c>
      <c r="BA590" s="351">
        <v>45139</v>
      </c>
      <c r="BB590" s="350" t="s">
        <v>407</v>
      </c>
    </row>
    <row r="591" spans="1:54" x14ac:dyDescent="0.25">
      <c r="A591" s="348" t="s">
        <v>1454</v>
      </c>
      <c r="B591" s="349">
        <v>5129</v>
      </c>
      <c r="C591" s="350" t="s">
        <v>1429</v>
      </c>
      <c r="D591" s="351">
        <v>45135</v>
      </c>
      <c r="E591" s="352">
        <v>3110</v>
      </c>
      <c r="F591" s="352">
        <v>1</v>
      </c>
      <c r="G591" s="351"/>
      <c r="H591" s="350" t="s">
        <v>437</v>
      </c>
      <c r="I591" s="350" t="s">
        <v>393</v>
      </c>
      <c r="J591" s="354">
        <v>598983.44999999995</v>
      </c>
      <c r="K591" s="350" t="s">
        <v>394</v>
      </c>
      <c r="L591" s="354">
        <v>3.0000799999999999E-4</v>
      </c>
      <c r="M591" s="354">
        <v>213.51</v>
      </c>
      <c r="N591" s="350" t="s">
        <v>395</v>
      </c>
      <c r="O591" s="354">
        <v>179.7</v>
      </c>
      <c r="P591" s="374">
        <f t="shared" si="594"/>
        <v>13.452866871174875</v>
      </c>
      <c r="Q591" s="354">
        <f t="shared" si="595"/>
        <v>1.2688105723752783</v>
      </c>
      <c r="R591" s="354">
        <f t="shared" si="596"/>
        <v>2.1388455943692102</v>
      </c>
      <c r="S591" s="354">
        <f t="shared" si="597"/>
        <v>1.9052550160472885</v>
      </c>
      <c r="T591" s="354">
        <f t="shared" si="598"/>
        <v>8.130451075090761</v>
      </c>
      <c r="U591" s="374">
        <f t="shared" si="599"/>
        <v>53.992191918105014</v>
      </c>
      <c r="V591" s="354">
        <f t="shared" si="600"/>
        <v>1.4292119865471034</v>
      </c>
      <c r="W591" s="354">
        <f t="shared" si="601"/>
        <v>48.753380982516958</v>
      </c>
      <c r="X591" s="354">
        <f t="shared" si="602"/>
        <v>3.8095989490409532</v>
      </c>
      <c r="Y591" s="374">
        <f t="shared" si="603"/>
        <v>7.9151727667682161</v>
      </c>
      <c r="Z591" s="354">
        <f t="shared" si="604"/>
        <v>4.083121233203868</v>
      </c>
      <c r="AA591" s="354">
        <f t="shared" si="605"/>
        <v>3.8320515335643481</v>
      </c>
      <c r="AB591" s="374">
        <f t="shared" si="606"/>
        <v>43.243721819355976</v>
      </c>
      <c r="AC591" s="354">
        <f t="shared" si="607"/>
        <v>12.272247329309694</v>
      </c>
      <c r="AD591" s="354">
        <f t="shared" si="608"/>
        <v>26.713956370191397</v>
      </c>
      <c r="AE591" s="354">
        <f t="shared" si="609"/>
        <v>4.2575181198548853</v>
      </c>
      <c r="AF591" s="374">
        <f t="shared" si="610"/>
        <v>34.610078948703908</v>
      </c>
      <c r="AG591" s="354">
        <f t="shared" si="611"/>
        <v>2.2242756375085881</v>
      </c>
      <c r="AH591" s="354">
        <f t="shared" si="612"/>
        <v>11.19122489747615</v>
      </c>
      <c r="AI591" s="354">
        <f t="shared" si="613"/>
        <v>0</v>
      </c>
      <c r="AJ591" s="354">
        <f t="shared" si="614"/>
        <v>21.194578413719171</v>
      </c>
      <c r="AK591" s="374">
        <f t="shared" si="615"/>
        <v>22.859716286259676</v>
      </c>
      <c r="AL591" s="354">
        <f t="shared" si="616"/>
        <v>6.5494604588948544</v>
      </c>
      <c r="AM591" s="354">
        <f t="shared" si="617"/>
        <v>15.447310862152573</v>
      </c>
      <c r="AN591" s="354">
        <f t="shared" si="618"/>
        <v>0.86294496521224839</v>
      </c>
      <c r="AO591" s="374">
        <f t="shared" si="619"/>
        <v>13.255096327455833</v>
      </c>
      <c r="AP591" s="354">
        <f t="shared" si="620"/>
        <v>3.039533009885242</v>
      </c>
      <c r="AQ591" s="354">
        <f t="shared" si="621"/>
        <v>10.215563317570592</v>
      </c>
      <c r="AR591" s="374">
        <f t="shared" si="622"/>
        <v>24.181155062176487</v>
      </c>
      <c r="AS591" s="354">
        <f t="shared" si="623"/>
        <v>10.478515393446747</v>
      </c>
      <c r="AT591" s="354">
        <f t="shared" si="624"/>
        <v>13.70263966872974</v>
      </c>
      <c r="AU591" s="355" t="s">
        <v>396</v>
      </c>
      <c r="AV591" s="354" t="s">
        <v>404</v>
      </c>
      <c r="AW591" s="355" t="s">
        <v>405</v>
      </c>
      <c r="AX591" s="355">
        <v>117427</v>
      </c>
      <c r="AY591" s="350" t="s">
        <v>406</v>
      </c>
      <c r="AZ591" s="351">
        <v>45140</v>
      </c>
      <c r="BA591" s="351">
        <v>45139</v>
      </c>
      <c r="BB591" s="350" t="s">
        <v>407</v>
      </c>
    </row>
    <row r="592" spans="1:54" x14ac:dyDescent="0.25">
      <c r="A592" s="348" t="s">
        <v>1454</v>
      </c>
      <c r="B592" s="349">
        <v>5129</v>
      </c>
      <c r="C592" s="350" t="s">
        <v>1429</v>
      </c>
      <c r="D592" s="351">
        <v>45135</v>
      </c>
      <c r="E592" s="352">
        <v>3110</v>
      </c>
      <c r="F592" s="352">
        <v>1</v>
      </c>
      <c r="G592" s="351"/>
      <c r="H592" s="350" t="s">
        <v>437</v>
      </c>
      <c r="I592" s="350" t="s">
        <v>393</v>
      </c>
      <c r="J592" s="354">
        <v>3194579.2</v>
      </c>
      <c r="K592" s="350" t="s">
        <v>394</v>
      </c>
      <c r="L592" s="354">
        <v>2.9999900000000001E-4</v>
      </c>
      <c r="M592" s="354">
        <v>1138.73</v>
      </c>
      <c r="N592" s="350" t="s">
        <v>395</v>
      </c>
      <c r="O592" s="354">
        <v>958.37</v>
      </c>
      <c r="P592" s="374">
        <f t="shared" si="594"/>
        <v>71.749253394281141</v>
      </c>
      <c r="Q592" s="354">
        <f t="shared" si="595"/>
        <v>6.7670491456180075</v>
      </c>
      <c r="R592" s="354">
        <f t="shared" si="596"/>
        <v>11.407276678731915</v>
      </c>
      <c r="S592" s="354">
        <f t="shared" si="597"/>
        <v>10.16144932051674</v>
      </c>
      <c r="T592" s="354">
        <f t="shared" si="598"/>
        <v>43.36278653336192</v>
      </c>
      <c r="U592" s="374">
        <f t="shared" si="599"/>
        <v>287.96088568640215</v>
      </c>
      <c r="V592" s="354">
        <f t="shared" si="600"/>
        <v>7.6225308671293286</v>
      </c>
      <c r="W592" s="354">
        <f t="shared" si="601"/>
        <v>260.02031533053037</v>
      </c>
      <c r="X592" s="354">
        <f t="shared" si="602"/>
        <v>20.318039488742468</v>
      </c>
      <c r="Y592" s="374">
        <f t="shared" si="603"/>
        <v>42.214625472820806</v>
      </c>
      <c r="Z592" s="354">
        <f t="shared" si="604"/>
        <v>21.77683781502618</v>
      </c>
      <c r="AA592" s="354">
        <f t="shared" si="605"/>
        <v>20.437787657794622</v>
      </c>
      <c r="AB592" s="374">
        <f t="shared" si="606"/>
        <v>230.63520840876413</v>
      </c>
      <c r="AC592" s="354">
        <f t="shared" si="607"/>
        <v>65.452560541917606</v>
      </c>
      <c r="AD592" s="354">
        <f t="shared" si="608"/>
        <v>142.47568515492506</v>
      </c>
      <c r="AE592" s="354">
        <f t="shared" si="609"/>
        <v>22.706962711921474</v>
      </c>
      <c r="AF592" s="374">
        <f t="shared" si="610"/>
        <v>184.58870873147677</v>
      </c>
      <c r="AG592" s="354">
        <f t="shared" si="611"/>
        <v>11.862907576695024</v>
      </c>
      <c r="AH592" s="354">
        <f t="shared" si="612"/>
        <v>59.687056941141016</v>
      </c>
      <c r="AI592" s="354">
        <f t="shared" si="613"/>
        <v>0</v>
      </c>
      <c r="AJ592" s="354">
        <f t="shared" si="614"/>
        <v>113.03874421364074</v>
      </c>
      <c r="AK592" s="374">
        <f t="shared" si="615"/>
        <v>121.91955752261009</v>
      </c>
      <c r="AL592" s="354">
        <f t="shared" si="616"/>
        <v>34.930762532702623</v>
      </c>
      <c r="AM592" s="354">
        <f t="shared" si="617"/>
        <v>82.38638142503396</v>
      </c>
      <c r="AN592" s="354">
        <f t="shared" si="618"/>
        <v>4.6024135648735118</v>
      </c>
      <c r="AO592" s="374">
        <f t="shared" si="619"/>
        <v>70.69446789828946</v>
      </c>
      <c r="AP592" s="354">
        <f t="shared" si="620"/>
        <v>16.210985079605742</v>
      </c>
      <c r="AQ592" s="354">
        <f t="shared" si="621"/>
        <v>54.483482818683719</v>
      </c>
      <c r="AR592" s="374">
        <f t="shared" si="622"/>
        <v>128.96729288535539</v>
      </c>
      <c r="AS592" s="354">
        <f t="shared" si="623"/>
        <v>55.885906205702845</v>
      </c>
      <c r="AT592" s="354">
        <f t="shared" si="624"/>
        <v>73.081386679652553</v>
      </c>
      <c r="AU592" s="355" t="s">
        <v>396</v>
      </c>
      <c r="AV592" s="354" t="s">
        <v>404</v>
      </c>
      <c r="AW592" s="355" t="s">
        <v>405</v>
      </c>
      <c r="AX592" s="355">
        <v>117872</v>
      </c>
      <c r="AY592" s="350" t="s">
        <v>406</v>
      </c>
      <c r="AZ592" s="351">
        <v>45140</v>
      </c>
      <c r="BA592" s="351">
        <v>45139</v>
      </c>
      <c r="BB592" s="350" t="s">
        <v>407</v>
      </c>
    </row>
    <row r="593" spans="1:54" x14ac:dyDescent="0.25">
      <c r="A593" s="348" t="s">
        <v>1454</v>
      </c>
      <c r="B593" s="349">
        <v>5129</v>
      </c>
      <c r="C593" s="350" t="s">
        <v>1429</v>
      </c>
      <c r="D593" s="351">
        <v>45135</v>
      </c>
      <c r="E593" s="352">
        <v>3110</v>
      </c>
      <c r="F593" s="352">
        <v>1</v>
      </c>
      <c r="G593" s="351"/>
      <c r="H593" s="350" t="s">
        <v>437</v>
      </c>
      <c r="I593" s="350" t="s">
        <v>393</v>
      </c>
      <c r="J593" s="354">
        <v>802216.5</v>
      </c>
      <c r="K593" s="350" t="s">
        <v>394</v>
      </c>
      <c r="L593" s="354">
        <v>2.9999399999999999E-4</v>
      </c>
      <c r="M593" s="354">
        <v>285.95999999999998</v>
      </c>
      <c r="N593" s="350" t="s">
        <v>395</v>
      </c>
      <c r="O593" s="354">
        <v>240.66</v>
      </c>
      <c r="P593" s="374">
        <f t="shared" si="594"/>
        <v>18.017806240837277</v>
      </c>
      <c r="Q593" s="354">
        <f t="shared" si="595"/>
        <v>1.699353994081938</v>
      </c>
      <c r="R593" s="354">
        <f t="shared" si="596"/>
        <v>2.8646165807963064</v>
      </c>
      <c r="S593" s="354">
        <f t="shared" si="597"/>
        <v>2.5517620925899611</v>
      </c>
      <c r="T593" s="354">
        <f t="shared" si="598"/>
        <v>10.889343775153174</v>
      </c>
      <c r="U593" s="374">
        <f t="shared" si="599"/>
        <v>72.313274323925384</v>
      </c>
      <c r="V593" s="354">
        <f t="shared" si="600"/>
        <v>1.9141841584610073</v>
      </c>
      <c r="W593" s="354">
        <f t="shared" si="601"/>
        <v>65.296786219664412</v>
      </c>
      <c r="X593" s="354">
        <f t="shared" si="602"/>
        <v>5.1023039457999664</v>
      </c>
      <c r="Y593" s="374">
        <f t="shared" si="603"/>
        <v>10.60101542965219</v>
      </c>
      <c r="Z593" s="354">
        <f t="shared" si="604"/>
        <v>5.4686401004495249</v>
      </c>
      <c r="AA593" s="354">
        <f t="shared" si="605"/>
        <v>5.1323753292026648</v>
      </c>
      <c r="AB593" s="374">
        <f t="shared" si="606"/>
        <v>57.917543400604345</v>
      </c>
      <c r="AC593" s="354">
        <f t="shared" si="607"/>
        <v>16.436568995781929</v>
      </c>
      <c r="AD593" s="354">
        <f t="shared" si="608"/>
        <v>35.778759606669155</v>
      </c>
      <c r="AE593" s="354">
        <f t="shared" si="609"/>
        <v>5.7022147981532614</v>
      </c>
      <c r="AF593" s="374">
        <f t="shared" si="610"/>
        <v>46.354260578761505</v>
      </c>
      <c r="AG593" s="354">
        <f t="shared" si="611"/>
        <v>2.9790354611116845</v>
      </c>
      <c r="AH593" s="354">
        <f t="shared" si="612"/>
        <v>14.98872498563196</v>
      </c>
      <c r="AI593" s="354">
        <f t="shared" si="613"/>
        <v>0</v>
      </c>
      <c r="AJ593" s="354">
        <f t="shared" si="614"/>
        <v>28.386500132017861</v>
      </c>
      <c r="AK593" s="374">
        <f t="shared" si="615"/>
        <v>30.616666522499258</v>
      </c>
      <c r="AL593" s="354">
        <f t="shared" si="616"/>
        <v>8.7718781922419211</v>
      </c>
      <c r="AM593" s="354">
        <f t="shared" si="617"/>
        <v>20.689021657726336</v>
      </c>
      <c r="AN593" s="354">
        <f t="shared" si="618"/>
        <v>1.1557666725310034</v>
      </c>
      <c r="AO593" s="374">
        <f t="shared" si="619"/>
        <v>17.752926541142195</v>
      </c>
      <c r="AP593" s="354">
        <f t="shared" si="620"/>
        <v>4.0709327877232155</v>
      </c>
      <c r="AQ593" s="354">
        <f t="shared" si="621"/>
        <v>13.681993753418979</v>
      </c>
      <c r="AR593" s="374">
        <f t="shared" si="622"/>
        <v>32.386506962577805</v>
      </c>
      <c r="AS593" s="354">
        <f t="shared" si="623"/>
        <v>14.034172928247068</v>
      </c>
      <c r="AT593" s="354">
        <f t="shared" si="624"/>
        <v>18.352334034330738</v>
      </c>
      <c r="AU593" s="355" t="s">
        <v>396</v>
      </c>
      <c r="AV593" s="354" t="s">
        <v>404</v>
      </c>
      <c r="AW593" s="355" t="s">
        <v>405</v>
      </c>
      <c r="AX593" s="355">
        <v>103328</v>
      </c>
      <c r="AY593" s="350" t="s">
        <v>406</v>
      </c>
      <c r="AZ593" s="351">
        <v>45140</v>
      </c>
      <c r="BA593" s="351">
        <v>45139</v>
      </c>
      <c r="BB593" s="350" t="s">
        <v>407</v>
      </c>
    </row>
    <row r="594" spans="1:54" x14ac:dyDescent="0.25">
      <c r="A594" s="348" t="s">
        <v>1454</v>
      </c>
      <c r="B594" s="349">
        <v>5129</v>
      </c>
      <c r="C594" s="350" t="s">
        <v>1429</v>
      </c>
      <c r="D594" s="351">
        <v>45135</v>
      </c>
      <c r="E594" s="352">
        <v>3110</v>
      </c>
      <c r="F594" s="352">
        <v>1</v>
      </c>
      <c r="G594" s="351"/>
      <c r="H594" s="350" t="s">
        <v>437</v>
      </c>
      <c r="I594" s="350" t="s">
        <v>393</v>
      </c>
      <c r="J594" s="354">
        <v>684495.8</v>
      </c>
      <c r="K594" s="350" t="s">
        <v>394</v>
      </c>
      <c r="L594" s="354">
        <v>3.0000200000000001E-4</v>
      </c>
      <c r="M594" s="354">
        <v>243.99</v>
      </c>
      <c r="N594" s="350" t="s">
        <v>395</v>
      </c>
      <c r="O594" s="354">
        <v>205.35</v>
      </c>
      <c r="P594" s="374">
        <f t="shared" si="594"/>
        <v>15.373354821310281</v>
      </c>
      <c r="Q594" s="354">
        <f t="shared" si="595"/>
        <v>1.4499418835363411</v>
      </c>
      <c r="R594" s="354">
        <f t="shared" si="596"/>
        <v>2.4441803033588294</v>
      </c>
      <c r="S594" s="354">
        <f t="shared" si="597"/>
        <v>2.1772430863443306</v>
      </c>
      <c r="T594" s="354">
        <f t="shared" si="598"/>
        <v>9.2911280867940373</v>
      </c>
      <c r="U594" s="374">
        <f t="shared" si="599"/>
        <v>61.69994335674415</v>
      </c>
      <c r="V594" s="354">
        <f t="shared" si="600"/>
        <v>1.6332416870293092</v>
      </c>
      <c r="W594" s="354">
        <f t="shared" si="601"/>
        <v>55.713256643362435</v>
      </c>
      <c r="X594" s="354">
        <f t="shared" si="602"/>
        <v>4.3534450263524063</v>
      </c>
      <c r="Y594" s="374">
        <f t="shared" si="603"/>
        <v>9.0451173404701279</v>
      </c>
      <c r="Z594" s="354">
        <f t="shared" si="604"/>
        <v>4.6660144709353739</v>
      </c>
      <c r="AA594" s="354">
        <f t="shared" si="605"/>
        <v>4.379102869534754</v>
      </c>
      <c r="AB594" s="374">
        <f t="shared" si="606"/>
        <v>49.41705628169484</v>
      </c>
      <c r="AC594" s="354">
        <f t="shared" si="607"/>
        <v>14.024193835784143</v>
      </c>
      <c r="AD594" s="354">
        <f t="shared" si="608"/>
        <v>30.527554750423864</v>
      </c>
      <c r="AE594" s="354">
        <f t="shared" si="609"/>
        <v>4.8653076954868322</v>
      </c>
      <c r="AF594" s="374">
        <f t="shared" si="610"/>
        <v>39.550902359113238</v>
      </c>
      <c r="AG594" s="354">
        <f t="shared" si="611"/>
        <v>2.5418060643329139</v>
      </c>
      <c r="AH594" s="354">
        <f t="shared" si="612"/>
        <v>12.788848122969446</v>
      </c>
      <c r="AI594" s="354">
        <f t="shared" si="613"/>
        <v>0</v>
      </c>
      <c r="AJ594" s="354">
        <f t="shared" si="614"/>
        <v>24.22024817181088</v>
      </c>
      <c r="AK594" s="374">
        <f t="shared" si="615"/>
        <v>26.123095764528586</v>
      </c>
      <c r="AL594" s="354">
        <f t="shared" si="616"/>
        <v>7.484440341743972</v>
      </c>
      <c r="AM594" s="354">
        <f t="shared" si="617"/>
        <v>17.652519213416731</v>
      </c>
      <c r="AN594" s="354">
        <f t="shared" si="618"/>
        <v>0.98613620936788193</v>
      </c>
      <c r="AO594" s="374">
        <f t="shared" si="619"/>
        <v>15.147351191681649</v>
      </c>
      <c r="AP594" s="354">
        <f t="shared" si="620"/>
        <v>3.4734469536878847</v>
      </c>
      <c r="AQ594" s="354">
        <f t="shared" si="621"/>
        <v>11.673904237993765</v>
      </c>
      <c r="AR594" s="374">
        <f t="shared" si="622"/>
        <v>27.633178884457127</v>
      </c>
      <c r="AS594" s="354">
        <f t="shared" si="623"/>
        <v>11.974394505395869</v>
      </c>
      <c r="AT594" s="354">
        <f t="shared" si="624"/>
        <v>15.65878437906126</v>
      </c>
      <c r="AU594" s="355" t="s">
        <v>396</v>
      </c>
      <c r="AV594" s="354" t="s">
        <v>404</v>
      </c>
      <c r="AW594" s="355" t="s">
        <v>405</v>
      </c>
      <c r="AX594" s="355">
        <v>117293</v>
      </c>
      <c r="AY594" s="350" t="s">
        <v>406</v>
      </c>
      <c r="AZ594" s="351">
        <v>45140</v>
      </c>
      <c r="BA594" s="351">
        <v>45139</v>
      </c>
      <c r="BB594" s="350" t="s">
        <v>407</v>
      </c>
    </row>
    <row r="595" spans="1:54" x14ac:dyDescent="0.25">
      <c r="A595" s="348" t="s">
        <v>1454</v>
      </c>
      <c r="B595" s="349">
        <v>5129</v>
      </c>
      <c r="C595" s="350" t="s">
        <v>1429</v>
      </c>
      <c r="D595" s="351">
        <v>45135</v>
      </c>
      <c r="E595" s="352">
        <v>3120</v>
      </c>
      <c r="F595" s="352">
        <v>1</v>
      </c>
      <c r="G595" s="351"/>
      <c r="H595" s="350" t="s">
        <v>438</v>
      </c>
      <c r="I595" s="350" t="s">
        <v>393</v>
      </c>
      <c r="J595" s="354">
        <v>4410</v>
      </c>
      <c r="K595" s="350" t="s">
        <v>394</v>
      </c>
      <c r="L595" s="354">
        <v>2.9932E-4</v>
      </c>
      <c r="M595" s="354">
        <v>1.57</v>
      </c>
      <c r="N595" s="350" t="s">
        <v>395</v>
      </c>
      <c r="O595" s="354">
        <v>1.32</v>
      </c>
      <c r="P595" s="374">
        <f t="shared" si="594"/>
        <v>9.8922771709730489E-2</v>
      </c>
      <c r="Q595" s="354">
        <f t="shared" si="595"/>
        <v>9.3299264607240289E-3</v>
      </c>
      <c r="R595" s="354">
        <f t="shared" si="596"/>
        <v>1.5727542424990214E-2</v>
      </c>
      <c r="S595" s="354">
        <f t="shared" si="597"/>
        <v>1.400988419837124E-2</v>
      </c>
      <c r="T595" s="354">
        <f t="shared" si="598"/>
        <v>5.978552848996533E-2</v>
      </c>
      <c r="U595" s="374">
        <f t="shared" si="599"/>
        <v>0.3970200052054933</v>
      </c>
      <c r="V595" s="354">
        <f t="shared" si="600"/>
        <v>1.0509403863420693E-2</v>
      </c>
      <c r="W595" s="354">
        <f t="shared" si="601"/>
        <v>0.35849753239919269</v>
      </c>
      <c r="X595" s="354">
        <f t="shared" si="602"/>
        <v>2.8013068942879943E-2</v>
      </c>
      <c r="Y595" s="374">
        <f t="shared" si="603"/>
        <v>5.8202525613910823E-2</v>
      </c>
      <c r="Z595" s="354">
        <f t="shared" si="604"/>
        <v>3.0024356405461441E-2</v>
      </c>
      <c r="AA595" s="354">
        <f t="shared" si="605"/>
        <v>2.8178169208449379E-2</v>
      </c>
      <c r="AB595" s="374">
        <f t="shared" si="606"/>
        <v>0.31798343523202138</v>
      </c>
      <c r="AC595" s="354">
        <f t="shared" si="607"/>
        <v>9.0241339080212729E-2</v>
      </c>
      <c r="AD595" s="354">
        <f t="shared" si="608"/>
        <v>0.19643534963795839</v>
      </c>
      <c r="AE595" s="354">
        <f t="shared" si="609"/>
        <v>3.1306746513850264E-2</v>
      </c>
      <c r="AF595" s="374">
        <f t="shared" si="610"/>
        <v>0.25449779377764575</v>
      </c>
      <c r="AG595" s="354">
        <f t="shared" si="611"/>
        <v>1.6355733927630949E-2</v>
      </c>
      <c r="AH595" s="354">
        <f t="shared" si="612"/>
        <v>8.2292272441747735E-2</v>
      </c>
      <c r="AI595" s="354">
        <f t="shared" si="613"/>
        <v>0</v>
      </c>
      <c r="AJ595" s="354">
        <f t="shared" si="614"/>
        <v>0.15584978740826708</v>
      </c>
      <c r="AK595" s="374">
        <f t="shared" si="615"/>
        <v>0.16809402168248649</v>
      </c>
      <c r="AL595" s="354">
        <f t="shared" si="616"/>
        <v>4.816005302077149E-2</v>
      </c>
      <c r="AM595" s="354">
        <f t="shared" si="617"/>
        <v>0.11358848790960396</v>
      </c>
      <c r="AN595" s="354">
        <f t="shared" si="618"/>
        <v>6.3454807521110485E-3</v>
      </c>
      <c r="AO595" s="374">
        <f t="shared" si="619"/>
        <v>9.7468508426329717E-2</v>
      </c>
      <c r="AP595" s="354">
        <f t="shared" si="620"/>
        <v>2.2350554191934009E-2</v>
      </c>
      <c r="AQ595" s="354">
        <f t="shared" si="621"/>
        <v>7.5117954234395712E-2</v>
      </c>
      <c r="AR595" s="374">
        <f t="shared" si="622"/>
        <v>0.17781093835238201</v>
      </c>
      <c r="AS595" s="354">
        <f t="shared" si="623"/>
        <v>7.7051515937011816E-2</v>
      </c>
      <c r="AT595" s="354">
        <f t="shared" si="624"/>
        <v>0.1007594224153702</v>
      </c>
      <c r="AU595" s="355" t="s">
        <v>396</v>
      </c>
      <c r="AV595" s="354" t="s">
        <v>404</v>
      </c>
      <c r="AW595" s="355" t="s">
        <v>405</v>
      </c>
      <c r="AX595" s="355">
        <v>103265</v>
      </c>
      <c r="AY595" s="350" t="s">
        <v>406</v>
      </c>
      <c r="AZ595" s="351">
        <v>45140</v>
      </c>
      <c r="BA595" s="351">
        <v>45139</v>
      </c>
      <c r="BB595" s="350" t="s">
        <v>407</v>
      </c>
    </row>
    <row r="596" spans="1:54" x14ac:dyDescent="0.25">
      <c r="A596" s="348" t="s">
        <v>1454</v>
      </c>
      <c r="B596" s="349">
        <v>5129</v>
      </c>
      <c r="C596" s="350" t="s">
        <v>1429</v>
      </c>
      <c r="D596" s="351">
        <v>45135</v>
      </c>
      <c r="E596" s="352">
        <v>3120</v>
      </c>
      <c r="F596" s="352">
        <v>1</v>
      </c>
      <c r="G596" s="351"/>
      <c r="H596" s="350" t="s">
        <v>438</v>
      </c>
      <c r="I596" s="350" t="s">
        <v>393</v>
      </c>
      <c r="J596" s="354">
        <v>29400</v>
      </c>
      <c r="K596" s="350" t="s">
        <v>394</v>
      </c>
      <c r="L596" s="354">
        <v>2.9999999999999997E-4</v>
      </c>
      <c r="M596" s="354">
        <v>10.48</v>
      </c>
      <c r="N596" s="350" t="s">
        <v>395</v>
      </c>
      <c r="O596" s="354">
        <v>8.82</v>
      </c>
      <c r="P596" s="374">
        <f t="shared" si="594"/>
        <v>0.66032525319616275</v>
      </c>
      <c r="Q596" s="354">
        <f t="shared" si="595"/>
        <v>6.2278744782412625E-2</v>
      </c>
      <c r="R596" s="354">
        <f t="shared" si="596"/>
        <v>0.10498385007254615</v>
      </c>
      <c r="S596" s="354">
        <f t="shared" si="597"/>
        <v>9.3518207897408029E-2</v>
      </c>
      <c r="T596" s="354">
        <f t="shared" si="598"/>
        <v>0.39907792265913161</v>
      </c>
      <c r="U596" s="374">
        <f t="shared" si="599"/>
        <v>2.6501717544927197</v>
      </c>
      <c r="V596" s="354">
        <f t="shared" si="600"/>
        <v>7.0151944260285912E-2</v>
      </c>
      <c r="W596" s="354">
        <f t="shared" si="601"/>
        <v>2.3930281143589425</v>
      </c>
      <c r="X596" s="354">
        <f t="shared" si="602"/>
        <v>0.1869916958734916</v>
      </c>
      <c r="Y596" s="374">
        <f t="shared" si="603"/>
        <v>0.38851112639094615</v>
      </c>
      <c r="Z596" s="354">
        <f t="shared" si="604"/>
        <v>0.20041735995492735</v>
      </c>
      <c r="AA596" s="354">
        <f t="shared" si="605"/>
        <v>0.18809376643601877</v>
      </c>
      <c r="AB596" s="374">
        <f t="shared" si="606"/>
        <v>2.1225900644787159</v>
      </c>
      <c r="AC596" s="354">
        <f t="shared" si="607"/>
        <v>0.60237530800040084</v>
      </c>
      <c r="AD596" s="354">
        <f t="shared" si="608"/>
        <v>1.3112372383476456</v>
      </c>
      <c r="AE596" s="354">
        <f t="shared" si="609"/>
        <v>0.20897751813066928</v>
      </c>
      <c r="AF596" s="374">
        <f t="shared" si="610"/>
        <v>1.6988132985921829</v>
      </c>
      <c r="AG596" s="354">
        <f t="shared" si="611"/>
        <v>0.10917712838316708</v>
      </c>
      <c r="AH596" s="354">
        <f t="shared" si="612"/>
        <v>0.54931402241370453</v>
      </c>
      <c r="AI596" s="354">
        <f t="shared" si="613"/>
        <v>0</v>
      </c>
      <c r="AJ596" s="354">
        <f t="shared" si="614"/>
        <v>1.0403221477953113</v>
      </c>
      <c r="AK596" s="374">
        <f t="shared" si="615"/>
        <v>1.1220543612945595</v>
      </c>
      <c r="AL596" s="354">
        <f t="shared" si="616"/>
        <v>0.3214760227119014</v>
      </c>
      <c r="AM596" s="354">
        <f t="shared" si="617"/>
        <v>0.75822124413544545</v>
      </c>
      <c r="AN596" s="354">
        <f t="shared" si="618"/>
        <v>4.2357094447212605E-2</v>
      </c>
      <c r="AO596" s="374">
        <f t="shared" si="619"/>
        <v>0.6506178142088761</v>
      </c>
      <c r="AP596" s="354">
        <f t="shared" si="620"/>
        <v>0.14919350823660407</v>
      </c>
      <c r="AQ596" s="354">
        <f t="shared" si="621"/>
        <v>0.50142430597227206</v>
      </c>
      <c r="AR596" s="374">
        <f t="shared" si="622"/>
        <v>1.1869163273458367</v>
      </c>
      <c r="AS596" s="354">
        <f t="shared" si="623"/>
        <v>0.51433113822922549</v>
      </c>
      <c r="AT596" s="354">
        <f t="shared" si="624"/>
        <v>0.67258518911661136</v>
      </c>
      <c r="AU596" s="355" t="s">
        <v>396</v>
      </c>
      <c r="AV596" s="354" t="s">
        <v>404</v>
      </c>
      <c r="AW596" s="355" t="s">
        <v>405</v>
      </c>
      <c r="AX596" s="355">
        <v>117871</v>
      </c>
      <c r="AY596" s="350" t="s">
        <v>406</v>
      </c>
      <c r="AZ596" s="351">
        <v>45140</v>
      </c>
      <c r="BA596" s="351">
        <v>45139</v>
      </c>
      <c r="BB596" s="350" t="s">
        <v>407</v>
      </c>
    </row>
    <row r="597" spans="1:54" x14ac:dyDescent="0.25">
      <c r="A597" s="348" t="s">
        <v>1454</v>
      </c>
      <c r="B597" s="349">
        <v>5129</v>
      </c>
      <c r="C597" s="350" t="s">
        <v>1429</v>
      </c>
      <c r="D597" s="351">
        <v>45135</v>
      </c>
      <c r="E597" s="352">
        <v>3120</v>
      </c>
      <c r="F597" s="352">
        <v>1</v>
      </c>
      <c r="G597" s="351"/>
      <c r="H597" s="350" t="s">
        <v>438</v>
      </c>
      <c r="I597" s="350" t="s">
        <v>393</v>
      </c>
      <c r="J597" s="354">
        <v>23520</v>
      </c>
      <c r="K597" s="350" t="s">
        <v>394</v>
      </c>
      <c r="L597" s="354">
        <v>3.0016999999999999E-4</v>
      </c>
      <c r="M597" s="354">
        <v>8.3800000000000008</v>
      </c>
      <c r="N597" s="350" t="s">
        <v>395</v>
      </c>
      <c r="O597" s="354">
        <v>7.06</v>
      </c>
      <c r="P597" s="374">
        <f t="shared" si="594"/>
        <v>0.52800817001754241</v>
      </c>
      <c r="Q597" s="354">
        <f t="shared" si="595"/>
        <v>4.9799225312654377E-2</v>
      </c>
      <c r="R597" s="354">
        <f t="shared" si="596"/>
        <v>8.3947009886253518E-2</v>
      </c>
      <c r="S597" s="354">
        <f t="shared" si="597"/>
        <v>7.4778872345446501E-2</v>
      </c>
      <c r="T597" s="354">
        <f t="shared" si="598"/>
        <v>0.31911001830949648</v>
      </c>
      <c r="U597" s="374">
        <f t="shared" si="599"/>
        <v>2.1191258876573467</v>
      </c>
      <c r="V597" s="354">
        <f t="shared" si="600"/>
        <v>5.6094779856984349E-2</v>
      </c>
      <c r="W597" s="354">
        <f t="shared" si="601"/>
        <v>1.9135091219778568</v>
      </c>
      <c r="X597" s="354">
        <f t="shared" si="602"/>
        <v>0.1495219858225057</v>
      </c>
      <c r="Y597" s="374">
        <f t="shared" si="603"/>
        <v>0.31066061442329473</v>
      </c>
      <c r="Z597" s="354">
        <f t="shared" si="604"/>
        <v>0.16025739278838658</v>
      </c>
      <c r="AA597" s="354">
        <f t="shared" si="605"/>
        <v>0.15040322163490816</v>
      </c>
      <c r="AB597" s="374">
        <f t="shared" si="606"/>
        <v>1.6972619027034008</v>
      </c>
      <c r="AC597" s="354">
        <f t="shared" si="607"/>
        <v>0.48167033216062594</v>
      </c>
      <c r="AD597" s="354">
        <f t="shared" si="608"/>
        <v>1.0484893184497397</v>
      </c>
      <c r="AE597" s="354">
        <f t="shared" si="609"/>
        <v>0.1671022520930352</v>
      </c>
      <c r="AF597" s="374">
        <f t="shared" si="610"/>
        <v>1.3584022368513831</v>
      </c>
      <c r="AG597" s="354">
        <f t="shared" si="611"/>
        <v>8.7300032046845444E-2</v>
      </c>
      <c r="AH597" s="354">
        <f t="shared" si="612"/>
        <v>0.43924155609034782</v>
      </c>
      <c r="AI597" s="354">
        <f t="shared" si="613"/>
        <v>0</v>
      </c>
      <c r="AJ597" s="354">
        <f t="shared" si="614"/>
        <v>0.83186064871418997</v>
      </c>
      <c r="AK597" s="374">
        <f t="shared" si="615"/>
        <v>0.89721522401225284</v>
      </c>
      <c r="AL597" s="354">
        <f t="shared" si="616"/>
        <v>0.25705811739749374</v>
      </c>
      <c r="AM597" s="354">
        <f t="shared" si="617"/>
        <v>0.60628759788693076</v>
      </c>
      <c r="AN597" s="354">
        <f t="shared" si="618"/>
        <v>3.3869508727828401E-2</v>
      </c>
      <c r="AO597" s="374">
        <f t="shared" si="619"/>
        <v>0.52024592395709757</v>
      </c>
      <c r="AP597" s="354">
        <f t="shared" si="620"/>
        <v>0.11929786250217007</v>
      </c>
      <c r="AQ597" s="354">
        <f t="shared" si="621"/>
        <v>0.40094806145492751</v>
      </c>
      <c r="AR597" s="374">
        <f t="shared" si="622"/>
        <v>0.94908004037768245</v>
      </c>
      <c r="AS597" s="354">
        <f t="shared" si="623"/>
        <v>0.41126860098863638</v>
      </c>
      <c r="AT597" s="354">
        <f t="shared" si="624"/>
        <v>0.53781143938904608</v>
      </c>
      <c r="AU597" s="355" t="s">
        <v>396</v>
      </c>
      <c r="AV597" s="354" t="s">
        <v>404</v>
      </c>
      <c r="AW597" s="355" t="s">
        <v>405</v>
      </c>
      <c r="AX597" s="355">
        <v>103321</v>
      </c>
      <c r="AY597" s="350" t="s">
        <v>406</v>
      </c>
      <c r="AZ597" s="351">
        <v>45140</v>
      </c>
      <c r="BA597" s="351">
        <v>45139</v>
      </c>
      <c r="BB597" s="350" t="s">
        <v>407</v>
      </c>
    </row>
    <row r="598" spans="1:54" x14ac:dyDescent="0.25">
      <c r="A598" s="348" t="s">
        <v>1454</v>
      </c>
      <c r="B598" s="349">
        <v>5129</v>
      </c>
      <c r="C598" s="350" t="s">
        <v>1429</v>
      </c>
      <c r="D598" s="351">
        <v>45135</v>
      </c>
      <c r="E598" s="352">
        <v>3120</v>
      </c>
      <c r="F598" s="352">
        <v>1</v>
      </c>
      <c r="G598" s="351"/>
      <c r="H598" s="350" t="s">
        <v>438</v>
      </c>
      <c r="I598" s="350" t="s">
        <v>393</v>
      </c>
      <c r="J598" s="354">
        <v>4410</v>
      </c>
      <c r="K598" s="350" t="s">
        <v>394</v>
      </c>
      <c r="L598" s="354">
        <v>2.9932E-4</v>
      </c>
      <c r="M598" s="354">
        <v>1.57</v>
      </c>
      <c r="N598" s="350" t="s">
        <v>395</v>
      </c>
      <c r="O598" s="354">
        <v>1.32</v>
      </c>
      <c r="P598" s="374">
        <f t="shared" si="594"/>
        <v>9.8922771709730489E-2</v>
      </c>
      <c r="Q598" s="354">
        <f t="shared" si="595"/>
        <v>9.3299264607240289E-3</v>
      </c>
      <c r="R598" s="354">
        <f t="shared" si="596"/>
        <v>1.5727542424990214E-2</v>
      </c>
      <c r="S598" s="354">
        <f t="shared" si="597"/>
        <v>1.400988419837124E-2</v>
      </c>
      <c r="T598" s="354">
        <f t="shared" si="598"/>
        <v>5.978552848996533E-2</v>
      </c>
      <c r="U598" s="374">
        <f t="shared" si="599"/>
        <v>0.3970200052054933</v>
      </c>
      <c r="V598" s="354">
        <f t="shared" si="600"/>
        <v>1.0509403863420693E-2</v>
      </c>
      <c r="W598" s="354">
        <f t="shared" si="601"/>
        <v>0.35849753239919269</v>
      </c>
      <c r="X598" s="354">
        <f t="shared" si="602"/>
        <v>2.8013068942879943E-2</v>
      </c>
      <c r="Y598" s="374">
        <f t="shared" si="603"/>
        <v>5.8202525613910823E-2</v>
      </c>
      <c r="Z598" s="354">
        <f t="shared" si="604"/>
        <v>3.0024356405461441E-2</v>
      </c>
      <c r="AA598" s="354">
        <f t="shared" si="605"/>
        <v>2.8178169208449379E-2</v>
      </c>
      <c r="AB598" s="374">
        <f t="shared" si="606"/>
        <v>0.31798343523202138</v>
      </c>
      <c r="AC598" s="354">
        <f t="shared" si="607"/>
        <v>9.0241339080212729E-2</v>
      </c>
      <c r="AD598" s="354">
        <f t="shared" si="608"/>
        <v>0.19643534963795839</v>
      </c>
      <c r="AE598" s="354">
        <f t="shared" si="609"/>
        <v>3.1306746513850264E-2</v>
      </c>
      <c r="AF598" s="374">
        <f t="shared" si="610"/>
        <v>0.25449779377764575</v>
      </c>
      <c r="AG598" s="354">
        <f t="shared" si="611"/>
        <v>1.6355733927630949E-2</v>
      </c>
      <c r="AH598" s="354">
        <f t="shared" si="612"/>
        <v>8.2292272441747735E-2</v>
      </c>
      <c r="AI598" s="354">
        <f t="shared" si="613"/>
        <v>0</v>
      </c>
      <c r="AJ598" s="354">
        <f t="shared" si="614"/>
        <v>0.15584978740826708</v>
      </c>
      <c r="AK598" s="374">
        <f t="shared" si="615"/>
        <v>0.16809402168248649</v>
      </c>
      <c r="AL598" s="354">
        <f t="shared" si="616"/>
        <v>4.816005302077149E-2</v>
      </c>
      <c r="AM598" s="354">
        <f t="shared" si="617"/>
        <v>0.11358848790960396</v>
      </c>
      <c r="AN598" s="354">
        <f t="shared" si="618"/>
        <v>6.3454807521110485E-3</v>
      </c>
      <c r="AO598" s="374">
        <f t="shared" si="619"/>
        <v>9.7468508426329717E-2</v>
      </c>
      <c r="AP598" s="354">
        <f t="shared" si="620"/>
        <v>2.2350554191934009E-2</v>
      </c>
      <c r="AQ598" s="354">
        <f t="shared" si="621"/>
        <v>7.5117954234395712E-2</v>
      </c>
      <c r="AR598" s="374">
        <f t="shared" si="622"/>
        <v>0.17781093835238201</v>
      </c>
      <c r="AS598" s="354">
        <f t="shared" si="623"/>
        <v>7.7051515937011816E-2</v>
      </c>
      <c r="AT598" s="354">
        <f t="shared" si="624"/>
        <v>0.1007594224153702</v>
      </c>
      <c r="AU598" s="355" t="s">
        <v>396</v>
      </c>
      <c r="AV598" s="354" t="s">
        <v>404</v>
      </c>
      <c r="AW598" s="355" t="s">
        <v>405</v>
      </c>
      <c r="AX598" s="355">
        <v>117427</v>
      </c>
      <c r="AY598" s="350" t="s">
        <v>406</v>
      </c>
      <c r="AZ598" s="351">
        <v>45140</v>
      </c>
      <c r="BA598" s="351">
        <v>45139</v>
      </c>
      <c r="BB598" s="350" t="s">
        <v>407</v>
      </c>
    </row>
    <row r="599" spans="1:54" x14ac:dyDescent="0.25">
      <c r="A599" s="348" t="s">
        <v>1454</v>
      </c>
      <c r="B599" s="349">
        <v>5129</v>
      </c>
      <c r="C599" s="350" t="s">
        <v>1429</v>
      </c>
      <c r="D599" s="351">
        <v>45135</v>
      </c>
      <c r="E599" s="352">
        <v>3120</v>
      </c>
      <c r="F599" s="352">
        <v>1</v>
      </c>
      <c r="G599" s="351"/>
      <c r="H599" s="350" t="s">
        <v>438</v>
      </c>
      <c r="I599" s="350" t="s">
        <v>393</v>
      </c>
      <c r="J599" s="354">
        <v>23520</v>
      </c>
      <c r="K599" s="350" t="s">
        <v>394</v>
      </c>
      <c r="L599" s="354">
        <v>3.0016999999999999E-4</v>
      </c>
      <c r="M599" s="354">
        <v>8.3800000000000008</v>
      </c>
      <c r="N599" s="350" t="s">
        <v>395</v>
      </c>
      <c r="O599" s="354">
        <v>7.06</v>
      </c>
      <c r="P599" s="374">
        <f t="shared" si="594"/>
        <v>0.52800817001754241</v>
      </c>
      <c r="Q599" s="354">
        <f t="shared" si="595"/>
        <v>4.9799225312654377E-2</v>
      </c>
      <c r="R599" s="354">
        <f t="shared" si="596"/>
        <v>8.3947009886253518E-2</v>
      </c>
      <c r="S599" s="354">
        <f t="shared" si="597"/>
        <v>7.4778872345446501E-2</v>
      </c>
      <c r="T599" s="354">
        <f t="shared" si="598"/>
        <v>0.31911001830949648</v>
      </c>
      <c r="U599" s="374">
        <f t="shared" si="599"/>
        <v>2.1191258876573467</v>
      </c>
      <c r="V599" s="354">
        <f t="shared" si="600"/>
        <v>5.6094779856984349E-2</v>
      </c>
      <c r="W599" s="354">
        <f t="shared" si="601"/>
        <v>1.9135091219778568</v>
      </c>
      <c r="X599" s="354">
        <f t="shared" si="602"/>
        <v>0.1495219858225057</v>
      </c>
      <c r="Y599" s="374">
        <f t="shared" si="603"/>
        <v>0.31066061442329473</v>
      </c>
      <c r="Z599" s="354">
        <f t="shared" si="604"/>
        <v>0.16025739278838658</v>
      </c>
      <c r="AA599" s="354">
        <f t="shared" si="605"/>
        <v>0.15040322163490816</v>
      </c>
      <c r="AB599" s="374">
        <f t="shared" si="606"/>
        <v>1.6972619027034008</v>
      </c>
      <c r="AC599" s="354">
        <f t="shared" si="607"/>
        <v>0.48167033216062594</v>
      </c>
      <c r="AD599" s="354">
        <f t="shared" si="608"/>
        <v>1.0484893184497397</v>
      </c>
      <c r="AE599" s="354">
        <f t="shared" si="609"/>
        <v>0.1671022520930352</v>
      </c>
      <c r="AF599" s="374">
        <f t="shared" si="610"/>
        <v>1.3584022368513831</v>
      </c>
      <c r="AG599" s="354">
        <f t="shared" si="611"/>
        <v>8.7300032046845444E-2</v>
      </c>
      <c r="AH599" s="354">
        <f t="shared" si="612"/>
        <v>0.43924155609034782</v>
      </c>
      <c r="AI599" s="354">
        <f t="shared" si="613"/>
        <v>0</v>
      </c>
      <c r="AJ599" s="354">
        <f t="shared" si="614"/>
        <v>0.83186064871418997</v>
      </c>
      <c r="AK599" s="374">
        <f t="shared" si="615"/>
        <v>0.89721522401225284</v>
      </c>
      <c r="AL599" s="354">
        <f t="shared" si="616"/>
        <v>0.25705811739749374</v>
      </c>
      <c r="AM599" s="354">
        <f t="shared" si="617"/>
        <v>0.60628759788693076</v>
      </c>
      <c r="AN599" s="354">
        <f t="shared" si="618"/>
        <v>3.3869508727828401E-2</v>
      </c>
      <c r="AO599" s="374">
        <f t="shared" si="619"/>
        <v>0.52024592395709757</v>
      </c>
      <c r="AP599" s="354">
        <f t="shared" si="620"/>
        <v>0.11929786250217007</v>
      </c>
      <c r="AQ599" s="354">
        <f t="shared" si="621"/>
        <v>0.40094806145492751</v>
      </c>
      <c r="AR599" s="374">
        <f t="shared" si="622"/>
        <v>0.94908004037768245</v>
      </c>
      <c r="AS599" s="354">
        <f t="shared" si="623"/>
        <v>0.41126860098863638</v>
      </c>
      <c r="AT599" s="354">
        <f t="shared" si="624"/>
        <v>0.53781143938904608</v>
      </c>
      <c r="AU599" s="355" t="s">
        <v>396</v>
      </c>
      <c r="AV599" s="354" t="s">
        <v>404</v>
      </c>
      <c r="AW599" s="355" t="s">
        <v>405</v>
      </c>
      <c r="AX599" s="355">
        <v>117872</v>
      </c>
      <c r="AY599" s="350" t="s">
        <v>406</v>
      </c>
      <c r="AZ599" s="351">
        <v>45140</v>
      </c>
      <c r="BA599" s="351">
        <v>45139</v>
      </c>
      <c r="BB599" s="350" t="s">
        <v>407</v>
      </c>
    </row>
    <row r="600" spans="1:54" x14ac:dyDescent="0.25">
      <c r="A600" s="348" t="s">
        <v>1454</v>
      </c>
      <c r="B600" s="349">
        <v>5129</v>
      </c>
      <c r="C600" s="350" t="s">
        <v>1429</v>
      </c>
      <c r="D600" s="351">
        <v>45135</v>
      </c>
      <c r="E600" s="352">
        <v>3120</v>
      </c>
      <c r="F600" s="352">
        <v>1</v>
      </c>
      <c r="G600" s="351"/>
      <c r="H600" s="350" t="s">
        <v>438</v>
      </c>
      <c r="I600" s="350" t="s">
        <v>393</v>
      </c>
      <c r="J600" s="354">
        <v>14700</v>
      </c>
      <c r="K600" s="350" t="s">
        <v>394</v>
      </c>
      <c r="L600" s="354">
        <v>2.9999999999999997E-4</v>
      </c>
      <c r="M600" s="354">
        <v>5.24</v>
      </c>
      <c r="N600" s="350" t="s">
        <v>395</v>
      </c>
      <c r="O600" s="354">
        <v>4.41</v>
      </c>
      <c r="P600" s="374">
        <f t="shared" si="594"/>
        <v>0.33016262659808138</v>
      </c>
      <c r="Q600" s="354">
        <f t="shared" si="595"/>
        <v>3.1139372391206312E-2</v>
      </c>
      <c r="R600" s="354">
        <f t="shared" si="596"/>
        <v>5.2491925036273077E-2</v>
      </c>
      <c r="S600" s="354">
        <f t="shared" si="597"/>
        <v>4.6759103948704014E-2</v>
      </c>
      <c r="T600" s="354">
        <f t="shared" si="598"/>
        <v>0.19953896132956581</v>
      </c>
      <c r="U600" s="374">
        <f t="shared" si="599"/>
        <v>1.3250858772463598</v>
      </c>
      <c r="V600" s="354">
        <f t="shared" si="600"/>
        <v>3.5075972130142956E-2</v>
      </c>
      <c r="W600" s="354">
        <f t="shared" si="601"/>
        <v>1.1965140571794712</v>
      </c>
      <c r="X600" s="354">
        <f t="shared" si="602"/>
        <v>9.3495847936745799E-2</v>
      </c>
      <c r="Y600" s="374">
        <f t="shared" si="603"/>
        <v>0.19425556319547307</v>
      </c>
      <c r="Z600" s="354">
        <f t="shared" si="604"/>
        <v>0.10020867997746367</v>
      </c>
      <c r="AA600" s="354">
        <f t="shared" si="605"/>
        <v>9.4046883218009386E-2</v>
      </c>
      <c r="AB600" s="374">
        <f t="shared" si="606"/>
        <v>1.0612950322393579</v>
      </c>
      <c r="AC600" s="354">
        <f t="shared" si="607"/>
        <v>0.30118765400020042</v>
      </c>
      <c r="AD600" s="354">
        <f t="shared" si="608"/>
        <v>0.6556186191738228</v>
      </c>
      <c r="AE600" s="354">
        <f t="shared" si="609"/>
        <v>0.10448875906533464</v>
      </c>
      <c r="AF600" s="374">
        <f t="shared" si="610"/>
        <v>0.84940664929609144</v>
      </c>
      <c r="AG600" s="354">
        <f t="shared" si="611"/>
        <v>5.458856419158354E-2</v>
      </c>
      <c r="AH600" s="354">
        <f t="shared" si="612"/>
        <v>0.27465701120685226</v>
      </c>
      <c r="AI600" s="354">
        <f t="shared" si="613"/>
        <v>0</v>
      </c>
      <c r="AJ600" s="354">
        <f t="shared" si="614"/>
        <v>0.52016107389765565</v>
      </c>
      <c r="AK600" s="374">
        <f t="shared" si="615"/>
        <v>0.56102718064727974</v>
      </c>
      <c r="AL600" s="354">
        <f t="shared" si="616"/>
        <v>0.1607380113559507</v>
      </c>
      <c r="AM600" s="354">
        <f t="shared" si="617"/>
        <v>0.37911062206772272</v>
      </c>
      <c r="AN600" s="354">
        <f t="shared" si="618"/>
        <v>2.1178547223606303E-2</v>
      </c>
      <c r="AO600" s="374">
        <f t="shared" si="619"/>
        <v>0.32530890710443805</v>
      </c>
      <c r="AP600" s="354">
        <f t="shared" si="620"/>
        <v>7.4596754118302036E-2</v>
      </c>
      <c r="AQ600" s="354">
        <f t="shared" si="621"/>
        <v>0.25071215298613603</v>
      </c>
      <c r="AR600" s="374">
        <f t="shared" si="622"/>
        <v>0.59345816367291837</v>
      </c>
      <c r="AS600" s="354">
        <f t="shared" si="623"/>
        <v>0.25716556911461275</v>
      </c>
      <c r="AT600" s="354">
        <f t="shared" si="624"/>
        <v>0.33629259455830568</v>
      </c>
      <c r="AU600" s="355" t="s">
        <v>396</v>
      </c>
      <c r="AV600" s="354" t="s">
        <v>404</v>
      </c>
      <c r="AW600" s="355" t="s">
        <v>405</v>
      </c>
      <c r="AX600" s="355">
        <v>103328</v>
      </c>
      <c r="AY600" s="350" t="s">
        <v>406</v>
      </c>
      <c r="AZ600" s="351">
        <v>45140</v>
      </c>
      <c r="BA600" s="351">
        <v>45139</v>
      </c>
      <c r="BB600" s="350" t="s">
        <v>407</v>
      </c>
    </row>
    <row r="601" spans="1:54" x14ac:dyDescent="0.25">
      <c r="A601" s="348" t="s">
        <v>1454</v>
      </c>
      <c r="B601" s="349">
        <v>5129</v>
      </c>
      <c r="C601" s="350" t="s">
        <v>1429</v>
      </c>
      <c r="D601" s="351">
        <v>45135</v>
      </c>
      <c r="E601" s="352">
        <v>3120</v>
      </c>
      <c r="F601" s="352">
        <v>1</v>
      </c>
      <c r="G601" s="351"/>
      <c r="H601" s="350" t="s">
        <v>438</v>
      </c>
      <c r="I601" s="350" t="s">
        <v>393</v>
      </c>
      <c r="J601" s="354">
        <v>2940</v>
      </c>
      <c r="K601" s="350" t="s">
        <v>394</v>
      </c>
      <c r="L601" s="354">
        <v>2.9932E-4</v>
      </c>
      <c r="M601" s="354">
        <v>1.05</v>
      </c>
      <c r="N601" s="350" t="s">
        <v>395</v>
      </c>
      <c r="O601" s="354">
        <v>0.88</v>
      </c>
      <c r="P601" s="374">
        <f t="shared" si="594"/>
        <v>6.6158541589310199E-2</v>
      </c>
      <c r="Q601" s="354">
        <f t="shared" si="595"/>
        <v>6.2397597348791273E-3</v>
      </c>
      <c r="R601" s="354">
        <f t="shared" si="596"/>
        <v>1.0518420093146323E-2</v>
      </c>
      <c r="S601" s="354">
        <f t="shared" si="597"/>
        <v>9.3696677759807657E-3</v>
      </c>
      <c r="T601" s="354">
        <f t="shared" si="598"/>
        <v>3.9983952174817573E-2</v>
      </c>
      <c r="U601" s="374">
        <f t="shared" si="599"/>
        <v>0.26552293341768662</v>
      </c>
      <c r="V601" s="354">
        <f t="shared" si="600"/>
        <v>7.0285822016507831E-3</v>
      </c>
      <c r="W601" s="354">
        <f t="shared" si="601"/>
        <v>0.2397594961905429</v>
      </c>
      <c r="X601" s="354">
        <f t="shared" si="602"/>
        <v>1.8734855025492957E-2</v>
      </c>
      <c r="Y601" s="374">
        <f t="shared" si="603"/>
        <v>3.8925255983825707E-2</v>
      </c>
      <c r="Z601" s="354">
        <f t="shared" si="604"/>
        <v>2.0079983583270389E-2</v>
      </c>
      <c r="AA601" s="354">
        <f t="shared" si="605"/>
        <v>1.8845272400555314E-2</v>
      </c>
      <c r="AB601" s="374">
        <f t="shared" si="606"/>
        <v>0.21266408088765762</v>
      </c>
      <c r="AC601" s="354">
        <f t="shared" si="607"/>
        <v>6.0352487919887496E-2</v>
      </c>
      <c r="AD601" s="354">
        <f t="shared" si="608"/>
        <v>0.13137395994895307</v>
      </c>
      <c r="AE601" s="354">
        <f t="shared" si="609"/>
        <v>2.093763301881706E-2</v>
      </c>
      <c r="AF601" s="374">
        <f t="shared" si="610"/>
        <v>0.17020553087040002</v>
      </c>
      <c r="AG601" s="354">
        <f t="shared" si="611"/>
        <v>1.0938548168160825E-2</v>
      </c>
      <c r="AH601" s="354">
        <f t="shared" si="612"/>
        <v>5.5036233161678424E-2</v>
      </c>
      <c r="AI601" s="354">
        <f t="shared" si="613"/>
        <v>0</v>
      </c>
      <c r="AJ601" s="354">
        <f t="shared" si="614"/>
        <v>0.10423074954056079</v>
      </c>
      <c r="AK601" s="374">
        <f t="shared" si="615"/>
        <v>0.11241956864115339</v>
      </c>
      <c r="AL601" s="354">
        <f t="shared" si="616"/>
        <v>3.2208952657203867E-2</v>
      </c>
      <c r="AM601" s="354">
        <f t="shared" si="617"/>
        <v>7.5966823124257427E-2</v>
      </c>
      <c r="AN601" s="354">
        <f t="shared" si="618"/>
        <v>4.2437928596921028E-3</v>
      </c>
      <c r="AO601" s="374">
        <f t="shared" si="619"/>
        <v>6.5185945125889308E-2</v>
      </c>
      <c r="AP601" s="354">
        <f t="shared" si="620"/>
        <v>1.4947822867217013E-2</v>
      </c>
      <c r="AQ601" s="354">
        <f t="shared" si="621"/>
        <v>5.0238122258672295E-2</v>
      </c>
      <c r="AR601" s="374">
        <f t="shared" si="622"/>
        <v>0.11891814348407714</v>
      </c>
      <c r="AS601" s="354">
        <f t="shared" si="623"/>
        <v>5.1531268620294529E-2</v>
      </c>
      <c r="AT601" s="354">
        <f t="shared" si="624"/>
        <v>6.7386874863782614E-2</v>
      </c>
      <c r="AU601" s="355" t="s">
        <v>396</v>
      </c>
      <c r="AV601" s="354" t="s">
        <v>404</v>
      </c>
      <c r="AW601" s="355" t="s">
        <v>405</v>
      </c>
      <c r="AX601" s="355">
        <v>117293</v>
      </c>
      <c r="AY601" s="350" t="s">
        <v>406</v>
      </c>
      <c r="AZ601" s="351">
        <v>45140</v>
      </c>
      <c r="BA601" s="351">
        <v>45139</v>
      </c>
      <c r="BB601" s="350" t="s">
        <v>407</v>
      </c>
    </row>
    <row r="602" spans="1:54" x14ac:dyDescent="0.25">
      <c r="A602" s="348" t="s">
        <v>1454</v>
      </c>
      <c r="B602" s="349">
        <v>5129</v>
      </c>
      <c r="C602" s="350" t="s">
        <v>1429</v>
      </c>
      <c r="D602" s="351">
        <v>45135</v>
      </c>
      <c r="E602" s="352">
        <v>3130</v>
      </c>
      <c r="F602" s="352">
        <v>1</v>
      </c>
      <c r="G602" s="351"/>
      <c r="H602" s="350" t="s">
        <v>439</v>
      </c>
      <c r="I602" s="350" t="s">
        <v>393</v>
      </c>
      <c r="J602" s="354">
        <v>211042.7</v>
      </c>
      <c r="K602" s="350" t="s">
        <v>394</v>
      </c>
      <c r="L602" s="354">
        <v>2.9998699999999999E-4</v>
      </c>
      <c r="M602" s="354">
        <v>75.23</v>
      </c>
      <c r="N602" s="350" t="s">
        <v>395</v>
      </c>
      <c r="O602" s="354">
        <v>63.31</v>
      </c>
      <c r="P602" s="374">
        <f t="shared" si="594"/>
        <v>4.7401019845369587</v>
      </c>
      <c r="Q602" s="354">
        <f t="shared" si="595"/>
        <v>0.44706392843329218</v>
      </c>
      <c r="R602" s="354">
        <f t="shared" si="596"/>
        <v>0.75361975581656937</v>
      </c>
      <c r="S602" s="354">
        <f t="shared" si="597"/>
        <v>0.67131438741622196</v>
      </c>
      <c r="T602" s="354">
        <f t="shared" si="598"/>
        <v>2.864754973439549</v>
      </c>
      <c r="U602" s="374">
        <f t="shared" si="599"/>
        <v>19.024085981916727</v>
      </c>
      <c r="V602" s="354">
        <f t="shared" si="600"/>
        <v>0.50358118002875085</v>
      </c>
      <c r="W602" s="354">
        <f t="shared" si="601"/>
        <v>17.178197046109087</v>
      </c>
      <c r="X602" s="354">
        <f t="shared" si="602"/>
        <v>1.3423077557788905</v>
      </c>
      <c r="Y602" s="374">
        <f t="shared" si="603"/>
        <v>2.7889019120601981</v>
      </c>
      <c r="Z602" s="354">
        <f t="shared" si="604"/>
        <v>1.4386830142566014</v>
      </c>
      <c r="AA602" s="354">
        <f t="shared" si="605"/>
        <v>1.3502188978035965</v>
      </c>
      <c r="AB602" s="374">
        <f t="shared" si="606"/>
        <v>15.236875052550936</v>
      </c>
      <c r="AC602" s="354">
        <f t="shared" si="607"/>
        <v>4.32411206306013</v>
      </c>
      <c r="AD602" s="354">
        <f t="shared" si="608"/>
        <v>9.4126314351997511</v>
      </c>
      <c r="AE602" s="354">
        <f t="shared" si="609"/>
        <v>1.5001315542910545</v>
      </c>
      <c r="AF602" s="374">
        <f t="shared" si="610"/>
        <v>12.194821035600183</v>
      </c>
      <c r="AG602" s="354">
        <f t="shared" si="611"/>
        <v>0.78372093208641791</v>
      </c>
      <c r="AH602" s="354">
        <f t="shared" si="612"/>
        <v>3.9432150673838735</v>
      </c>
      <c r="AI602" s="354">
        <f t="shared" si="613"/>
        <v>0</v>
      </c>
      <c r="AJ602" s="354">
        <f t="shared" si="614"/>
        <v>7.4678850361298927</v>
      </c>
      <c r="AK602" s="374">
        <f t="shared" si="615"/>
        <v>8.0545944274990191</v>
      </c>
      <c r="AL602" s="354">
        <f t="shared" si="616"/>
        <v>2.3076947699061399</v>
      </c>
      <c r="AM602" s="354">
        <f t="shared" si="617"/>
        <v>5.4428420034646541</v>
      </c>
      <c r="AN602" s="354">
        <f t="shared" si="618"/>
        <v>0.30405765412822561</v>
      </c>
      <c r="AO602" s="374">
        <f t="shared" si="619"/>
        <v>4.6704177636387163</v>
      </c>
      <c r="AP602" s="354">
        <f t="shared" si="620"/>
        <v>1.0709759183816532</v>
      </c>
      <c r="AQ602" s="354">
        <f t="shared" si="621"/>
        <v>3.5994418452570631</v>
      </c>
      <c r="AR602" s="374">
        <f t="shared" si="622"/>
        <v>8.5202018421972614</v>
      </c>
      <c r="AS602" s="354">
        <f t="shared" si="623"/>
        <v>3.6920927031473885</v>
      </c>
      <c r="AT602" s="354">
        <f t="shared" si="624"/>
        <v>4.8281091390498734</v>
      </c>
      <c r="AU602" s="355" t="s">
        <v>396</v>
      </c>
      <c r="AV602" s="354" t="s">
        <v>404</v>
      </c>
      <c r="AW602" s="355" t="s">
        <v>405</v>
      </c>
      <c r="AX602" s="355">
        <v>102955</v>
      </c>
      <c r="AY602" s="350" t="s">
        <v>406</v>
      </c>
      <c r="AZ602" s="351">
        <v>45140</v>
      </c>
      <c r="BA602" s="351">
        <v>45139</v>
      </c>
      <c r="BB602" s="350" t="s">
        <v>407</v>
      </c>
    </row>
    <row r="603" spans="1:54" x14ac:dyDescent="0.25">
      <c r="A603" s="348" t="s">
        <v>1454</v>
      </c>
      <c r="B603" s="349">
        <v>5129</v>
      </c>
      <c r="C603" s="350" t="s">
        <v>1429</v>
      </c>
      <c r="D603" s="351">
        <v>45135</v>
      </c>
      <c r="E603" s="352">
        <v>3130</v>
      </c>
      <c r="F603" s="352">
        <v>1</v>
      </c>
      <c r="G603" s="351"/>
      <c r="H603" s="350" t="s">
        <v>439</v>
      </c>
      <c r="I603" s="350" t="s">
        <v>393</v>
      </c>
      <c r="J603" s="354">
        <v>55502.85</v>
      </c>
      <c r="K603" s="350" t="s">
        <v>394</v>
      </c>
      <c r="L603" s="354">
        <v>2.9998500000000001E-4</v>
      </c>
      <c r="M603" s="354">
        <v>19.78</v>
      </c>
      <c r="N603" s="350" t="s">
        <v>395</v>
      </c>
      <c r="O603" s="354">
        <v>16.649999999999999</v>
      </c>
      <c r="P603" s="374">
        <f t="shared" si="594"/>
        <v>1.2463009072729103</v>
      </c>
      <c r="Q603" s="354">
        <f t="shared" si="595"/>
        <v>0.1175451881484849</v>
      </c>
      <c r="R603" s="354">
        <f t="shared" si="596"/>
        <v>0.19814699946898501</v>
      </c>
      <c r="S603" s="354">
        <f t="shared" si="597"/>
        <v>0.17650669391323767</v>
      </c>
      <c r="T603" s="354">
        <f t="shared" si="598"/>
        <v>0.75322149906465874</v>
      </c>
      <c r="U603" s="374">
        <f t="shared" si="599"/>
        <v>5.0019463076208011</v>
      </c>
      <c r="V603" s="354">
        <f t="shared" si="600"/>
        <v>0.13240510090347854</v>
      </c>
      <c r="W603" s="354">
        <f t="shared" si="601"/>
        <v>4.5166122234751791</v>
      </c>
      <c r="X603" s="354">
        <f t="shared" si="602"/>
        <v>0.3529289832421435</v>
      </c>
      <c r="Y603" s="374">
        <f t="shared" si="603"/>
        <v>0.73327767939054522</v>
      </c>
      <c r="Z603" s="354">
        <f t="shared" si="604"/>
        <v>0.37826864312103647</v>
      </c>
      <c r="AA603" s="354">
        <f t="shared" si="605"/>
        <v>0.35500903626950869</v>
      </c>
      <c r="AB603" s="374">
        <f t="shared" si="606"/>
        <v>4.0061862094836833</v>
      </c>
      <c r="AC603" s="354">
        <f t="shared" si="607"/>
        <v>1.1369259152908331</v>
      </c>
      <c r="AD603" s="354">
        <f t="shared" si="608"/>
        <v>2.4748351693240869</v>
      </c>
      <c r="AE603" s="354">
        <f t="shared" si="609"/>
        <v>0.39442512486876324</v>
      </c>
      <c r="AF603" s="374">
        <f t="shared" si="610"/>
        <v>3.2063480005871545</v>
      </c>
      <c r="AG603" s="354">
        <f t="shared" si="611"/>
        <v>0.20606141215830581</v>
      </c>
      <c r="AH603" s="354">
        <f t="shared" si="612"/>
        <v>1.0367778018457134</v>
      </c>
      <c r="AI603" s="354">
        <f t="shared" si="613"/>
        <v>0</v>
      </c>
      <c r="AJ603" s="354">
        <f t="shared" si="614"/>
        <v>1.9635087865831355</v>
      </c>
      <c r="AK603" s="374">
        <f t="shared" si="615"/>
        <v>2.1177705406876326</v>
      </c>
      <c r="AL603" s="354">
        <f t="shared" si="616"/>
        <v>0.60675531767570712</v>
      </c>
      <c r="AM603" s="354">
        <f t="shared" si="617"/>
        <v>1.4310702489502971</v>
      </c>
      <c r="AN603" s="354">
        <f t="shared" si="618"/>
        <v>7.9944974061628371E-2</v>
      </c>
      <c r="AO603" s="374">
        <f t="shared" si="619"/>
        <v>1.2279790424667527</v>
      </c>
      <c r="AP603" s="354">
        <f t="shared" si="620"/>
        <v>0.2815885107748119</v>
      </c>
      <c r="AQ603" s="354">
        <f t="shared" si="621"/>
        <v>0.94639053169194087</v>
      </c>
      <c r="AR603" s="374">
        <f t="shared" si="622"/>
        <v>2.2401913124905199</v>
      </c>
      <c r="AS603" s="354">
        <f t="shared" si="623"/>
        <v>0.97075094600897693</v>
      </c>
      <c r="AT603" s="354">
        <f t="shared" si="624"/>
        <v>1.269440366481543</v>
      </c>
      <c r="AU603" s="355" t="s">
        <v>396</v>
      </c>
      <c r="AV603" s="354" t="s">
        <v>404</v>
      </c>
      <c r="AW603" s="355" t="s">
        <v>405</v>
      </c>
      <c r="AX603" s="355">
        <v>103265</v>
      </c>
      <c r="AY603" s="350" t="s">
        <v>406</v>
      </c>
      <c r="AZ603" s="351">
        <v>45140</v>
      </c>
      <c r="BA603" s="351">
        <v>45139</v>
      </c>
      <c r="BB603" s="350" t="s">
        <v>407</v>
      </c>
    </row>
    <row r="604" spans="1:54" x14ac:dyDescent="0.25">
      <c r="A604" s="348" t="s">
        <v>1454</v>
      </c>
      <c r="B604" s="349">
        <v>5129</v>
      </c>
      <c r="C604" s="350" t="s">
        <v>1429</v>
      </c>
      <c r="D604" s="351">
        <v>45135</v>
      </c>
      <c r="E604" s="352">
        <v>3130</v>
      </c>
      <c r="F604" s="352">
        <v>1</v>
      </c>
      <c r="G604" s="351"/>
      <c r="H604" s="350" t="s">
        <v>439</v>
      </c>
      <c r="I604" s="350" t="s">
        <v>393</v>
      </c>
      <c r="J604" s="354">
        <v>532244</v>
      </c>
      <c r="K604" s="350" t="s">
        <v>394</v>
      </c>
      <c r="L604" s="354">
        <v>2.9999399999999999E-4</v>
      </c>
      <c r="M604" s="354">
        <v>189.72</v>
      </c>
      <c r="N604" s="350" t="s">
        <v>395</v>
      </c>
      <c r="O604" s="354">
        <v>159.66999999999999</v>
      </c>
      <c r="P604" s="374">
        <f t="shared" si="594"/>
        <v>11.953903343165647</v>
      </c>
      <c r="Q604" s="354">
        <f t="shared" si="595"/>
        <v>1.1274354446678743</v>
      </c>
      <c r="R604" s="354">
        <f t="shared" si="596"/>
        <v>1.9005282476873524</v>
      </c>
      <c r="S604" s="354">
        <f t="shared" si="597"/>
        <v>1.6929651147229245</v>
      </c>
      <c r="T604" s="354">
        <f t="shared" si="598"/>
        <v>7.2245289586727521</v>
      </c>
      <c r="U604" s="374">
        <f t="shared" si="599"/>
        <v>47.976200883812858</v>
      </c>
      <c r="V604" s="354">
        <f t="shared" si="600"/>
        <v>1.2699643955211299</v>
      </c>
      <c r="W604" s="354">
        <f t="shared" si="601"/>
        <v>43.321115825971233</v>
      </c>
      <c r="X604" s="354">
        <f t="shared" si="602"/>
        <v>3.3851206623204986</v>
      </c>
      <c r="Y604" s="374">
        <f t="shared" si="603"/>
        <v>7.0332376811918218</v>
      </c>
      <c r="Z604" s="354">
        <f t="shared" si="604"/>
        <v>3.6281661765886271</v>
      </c>
      <c r="AA604" s="354">
        <f t="shared" si="605"/>
        <v>3.4050715046031943</v>
      </c>
      <c r="AB604" s="374">
        <f t="shared" si="606"/>
        <v>38.425361358101334</v>
      </c>
      <c r="AC604" s="354">
        <f t="shared" si="607"/>
        <v>10.904832388724815</v>
      </c>
      <c r="AD604" s="354">
        <f t="shared" si="608"/>
        <v>23.737397791919403</v>
      </c>
      <c r="AE604" s="354">
        <f t="shared" si="609"/>
        <v>3.7831311774571161</v>
      </c>
      <c r="AF604" s="374">
        <f t="shared" si="610"/>
        <v>30.753707920697419</v>
      </c>
      <c r="AG604" s="354">
        <f t="shared" si="611"/>
        <v>1.9764393890128302</v>
      </c>
      <c r="AH604" s="354">
        <f t="shared" si="612"/>
        <v>9.9442611004129802</v>
      </c>
      <c r="AI604" s="354">
        <f t="shared" si="613"/>
        <v>0</v>
      </c>
      <c r="AJ604" s="354">
        <f t="shared" si="614"/>
        <v>18.833007431271611</v>
      </c>
      <c r="AK604" s="374">
        <f t="shared" si="615"/>
        <v>20.312610059618684</v>
      </c>
      <c r="AL604" s="354">
        <f t="shared" si="616"/>
        <v>5.8196976172616344</v>
      </c>
      <c r="AM604" s="354">
        <f t="shared" si="617"/>
        <v>13.726119698222968</v>
      </c>
      <c r="AN604" s="354">
        <f t="shared" si="618"/>
        <v>0.76679274413408149</v>
      </c>
      <c r="AO604" s="374">
        <f t="shared" si="619"/>
        <v>11.778169056460683</v>
      </c>
      <c r="AP604" s="354">
        <f t="shared" si="620"/>
        <v>2.7008580517794392</v>
      </c>
      <c r="AQ604" s="354">
        <f t="shared" si="621"/>
        <v>9.0773110046812437</v>
      </c>
      <c r="AR604" s="374">
        <f t="shared" si="622"/>
        <v>21.486809696951539</v>
      </c>
      <c r="AS604" s="354">
        <f t="shared" si="623"/>
        <v>9.310964078706931</v>
      </c>
      <c r="AT604" s="354">
        <f t="shared" si="624"/>
        <v>12.175845618244608</v>
      </c>
      <c r="AU604" s="355" t="s">
        <v>396</v>
      </c>
      <c r="AV604" s="354" t="s">
        <v>404</v>
      </c>
      <c r="AW604" s="355" t="s">
        <v>405</v>
      </c>
      <c r="AX604" s="355">
        <v>117871</v>
      </c>
      <c r="AY604" s="350" t="s">
        <v>406</v>
      </c>
      <c r="AZ604" s="351">
        <v>45140</v>
      </c>
      <c r="BA604" s="351">
        <v>45139</v>
      </c>
      <c r="BB604" s="350" t="s">
        <v>407</v>
      </c>
    </row>
    <row r="605" spans="1:54" x14ac:dyDescent="0.25">
      <c r="A605" s="348" t="s">
        <v>1454</v>
      </c>
      <c r="B605" s="349">
        <v>5129</v>
      </c>
      <c r="C605" s="350" t="s">
        <v>1429</v>
      </c>
      <c r="D605" s="351">
        <v>45135</v>
      </c>
      <c r="E605" s="352">
        <v>3130</v>
      </c>
      <c r="F605" s="352">
        <v>1</v>
      </c>
      <c r="G605" s="351"/>
      <c r="H605" s="350" t="s">
        <v>439</v>
      </c>
      <c r="I605" s="350" t="s">
        <v>393</v>
      </c>
      <c r="J605" s="354">
        <v>286764.79999999999</v>
      </c>
      <c r="K605" s="350" t="s">
        <v>394</v>
      </c>
      <c r="L605" s="354">
        <v>3.0000200000000001E-4</v>
      </c>
      <c r="M605" s="354">
        <v>102.22</v>
      </c>
      <c r="N605" s="350" t="s">
        <v>395</v>
      </c>
      <c r="O605" s="354">
        <v>86.03</v>
      </c>
      <c r="P605" s="374">
        <f t="shared" si="594"/>
        <v>6.4406915440564649</v>
      </c>
      <c r="Q605" s="354">
        <f t="shared" si="595"/>
        <v>0.60745546676128037</v>
      </c>
      <c r="R605" s="354">
        <f t="shared" si="596"/>
        <v>1.023993239925159</v>
      </c>
      <c r="S605" s="354">
        <f t="shared" si="597"/>
        <v>0.91215946672452741</v>
      </c>
      <c r="T605" s="354">
        <f t="shared" si="598"/>
        <v>3.8925329441046213</v>
      </c>
      <c r="U605" s="374">
        <f t="shared" si="599"/>
        <v>25.84928976567231</v>
      </c>
      <c r="V605" s="354">
        <f t="shared" si="600"/>
        <v>0.68424921205023148</v>
      </c>
      <c r="W605" s="354">
        <f t="shared" si="601"/>
        <v>23.34115781009266</v>
      </c>
      <c r="X605" s="354">
        <f t="shared" si="602"/>
        <v>1.8238827435294189</v>
      </c>
      <c r="Y605" s="374">
        <f t="shared" si="603"/>
        <v>3.7894663492063465</v>
      </c>
      <c r="Z605" s="354">
        <f t="shared" si="604"/>
        <v>1.9548342113160946</v>
      </c>
      <c r="AA605" s="354">
        <f t="shared" si="605"/>
        <v>1.8346321378902517</v>
      </c>
      <c r="AB605" s="374">
        <f t="shared" si="606"/>
        <v>20.703354617463201</v>
      </c>
      <c r="AC605" s="354">
        <f t="shared" si="607"/>
        <v>5.875458395400857</v>
      </c>
      <c r="AD605" s="354">
        <f t="shared" si="608"/>
        <v>12.789567796173316</v>
      </c>
      <c r="AE605" s="354">
        <f t="shared" si="609"/>
        <v>2.0383284258890284</v>
      </c>
      <c r="AF605" s="374">
        <f t="shared" si="610"/>
        <v>16.569913681497418</v>
      </c>
      <c r="AG605" s="354">
        <f t="shared" si="611"/>
        <v>1.0648937083327614</v>
      </c>
      <c r="AH605" s="354">
        <f t="shared" si="612"/>
        <v>5.3579083369397793</v>
      </c>
      <c r="AI605" s="354">
        <f t="shared" si="613"/>
        <v>0</v>
      </c>
      <c r="AJ605" s="354">
        <f t="shared" si="614"/>
        <v>10.14711163622488</v>
      </c>
      <c r="AK605" s="374">
        <f t="shared" si="615"/>
        <v>10.944312672855904</v>
      </c>
      <c r="AL605" s="354">
        <f t="shared" si="616"/>
        <v>3.1356182291613135</v>
      </c>
      <c r="AM605" s="354">
        <f t="shared" si="617"/>
        <v>7.3955511045348512</v>
      </c>
      <c r="AN605" s="354">
        <f t="shared" si="618"/>
        <v>0.41314333915973972</v>
      </c>
      <c r="AO605" s="374">
        <f t="shared" si="619"/>
        <v>6.3460069626365758</v>
      </c>
      <c r="AP605" s="354">
        <f t="shared" si="620"/>
        <v>1.4552061461780219</v>
      </c>
      <c r="AQ605" s="354">
        <f t="shared" si="621"/>
        <v>4.8908008164585537</v>
      </c>
      <c r="AR605" s="374">
        <f t="shared" si="622"/>
        <v>11.576964406611776</v>
      </c>
      <c r="AS605" s="354">
        <f t="shared" si="623"/>
        <v>5.0166916936823869</v>
      </c>
      <c r="AT605" s="354">
        <f t="shared" si="624"/>
        <v>6.5602727129293896</v>
      </c>
      <c r="AU605" s="355" t="s">
        <v>396</v>
      </c>
      <c r="AV605" s="354" t="s">
        <v>404</v>
      </c>
      <c r="AW605" s="355" t="s">
        <v>405</v>
      </c>
      <c r="AX605" s="355">
        <v>103321</v>
      </c>
      <c r="AY605" s="350" t="s">
        <v>406</v>
      </c>
      <c r="AZ605" s="351">
        <v>45140</v>
      </c>
      <c r="BA605" s="351">
        <v>45139</v>
      </c>
      <c r="BB605" s="350" t="s">
        <v>407</v>
      </c>
    </row>
    <row r="606" spans="1:54" x14ac:dyDescent="0.25">
      <c r="A606" s="348" t="s">
        <v>1454</v>
      </c>
      <c r="B606" s="349">
        <v>5129</v>
      </c>
      <c r="C606" s="350" t="s">
        <v>1429</v>
      </c>
      <c r="D606" s="351">
        <v>45135</v>
      </c>
      <c r="E606" s="352">
        <v>3130</v>
      </c>
      <c r="F606" s="352">
        <v>1</v>
      </c>
      <c r="G606" s="351"/>
      <c r="H606" s="350" t="s">
        <v>439</v>
      </c>
      <c r="I606" s="350" t="s">
        <v>393</v>
      </c>
      <c r="J606" s="354">
        <v>55848.3</v>
      </c>
      <c r="K606" s="350" t="s">
        <v>394</v>
      </c>
      <c r="L606" s="354">
        <v>2.9992000000000002E-4</v>
      </c>
      <c r="M606" s="354">
        <v>19.91</v>
      </c>
      <c r="N606" s="350" t="s">
        <v>395</v>
      </c>
      <c r="O606" s="354">
        <v>16.75</v>
      </c>
      <c r="P606" s="374">
        <f t="shared" si="594"/>
        <v>1.2544919648030153</v>
      </c>
      <c r="Q606" s="354">
        <f t="shared" si="595"/>
        <v>0.11831772982994612</v>
      </c>
      <c r="R606" s="354">
        <f t="shared" si="596"/>
        <v>0.19944928005194598</v>
      </c>
      <c r="S606" s="354">
        <f t="shared" si="597"/>
        <v>0.17766674801883528</v>
      </c>
      <c r="T606" s="354">
        <f t="shared" si="598"/>
        <v>0.75817189314344569</v>
      </c>
      <c r="U606" s="374">
        <f t="shared" si="599"/>
        <v>5.0348205755677524</v>
      </c>
      <c r="V606" s="354">
        <f t="shared" si="600"/>
        <v>0.13327530631892101</v>
      </c>
      <c r="W606" s="354">
        <f t="shared" si="601"/>
        <v>4.5462967325273418</v>
      </c>
      <c r="X606" s="354">
        <f t="shared" si="602"/>
        <v>0.3552485367214902</v>
      </c>
      <c r="Y606" s="374">
        <f t="shared" si="603"/>
        <v>0.73809699679806651</v>
      </c>
      <c r="Z606" s="354">
        <f t="shared" si="604"/>
        <v>0.38075473632658424</v>
      </c>
      <c r="AA606" s="354">
        <f t="shared" si="605"/>
        <v>0.35734226047148221</v>
      </c>
      <c r="AB606" s="374">
        <f t="shared" si="606"/>
        <v>4.0325160480697742</v>
      </c>
      <c r="AC606" s="354">
        <f t="shared" si="607"/>
        <v>1.1443981280809143</v>
      </c>
      <c r="AD606" s="354">
        <f t="shared" si="608"/>
        <v>2.4911005167463385</v>
      </c>
      <c r="AE606" s="354">
        <f t="shared" si="609"/>
        <v>0.39701740324252149</v>
      </c>
      <c r="AF606" s="374">
        <f t="shared" si="610"/>
        <v>3.227421066313966</v>
      </c>
      <c r="AG606" s="354">
        <f t="shared" si="611"/>
        <v>0.20741570859817335</v>
      </c>
      <c r="AH606" s="354">
        <f t="shared" si="612"/>
        <v>1.0435918116657308</v>
      </c>
      <c r="AI606" s="354">
        <f t="shared" si="613"/>
        <v>0</v>
      </c>
      <c r="AJ606" s="354">
        <f t="shared" si="614"/>
        <v>1.976413546050062</v>
      </c>
      <c r="AK606" s="374">
        <f t="shared" si="615"/>
        <v>2.1316891539479657</v>
      </c>
      <c r="AL606" s="354">
        <f t="shared" si="616"/>
        <v>0.61074309276659899</v>
      </c>
      <c r="AM606" s="354">
        <f t="shared" si="617"/>
        <v>1.4404756651466337</v>
      </c>
      <c r="AN606" s="354">
        <f t="shared" si="618"/>
        <v>8.0470396034733105E-2</v>
      </c>
      <c r="AO606" s="374">
        <f t="shared" si="619"/>
        <v>1.2360496832918628</v>
      </c>
      <c r="AP606" s="354">
        <f t="shared" si="620"/>
        <v>0.28343919360599112</v>
      </c>
      <c r="AQ606" s="354">
        <f t="shared" si="621"/>
        <v>0.9526104896858717</v>
      </c>
      <c r="AR606" s="374">
        <f t="shared" si="622"/>
        <v>2.2549145112075961</v>
      </c>
      <c r="AS606" s="354">
        <f t="shared" si="623"/>
        <v>0.97713100783815621</v>
      </c>
      <c r="AT606" s="354">
        <f t="shared" si="624"/>
        <v>1.27778350336944</v>
      </c>
      <c r="AU606" s="355" t="s">
        <v>396</v>
      </c>
      <c r="AV606" s="354" t="s">
        <v>404</v>
      </c>
      <c r="AW606" s="355" t="s">
        <v>405</v>
      </c>
      <c r="AX606" s="355">
        <v>117427</v>
      </c>
      <c r="AY606" s="350" t="s">
        <v>406</v>
      </c>
      <c r="AZ606" s="351">
        <v>45140</v>
      </c>
      <c r="BA606" s="351">
        <v>45139</v>
      </c>
      <c r="BB606" s="350" t="s">
        <v>407</v>
      </c>
    </row>
    <row r="607" spans="1:54" x14ac:dyDescent="0.25">
      <c r="A607" s="348" t="s">
        <v>1454</v>
      </c>
      <c r="B607" s="349">
        <v>5129</v>
      </c>
      <c r="C607" s="350" t="s">
        <v>1429</v>
      </c>
      <c r="D607" s="351">
        <v>45135</v>
      </c>
      <c r="E607" s="352">
        <v>3130</v>
      </c>
      <c r="F607" s="352">
        <v>1</v>
      </c>
      <c r="G607" s="351"/>
      <c r="H607" s="350" t="s">
        <v>439</v>
      </c>
      <c r="I607" s="350" t="s">
        <v>393</v>
      </c>
      <c r="J607" s="354">
        <v>297857.59999999998</v>
      </c>
      <c r="K607" s="350" t="s">
        <v>394</v>
      </c>
      <c r="L607" s="354">
        <v>3.0000900000000001E-4</v>
      </c>
      <c r="M607" s="354">
        <v>106.17</v>
      </c>
      <c r="N607" s="350" t="s">
        <v>395</v>
      </c>
      <c r="O607" s="354">
        <v>89.36</v>
      </c>
      <c r="P607" s="374">
        <f t="shared" si="594"/>
        <v>6.6895736767019649</v>
      </c>
      <c r="Q607" s="354">
        <f t="shared" si="595"/>
        <v>0.63092884862106369</v>
      </c>
      <c r="R607" s="354">
        <f t="shared" si="596"/>
        <v>1.0635625345612809</v>
      </c>
      <c r="S607" s="354">
        <f t="shared" si="597"/>
        <v>0.94740726454845503</v>
      </c>
      <c r="T607" s="354">
        <f t="shared" si="598"/>
        <v>4.0429487641908395</v>
      </c>
      <c r="U607" s="374">
        <f t="shared" si="599"/>
        <v>26.848161753291226</v>
      </c>
      <c r="V607" s="354">
        <f t="shared" si="600"/>
        <v>0.71069006890406061</v>
      </c>
      <c r="W607" s="354">
        <f t="shared" si="601"/>
        <v>24.243110200523752</v>
      </c>
      <c r="X607" s="354">
        <f t="shared" si="602"/>
        <v>1.8943614838634164</v>
      </c>
      <c r="Y607" s="374">
        <f t="shared" si="603"/>
        <v>3.9358994550502624</v>
      </c>
      <c r="Z607" s="354">
        <f t="shared" si="604"/>
        <v>2.030373197176969</v>
      </c>
      <c r="AA607" s="354">
        <f t="shared" si="605"/>
        <v>1.9055262578732932</v>
      </c>
      <c r="AB607" s="374">
        <f t="shared" si="606"/>
        <v>21.503376636040578</v>
      </c>
      <c r="AC607" s="354">
        <f t="shared" si="607"/>
        <v>6.1024987070994809</v>
      </c>
      <c r="AD607" s="354">
        <f t="shared" si="608"/>
        <v>13.283784121695566</v>
      </c>
      <c r="AE607" s="354">
        <f t="shared" si="609"/>
        <v>2.1170938072455301</v>
      </c>
      <c r="AF607" s="374">
        <f t="shared" si="610"/>
        <v>17.210210678581305</v>
      </c>
      <c r="AG607" s="354">
        <f t="shared" si="611"/>
        <v>1.1060434847748903</v>
      </c>
      <c r="AH607" s="354">
        <f t="shared" si="612"/>
        <v>5.5649494045479981</v>
      </c>
      <c r="AI607" s="354">
        <f t="shared" si="613"/>
        <v>0</v>
      </c>
      <c r="AJ607" s="354">
        <f t="shared" si="614"/>
        <v>10.539217789258418</v>
      </c>
      <c r="AK607" s="374">
        <f t="shared" si="615"/>
        <v>11.367224383458339</v>
      </c>
      <c r="AL607" s="354">
        <f t="shared" si="616"/>
        <v>3.256785241538414</v>
      </c>
      <c r="AM607" s="354">
        <f t="shared" si="617"/>
        <v>7.6813310581927725</v>
      </c>
      <c r="AN607" s="354">
        <f t="shared" si="618"/>
        <v>0.42910808372715292</v>
      </c>
      <c r="AO607" s="374">
        <f t="shared" si="619"/>
        <v>6.591230280014921</v>
      </c>
      <c r="AP607" s="354">
        <f t="shared" si="620"/>
        <v>1.5114384322023144</v>
      </c>
      <c r="AQ607" s="354">
        <f t="shared" si="621"/>
        <v>5.079791847812607</v>
      </c>
      <c r="AR607" s="374">
        <f t="shared" si="622"/>
        <v>12.024323136861399</v>
      </c>
      <c r="AS607" s="354">
        <f t="shared" si="623"/>
        <v>5.2105474184920668</v>
      </c>
      <c r="AT607" s="354">
        <f t="shared" si="624"/>
        <v>6.8137757183693335</v>
      </c>
      <c r="AU607" s="355" t="s">
        <v>396</v>
      </c>
      <c r="AV607" s="354" t="s">
        <v>404</v>
      </c>
      <c r="AW607" s="355" t="s">
        <v>405</v>
      </c>
      <c r="AX607" s="355">
        <v>117872</v>
      </c>
      <c r="AY607" s="350" t="s">
        <v>406</v>
      </c>
      <c r="AZ607" s="351">
        <v>45140</v>
      </c>
      <c r="BA607" s="351">
        <v>45139</v>
      </c>
      <c r="BB607" s="350" t="s">
        <v>407</v>
      </c>
    </row>
    <row r="608" spans="1:54" x14ac:dyDescent="0.25">
      <c r="A608" s="348" t="s">
        <v>1454</v>
      </c>
      <c r="B608" s="349">
        <v>5129</v>
      </c>
      <c r="C608" s="350" t="s">
        <v>1429</v>
      </c>
      <c r="D608" s="351">
        <v>45135</v>
      </c>
      <c r="E608" s="352">
        <v>3130</v>
      </c>
      <c r="F608" s="352">
        <v>1</v>
      </c>
      <c r="G608" s="351"/>
      <c r="H608" s="350" t="s">
        <v>439</v>
      </c>
      <c r="I608" s="350" t="s">
        <v>393</v>
      </c>
      <c r="J608" s="354">
        <v>66721.5</v>
      </c>
      <c r="K608" s="350" t="s">
        <v>394</v>
      </c>
      <c r="L608" s="354">
        <v>3.00053E-4</v>
      </c>
      <c r="M608" s="354">
        <v>23.78</v>
      </c>
      <c r="N608" s="350" t="s">
        <v>395</v>
      </c>
      <c r="O608" s="354">
        <v>20.02</v>
      </c>
      <c r="P608" s="374">
        <f t="shared" si="594"/>
        <v>1.4983334466607585</v>
      </c>
      <c r="Q608" s="354">
        <f t="shared" si="595"/>
        <v>0.1413157014242149</v>
      </c>
      <c r="R608" s="354">
        <f t="shared" si="596"/>
        <v>0.23821717125239955</v>
      </c>
      <c r="S608" s="354">
        <f t="shared" si="597"/>
        <v>0.21220066639316437</v>
      </c>
      <c r="T608" s="354">
        <f t="shared" si="598"/>
        <v>0.90554131687348749</v>
      </c>
      <c r="U608" s="374">
        <f t="shared" si="599"/>
        <v>6.0134622444500838</v>
      </c>
      <c r="V608" s="354">
        <f t="shared" si="600"/>
        <v>0.15918065214786251</v>
      </c>
      <c r="W608" s="354">
        <f t="shared" si="601"/>
        <v>5.429981732772486</v>
      </c>
      <c r="X608" s="354">
        <f t="shared" si="602"/>
        <v>0.42429985952973576</v>
      </c>
      <c r="Y608" s="374">
        <f t="shared" si="603"/>
        <v>0.88156436885273848</v>
      </c>
      <c r="Z608" s="354">
        <f t="shared" si="604"/>
        <v>0.45476381867635229</v>
      </c>
      <c r="AA608" s="354">
        <f t="shared" si="605"/>
        <v>0.42680055017638613</v>
      </c>
      <c r="AB608" s="374">
        <f t="shared" si="606"/>
        <v>4.8163350890557126</v>
      </c>
      <c r="AC608" s="354">
        <f t="shared" si="607"/>
        <v>1.3668401549856426</v>
      </c>
      <c r="AD608" s="354">
        <f t="shared" si="608"/>
        <v>2.9753073977010511</v>
      </c>
      <c r="AE608" s="354">
        <f t="shared" si="609"/>
        <v>0.47418753636901873</v>
      </c>
      <c r="AF608" s="374">
        <f t="shared" si="610"/>
        <v>3.8547500229505833</v>
      </c>
      <c r="AG608" s="354">
        <f t="shared" si="611"/>
        <v>0.24773207184653756</v>
      </c>
      <c r="AH608" s="354">
        <f t="shared" si="612"/>
        <v>1.2464396424616313</v>
      </c>
      <c r="AI608" s="354">
        <f t="shared" si="613"/>
        <v>0</v>
      </c>
      <c r="AJ608" s="354">
        <f t="shared" si="614"/>
        <v>2.3605783086424146</v>
      </c>
      <c r="AK608" s="374">
        <f t="shared" si="615"/>
        <v>2.5460355640825028</v>
      </c>
      <c r="AL608" s="354">
        <f t="shared" si="616"/>
        <v>0.72945608970315046</v>
      </c>
      <c r="AM608" s="354">
        <f t="shared" si="617"/>
        <v>1.7204676703760398</v>
      </c>
      <c r="AN608" s="354">
        <f t="shared" si="618"/>
        <v>9.6111804003312581E-2</v>
      </c>
      <c r="AO608" s="374">
        <f t="shared" si="619"/>
        <v>1.4763064524701406</v>
      </c>
      <c r="AP608" s="354">
        <f t="shared" si="620"/>
        <v>0.33853259788801954</v>
      </c>
      <c r="AQ608" s="354">
        <f t="shared" si="621"/>
        <v>1.137773854582121</v>
      </c>
      <c r="AR608" s="374">
        <f t="shared" si="622"/>
        <v>2.6932128114774807</v>
      </c>
      <c r="AS608" s="354">
        <f t="shared" si="623"/>
        <v>1.1670605407529562</v>
      </c>
      <c r="AT608" s="354">
        <f t="shared" si="624"/>
        <v>1.5261522707245248</v>
      </c>
      <c r="AU608" s="355" t="s">
        <v>396</v>
      </c>
      <c r="AV608" s="354" t="s">
        <v>404</v>
      </c>
      <c r="AW608" s="355" t="s">
        <v>405</v>
      </c>
      <c r="AX608" s="355">
        <v>103328</v>
      </c>
      <c r="AY608" s="350" t="s">
        <v>406</v>
      </c>
      <c r="AZ608" s="351">
        <v>45140</v>
      </c>
      <c r="BA608" s="351">
        <v>45139</v>
      </c>
      <c r="BB608" s="350" t="s">
        <v>407</v>
      </c>
    </row>
    <row r="609" spans="1:54" x14ac:dyDescent="0.25">
      <c r="A609" s="348" t="s">
        <v>1454</v>
      </c>
      <c r="B609" s="349">
        <v>5129</v>
      </c>
      <c r="C609" s="350" t="s">
        <v>1429</v>
      </c>
      <c r="D609" s="351">
        <v>45135</v>
      </c>
      <c r="E609" s="352">
        <v>3130</v>
      </c>
      <c r="F609" s="352">
        <v>1</v>
      </c>
      <c r="G609" s="351"/>
      <c r="H609" s="350" t="s">
        <v>439</v>
      </c>
      <c r="I609" s="350" t="s">
        <v>393</v>
      </c>
      <c r="J609" s="354">
        <v>65749.600000000006</v>
      </c>
      <c r="K609" s="350" t="s">
        <v>394</v>
      </c>
      <c r="L609" s="354">
        <v>2.99926E-4</v>
      </c>
      <c r="M609" s="354">
        <v>23.44</v>
      </c>
      <c r="N609" s="350" t="s">
        <v>395</v>
      </c>
      <c r="O609" s="354">
        <v>19.72</v>
      </c>
      <c r="P609" s="374">
        <f t="shared" si="594"/>
        <v>1.4769106808127914</v>
      </c>
      <c r="Q609" s="354">
        <f t="shared" si="595"/>
        <v>0.13929520779577784</v>
      </c>
      <c r="R609" s="354">
        <f t="shared" si="596"/>
        <v>0.23481120665080932</v>
      </c>
      <c r="S609" s="354">
        <f t="shared" si="597"/>
        <v>0.2091666787323706</v>
      </c>
      <c r="T609" s="354">
        <f t="shared" si="598"/>
        <v>0.89259413235973706</v>
      </c>
      <c r="U609" s="374">
        <f t="shared" si="599"/>
        <v>5.9274833898195949</v>
      </c>
      <c r="V609" s="354">
        <f t="shared" si="600"/>
        <v>0.15690473029208987</v>
      </c>
      <c r="W609" s="354">
        <f t="shared" si="601"/>
        <v>5.352345324482215</v>
      </c>
      <c r="X609" s="354">
        <f t="shared" si="602"/>
        <v>0.41823333504529042</v>
      </c>
      <c r="Y609" s="374">
        <f t="shared" si="603"/>
        <v>0.86896000024845199</v>
      </c>
      <c r="Z609" s="354">
        <f t="shared" si="604"/>
        <v>0.44826172875415043</v>
      </c>
      <c r="AA609" s="354">
        <f t="shared" si="605"/>
        <v>0.4206982714943015</v>
      </c>
      <c r="AB609" s="374">
        <f t="shared" si="606"/>
        <v>4.7474724342920904</v>
      </c>
      <c r="AC609" s="354">
        <f t="shared" si="607"/>
        <v>1.347297444611584</v>
      </c>
      <c r="AD609" s="354">
        <f t="shared" si="608"/>
        <v>2.9327672582890094</v>
      </c>
      <c r="AE609" s="354">
        <f t="shared" si="609"/>
        <v>0.46740773139149699</v>
      </c>
      <c r="AF609" s="374">
        <f t="shared" si="610"/>
        <v>3.7996358510496919</v>
      </c>
      <c r="AG609" s="354">
        <f t="shared" si="611"/>
        <v>0.24419006577303784</v>
      </c>
      <c r="AH609" s="354">
        <f t="shared" si="612"/>
        <v>1.2286183860092783</v>
      </c>
      <c r="AI609" s="354">
        <f t="shared" si="613"/>
        <v>0</v>
      </c>
      <c r="AJ609" s="354">
        <f t="shared" si="614"/>
        <v>2.3268273992673763</v>
      </c>
      <c r="AK609" s="374">
        <f t="shared" si="615"/>
        <v>2.5096330370939386</v>
      </c>
      <c r="AL609" s="354">
        <f t="shared" si="616"/>
        <v>0.71902652408081769</v>
      </c>
      <c r="AM609" s="354">
        <f t="shared" si="617"/>
        <v>1.6958688895548515</v>
      </c>
      <c r="AN609" s="354">
        <f t="shared" si="618"/>
        <v>9.4737623458269415E-2</v>
      </c>
      <c r="AO609" s="374">
        <f t="shared" si="619"/>
        <v>1.4551986226198528</v>
      </c>
      <c r="AP609" s="354">
        <f t="shared" si="620"/>
        <v>0.33369235048339696</v>
      </c>
      <c r="AQ609" s="354">
        <f t="shared" si="621"/>
        <v>1.1215062721364559</v>
      </c>
      <c r="AR609" s="374">
        <f t="shared" si="622"/>
        <v>2.6547059840635887</v>
      </c>
      <c r="AS609" s="354">
        <f t="shared" si="623"/>
        <v>1.1503742251997178</v>
      </c>
      <c r="AT609" s="354">
        <f t="shared" si="624"/>
        <v>1.5043317588638709</v>
      </c>
      <c r="AU609" s="355" t="s">
        <v>396</v>
      </c>
      <c r="AV609" s="354" t="s">
        <v>404</v>
      </c>
      <c r="AW609" s="355" t="s">
        <v>405</v>
      </c>
      <c r="AX609" s="355">
        <v>117293</v>
      </c>
      <c r="AY609" s="350" t="s">
        <v>406</v>
      </c>
      <c r="AZ609" s="351">
        <v>45140</v>
      </c>
      <c r="BA609" s="351">
        <v>45139</v>
      </c>
      <c r="BB609" s="350" t="s">
        <v>407</v>
      </c>
    </row>
    <row r="610" spans="1:54" x14ac:dyDescent="0.25">
      <c r="A610" s="348" t="s">
        <v>1456</v>
      </c>
      <c r="B610" s="349">
        <v>5173</v>
      </c>
      <c r="C610" s="350" t="s">
        <v>1429</v>
      </c>
      <c r="D610" s="351">
        <v>45117</v>
      </c>
      <c r="E610" s="352">
        <v>3170</v>
      </c>
      <c r="F610" s="352">
        <v>1</v>
      </c>
      <c r="G610" s="351"/>
      <c r="H610" s="350" t="s">
        <v>1457</v>
      </c>
      <c r="I610" s="350" t="s">
        <v>393</v>
      </c>
      <c r="J610" s="354">
        <v>236398</v>
      </c>
      <c r="K610" s="350" t="s">
        <v>394</v>
      </c>
      <c r="L610" s="354">
        <v>2.8078499999999998E-4</v>
      </c>
      <c r="M610" s="354">
        <v>84.27</v>
      </c>
      <c r="N610" s="350" t="s">
        <v>395</v>
      </c>
      <c r="O610" s="354">
        <v>66.38</v>
      </c>
      <c r="P610" s="374">
        <f t="shared" si="594"/>
        <v>5.3096955235534953</v>
      </c>
      <c r="Q610" s="354">
        <f t="shared" si="595"/>
        <v>0.50078528843644188</v>
      </c>
      <c r="R610" s="354">
        <f t="shared" si="596"/>
        <v>0.84417834404708614</v>
      </c>
      <c r="S610" s="354">
        <f t="shared" si="597"/>
        <v>0.75198276522085628</v>
      </c>
      <c r="T610" s="354">
        <f t="shared" si="598"/>
        <v>3.2089977616875016</v>
      </c>
      <c r="U610" s="374">
        <f t="shared" si="599"/>
        <v>21.310111999150905</v>
      </c>
      <c r="V610" s="354">
        <f t="shared" si="600"/>
        <v>0.56409392584105855</v>
      </c>
      <c r="W610" s="354">
        <f t="shared" si="601"/>
        <v>19.242412137121001</v>
      </c>
      <c r="X610" s="354">
        <f t="shared" si="602"/>
        <v>1.503605936188849</v>
      </c>
      <c r="Y610" s="374">
        <f t="shared" si="603"/>
        <v>3.1240298302447544</v>
      </c>
      <c r="Z610" s="354">
        <f t="shared" si="604"/>
        <v>1.611562111011615</v>
      </c>
      <c r="AA610" s="354">
        <f t="shared" si="605"/>
        <v>1.5124677192331393</v>
      </c>
      <c r="AB610" s="374">
        <f t="shared" si="606"/>
        <v>17.067811520383721</v>
      </c>
      <c r="AC610" s="354">
        <f t="shared" si="607"/>
        <v>4.8437182447703995</v>
      </c>
      <c r="AD610" s="354">
        <f t="shared" si="608"/>
        <v>10.54369867133169</v>
      </c>
      <c r="AE610" s="354">
        <f t="shared" si="609"/>
        <v>1.6803946042816318</v>
      </c>
      <c r="AF610" s="374">
        <f t="shared" si="610"/>
        <v>13.660209606141532</v>
      </c>
      <c r="AG610" s="354">
        <f t="shared" si="611"/>
        <v>0.87789662298182158</v>
      </c>
      <c r="AH610" s="354">
        <f t="shared" si="612"/>
        <v>4.4170508271758475</v>
      </c>
      <c r="AI610" s="354">
        <f t="shared" si="613"/>
        <v>0</v>
      </c>
      <c r="AJ610" s="354">
        <f t="shared" si="614"/>
        <v>8.3652621559838636</v>
      </c>
      <c r="AK610" s="374">
        <f t="shared" si="615"/>
        <v>9.0224733803714248</v>
      </c>
      <c r="AL610" s="354">
        <f t="shared" si="616"/>
        <v>2.5849985146881616</v>
      </c>
      <c r="AM610" s="354">
        <f t="shared" si="617"/>
        <v>6.0968801758868318</v>
      </c>
      <c r="AN610" s="354">
        <f t="shared" si="618"/>
        <v>0.34059468979643187</v>
      </c>
      <c r="AO610" s="374">
        <f t="shared" si="619"/>
        <v>5.2316377102463729</v>
      </c>
      <c r="AP610" s="354">
        <f t="shared" si="620"/>
        <v>1.1996695552575025</v>
      </c>
      <c r="AQ610" s="354">
        <f t="shared" si="621"/>
        <v>4.0319681549888706</v>
      </c>
      <c r="AR610" s="374">
        <f t="shared" si="622"/>
        <v>9.5440304299077905</v>
      </c>
      <c r="AS610" s="354">
        <f t="shared" si="623"/>
        <v>4.1357523872687807</v>
      </c>
      <c r="AT610" s="354">
        <f t="shared" si="624"/>
        <v>5.4082780426390107</v>
      </c>
      <c r="AU610" s="355" t="s">
        <v>396</v>
      </c>
      <c r="AV610" s="354" t="s">
        <v>404</v>
      </c>
      <c r="AW610" s="355" t="s">
        <v>405</v>
      </c>
      <c r="AX610" s="355">
        <v>117427</v>
      </c>
      <c r="AY610" s="350" t="s">
        <v>406</v>
      </c>
      <c r="AZ610" s="351">
        <v>45142</v>
      </c>
      <c r="BA610" s="351">
        <v>45142</v>
      </c>
      <c r="BB610" s="350" t="s">
        <v>407</v>
      </c>
    </row>
    <row r="611" spans="1:54" x14ac:dyDescent="0.25">
      <c r="A611" s="348" t="s">
        <v>1458</v>
      </c>
      <c r="B611" s="349">
        <v>5166</v>
      </c>
      <c r="C611" s="350" t="s">
        <v>1429</v>
      </c>
      <c r="D611" s="351">
        <v>45126</v>
      </c>
      <c r="E611" s="352">
        <v>3170</v>
      </c>
      <c r="F611" s="352">
        <v>1</v>
      </c>
      <c r="G611" s="351"/>
      <c r="H611" s="350" t="s">
        <v>1459</v>
      </c>
      <c r="I611" s="350" t="s">
        <v>393</v>
      </c>
      <c r="J611" s="354">
        <v>206865</v>
      </c>
      <c r="K611" s="350" t="s">
        <v>394</v>
      </c>
      <c r="L611" s="354">
        <v>2.8078499999999998E-4</v>
      </c>
      <c r="M611" s="354">
        <v>73.739999999999995</v>
      </c>
      <c r="N611" s="350" t="s">
        <v>395</v>
      </c>
      <c r="O611" s="354">
        <v>58.08</v>
      </c>
      <c r="P611" s="374">
        <f t="shared" si="594"/>
        <v>4.6462198636149843</v>
      </c>
      <c r="Q611" s="354">
        <f t="shared" si="595"/>
        <v>0.43820941223808269</v>
      </c>
      <c r="R611" s="354">
        <f t="shared" si="596"/>
        <v>0.73869361682724732</v>
      </c>
      <c r="S611" s="354">
        <f t="shared" si="597"/>
        <v>0.65801838266744916</v>
      </c>
      <c r="T611" s="354">
        <f t="shared" si="598"/>
        <v>2.8080158413057599</v>
      </c>
      <c r="U611" s="374">
        <f t="shared" si="599"/>
        <v>18.64729629544782</v>
      </c>
      <c r="V611" s="354">
        <f t="shared" si="600"/>
        <v>0.49360728719021785</v>
      </c>
      <c r="W611" s="354">
        <f t="shared" si="601"/>
        <v>16.83796690389584</v>
      </c>
      <c r="X611" s="354">
        <f t="shared" si="602"/>
        <v>1.3157221043617624</v>
      </c>
      <c r="Y611" s="374">
        <f t="shared" si="603"/>
        <v>2.7336651202355311</v>
      </c>
      <c r="Z611" s="354">
        <f t="shared" si="604"/>
        <v>1.4101885613622462</v>
      </c>
      <c r="AA611" s="354">
        <f t="shared" si="605"/>
        <v>1.3234765588732846</v>
      </c>
      <c r="AB611" s="374">
        <f t="shared" si="606"/>
        <v>14.935094594910353</v>
      </c>
      <c r="AC611" s="354">
        <f t="shared" si="607"/>
        <v>4.2384690087738131</v>
      </c>
      <c r="AD611" s="354">
        <f t="shared" si="608"/>
        <v>9.2262055301293309</v>
      </c>
      <c r="AE611" s="354">
        <f t="shared" si="609"/>
        <v>1.4704200560072092</v>
      </c>
      <c r="AF611" s="374">
        <f t="shared" si="610"/>
        <v>11.953291282269806</v>
      </c>
      <c r="AG611" s="354">
        <f t="shared" si="611"/>
        <v>0.76819861135255163</v>
      </c>
      <c r="AH611" s="354">
        <f t="shared" si="612"/>
        <v>3.865116031754444</v>
      </c>
      <c r="AI611" s="354">
        <f t="shared" si="613"/>
        <v>0</v>
      </c>
      <c r="AJ611" s="354">
        <f t="shared" si="614"/>
        <v>7.3199766391628112</v>
      </c>
      <c r="AK611" s="374">
        <f t="shared" si="615"/>
        <v>7.8950657062844289</v>
      </c>
      <c r="AL611" s="354">
        <f t="shared" si="616"/>
        <v>2.2619887323259169</v>
      </c>
      <c r="AM611" s="354">
        <f t="shared" si="617"/>
        <v>5.3350414639835639</v>
      </c>
      <c r="AN611" s="354">
        <f t="shared" si="618"/>
        <v>0.29803550997494821</v>
      </c>
      <c r="AO611" s="374">
        <f t="shared" si="619"/>
        <v>4.5779158034124539</v>
      </c>
      <c r="AP611" s="354">
        <f t="shared" si="620"/>
        <v>1.0497642459319831</v>
      </c>
      <c r="AQ611" s="354">
        <f t="shared" si="621"/>
        <v>3.5281515574804709</v>
      </c>
      <c r="AR611" s="374">
        <f t="shared" si="622"/>
        <v>8.3514513338246168</v>
      </c>
      <c r="AS611" s="354">
        <f t="shared" si="623"/>
        <v>3.6189673791052552</v>
      </c>
      <c r="AT611" s="354">
        <f t="shared" si="624"/>
        <v>4.7324839547193616</v>
      </c>
      <c r="AU611" s="355" t="s">
        <v>396</v>
      </c>
      <c r="AV611" s="354" t="s">
        <v>404</v>
      </c>
      <c r="AW611" s="355" t="s">
        <v>405</v>
      </c>
      <c r="AX611" s="355">
        <v>103328</v>
      </c>
      <c r="AY611" s="350" t="s">
        <v>406</v>
      </c>
      <c r="AZ611" s="351">
        <v>45142</v>
      </c>
      <c r="BA611" s="351">
        <v>45142</v>
      </c>
      <c r="BB611" s="350" t="s">
        <v>407</v>
      </c>
    </row>
    <row r="612" spans="1:54" x14ac:dyDescent="0.25">
      <c r="A612" s="348" t="s">
        <v>1468</v>
      </c>
      <c r="B612" s="349">
        <v>5396</v>
      </c>
      <c r="C612" s="350" t="s">
        <v>1469</v>
      </c>
      <c r="D612" s="351">
        <v>45160</v>
      </c>
      <c r="E612" s="352">
        <v>3175</v>
      </c>
      <c r="F612" s="352">
        <v>7</v>
      </c>
      <c r="G612" s="351"/>
      <c r="H612" s="350" t="s">
        <v>1470</v>
      </c>
      <c r="I612" s="350" t="s">
        <v>393</v>
      </c>
      <c r="J612" s="354">
        <v>2000000</v>
      </c>
      <c r="K612" s="350" t="s">
        <v>394</v>
      </c>
      <c r="L612" s="354">
        <v>2.7534199999999998E-4</v>
      </c>
      <c r="M612" s="354">
        <v>708.62</v>
      </c>
      <c r="N612" s="350" t="s">
        <v>395</v>
      </c>
      <c r="O612" s="354">
        <v>550.67999999999995</v>
      </c>
      <c r="P612" s="374">
        <f t="shared" si="594"/>
        <v>44.648824515254276</v>
      </c>
      <c r="Q612" s="354">
        <f t="shared" si="595"/>
        <v>4.2110652793619492</v>
      </c>
      <c r="R612" s="354">
        <f t="shared" si="596"/>
        <v>7.098631282290806</v>
      </c>
      <c r="S612" s="354">
        <f t="shared" si="597"/>
        <v>6.323365694681419</v>
      </c>
      <c r="T612" s="354">
        <f t="shared" si="598"/>
        <v>26.984217323923076</v>
      </c>
      <c r="U612" s="374">
        <f t="shared" si="599"/>
        <v>179.1951057889915</v>
      </c>
      <c r="V612" s="354">
        <f t="shared" si="600"/>
        <v>4.7434227806988352</v>
      </c>
      <c r="W612" s="354">
        <f t="shared" si="601"/>
        <v>161.80797541956429</v>
      </c>
      <c r="X612" s="354">
        <f t="shared" si="602"/>
        <v>12.643707588728399</v>
      </c>
      <c r="Y612" s="374">
        <f t="shared" si="603"/>
        <v>26.269728471674831</v>
      </c>
      <c r="Z612" s="354">
        <f t="shared" si="604"/>
        <v>13.551502825501966</v>
      </c>
      <c r="AA612" s="354">
        <f t="shared" si="605"/>
        <v>12.718225646172865</v>
      </c>
      <c r="AB612" s="374">
        <f t="shared" si="606"/>
        <v>143.52192476058281</v>
      </c>
      <c r="AC612" s="354">
        <f t="shared" si="607"/>
        <v>40.730457133133982</v>
      </c>
      <c r="AD612" s="354">
        <f t="shared" si="608"/>
        <v>88.661157618121067</v>
      </c>
      <c r="AE612" s="354">
        <f t="shared" si="609"/>
        <v>14.130310009327756</v>
      </c>
      <c r="AF612" s="374">
        <f t="shared" si="610"/>
        <v>114.8676602717932</v>
      </c>
      <c r="AG612" s="354">
        <f t="shared" si="611"/>
        <v>7.3821657170686894</v>
      </c>
      <c r="AH612" s="354">
        <f t="shared" si="612"/>
        <v>37.142643374312918</v>
      </c>
      <c r="AI612" s="354">
        <f t="shared" si="613"/>
        <v>0</v>
      </c>
      <c r="AJ612" s="354">
        <f t="shared" si="614"/>
        <v>70.3428511804116</v>
      </c>
      <c r="AK612" s="374">
        <f t="shared" si="615"/>
        <v>75.869290219518206</v>
      </c>
      <c r="AL612" s="354">
        <f t="shared" si="616"/>
        <v>21.737055268521718</v>
      </c>
      <c r="AM612" s="354">
        <f t="shared" si="617"/>
        <v>51.268200192677426</v>
      </c>
      <c r="AN612" s="354">
        <f t="shared" si="618"/>
        <v>2.8640347583190646</v>
      </c>
      <c r="AO612" s="374">
        <f t="shared" si="619"/>
        <v>43.992442319150172</v>
      </c>
      <c r="AP612" s="354">
        <f t="shared" si="620"/>
        <v>10.087929752540305</v>
      </c>
      <c r="AQ612" s="354">
        <f t="shared" si="621"/>
        <v>33.904512566609867</v>
      </c>
      <c r="AR612" s="374">
        <f t="shared" si="622"/>
        <v>80.255023653034996</v>
      </c>
      <c r="AS612" s="354">
        <f t="shared" si="623"/>
        <v>34.777226256869625</v>
      </c>
      <c r="AT612" s="354">
        <f t="shared" si="624"/>
        <v>45.477797396165371</v>
      </c>
      <c r="AU612" s="355" t="s">
        <v>396</v>
      </c>
      <c r="AV612" s="354" t="s">
        <v>404</v>
      </c>
      <c r="AW612" s="355" t="s">
        <v>405</v>
      </c>
      <c r="AX612" s="355">
        <v>0</v>
      </c>
      <c r="AY612" s="350" t="s">
        <v>410</v>
      </c>
      <c r="AZ612" s="351">
        <v>45175</v>
      </c>
      <c r="BA612" s="351">
        <v>45175</v>
      </c>
      <c r="BB612" s="350" t="s">
        <v>407</v>
      </c>
    </row>
    <row r="613" spans="1:54" x14ac:dyDescent="0.25">
      <c r="A613" s="348" t="s">
        <v>457</v>
      </c>
      <c r="B613" s="349">
        <v>5429</v>
      </c>
      <c r="C613" s="350" t="s">
        <v>1469</v>
      </c>
      <c r="D613" s="351">
        <v>45169</v>
      </c>
      <c r="E613" s="352">
        <v>3600</v>
      </c>
      <c r="F613" s="352">
        <v>7</v>
      </c>
      <c r="G613" s="351"/>
      <c r="H613" s="350" t="s">
        <v>1471</v>
      </c>
      <c r="I613" s="350" t="s">
        <v>393</v>
      </c>
      <c r="J613" s="354">
        <v>60000</v>
      </c>
      <c r="K613" s="350" t="s">
        <v>394</v>
      </c>
      <c r="L613" s="354">
        <v>2.7534199999999998E-4</v>
      </c>
      <c r="M613" s="354">
        <v>21.26</v>
      </c>
      <c r="N613" s="350" t="s">
        <v>395</v>
      </c>
      <c r="O613" s="354">
        <v>16.52</v>
      </c>
      <c r="P613" s="374">
        <f t="shared" si="594"/>
        <v>1.3395529468464142</v>
      </c>
      <c r="Q613" s="354">
        <f t="shared" si="595"/>
        <v>0.12634027806050502</v>
      </c>
      <c r="R613" s="354">
        <f t="shared" si="596"/>
        <v>0.21297296302884841</v>
      </c>
      <c r="S613" s="354">
        <f t="shared" si="597"/>
        <v>0.18971346373081058</v>
      </c>
      <c r="T613" s="354">
        <f t="shared" si="598"/>
        <v>0.80957983165392544</v>
      </c>
      <c r="U613" s="374">
        <f t="shared" si="599"/>
        <v>5.3762072042476357</v>
      </c>
      <c r="V613" s="354">
        <f t="shared" si="600"/>
        <v>0.14231205486390061</v>
      </c>
      <c r="W613" s="354">
        <f t="shared" si="601"/>
        <v>4.8545589419151831</v>
      </c>
      <c r="X613" s="354">
        <f t="shared" si="602"/>
        <v>0.37933620746855262</v>
      </c>
      <c r="Y613" s="374">
        <f t="shared" si="603"/>
        <v>0.78814375449155671</v>
      </c>
      <c r="Z613" s="354">
        <f t="shared" si="604"/>
        <v>0.40657185807650331</v>
      </c>
      <c r="AA613" s="354">
        <f t="shared" si="605"/>
        <v>0.38157189641505335</v>
      </c>
      <c r="AB613" s="374">
        <f t="shared" si="606"/>
        <v>4.3059412949253346</v>
      </c>
      <c r="AC613" s="354">
        <f t="shared" si="607"/>
        <v>1.2219941839779127</v>
      </c>
      <c r="AD613" s="354">
        <f t="shared" si="608"/>
        <v>2.6600098938235641</v>
      </c>
      <c r="AE613" s="354">
        <f t="shared" si="609"/>
        <v>0.42393721712385779</v>
      </c>
      <c r="AF613" s="374">
        <f t="shared" si="610"/>
        <v>3.4462567488616234</v>
      </c>
      <c r="AG613" s="354">
        <f t="shared" si="611"/>
        <v>0.22147955624295157</v>
      </c>
      <c r="AH613" s="354">
        <f t="shared" si="612"/>
        <v>1.1143526828736032</v>
      </c>
      <c r="AI613" s="354">
        <f t="shared" si="613"/>
        <v>0</v>
      </c>
      <c r="AJ613" s="354">
        <f t="shared" si="614"/>
        <v>2.1104245097450689</v>
      </c>
      <c r="AK613" s="374">
        <f t="shared" si="615"/>
        <v>2.2762285993437343</v>
      </c>
      <c r="AL613" s="354">
        <f t="shared" si="616"/>
        <v>0.65215460332586106</v>
      </c>
      <c r="AM613" s="354">
        <f t="shared" si="617"/>
        <v>1.5381472948778219</v>
      </c>
      <c r="AN613" s="354">
        <f t="shared" si="618"/>
        <v>8.592670114005152E-2</v>
      </c>
      <c r="AO613" s="374">
        <f t="shared" si="619"/>
        <v>1.3198601841680064</v>
      </c>
      <c r="AP613" s="354">
        <f t="shared" si="620"/>
        <v>0.3026578230066988</v>
      </c>
      <c r="AQ613" s="354">
        <f t="shared" si="621"/>
        <v>1.0172023611613077</v>
      </c>
      <c r="AR613" s="374">
        <f t="shared" si="622"/>
        <v>2.4078092671156952</v>
      </c>
      <c r="AS613" s="354">
        <f t="shared" si="623"/>
        <v>1.0433854960642492</v>
      </c>
      <c r="AT613" s="354">
        <f t="shared" si="624"/>
        <v>1.3644237710514462</v>
      </c>
      <c r="AU613" s="355" t="s">
        <v>396</v>
      </c>
      <c r="AV613" s="354" t="s">
        <v>404</v>
      </c>
      <c r="AW613" s="355" t="s">
        <v>405</v>
      </c>
      <c r="AX613" s="355">
        <v>0</v>
      </c>
      <c r="AY613" s="350" t="s">
        <v>410</v>
      </c>
      <c r="AZ613" s="351">
        <v>45175</v>
      </c>
      <c r="BA613" s="351">
        <v>45175</v>
      </c>
      <c r="BB613" s="350" t="s">
        <v>407</v>
      </c>
    </row>
    <row r="614" spans="1:54" x14ac:dyDescent="0.25">
      <c r="A614" s="348" t="s">
        <v>621</v>
      </c>
      <c r="B614" s="349">
        <v>5428</v>
      </c>
      <c r="C614" s="350" t="s">
        <v>1469</v>
      </c>
      <c r="D614" s="351">
        <v>45169</v>
      </c>
      <c r="E614" s="352">
        <v>3600</v>
      </c>
      <c r="F614" s="352">
        <v>7</v>
      </c>
      <c r="G614" s="351"/>
      <c r="H614" s="350" t="s">
        <v>1472</v>
      </c>
      <c r="I614" s="350" t="s">
        <v>393</v>
      </c>
      <c r="J614" s="354">
        <v>15</v>
      </c>
      <c r="K614" s="350" t="s">
        <v>395</v>
      </c>
      <c r="L614" s="354">
        <v>0.77712154200000005</v>
      </c>
      <c r="M614" s="354">
        <v>15</v>
      </c>
      <c r="N614" s="350" t="s">
        <v>395</v>
      </c>
      <c r="O614" s="354">
        <v>11.66</v>
      </c>
      <c r="P614" s="374">
        <f t="shared" si="594"/>
        <v>0.94512202270443135</v>
      </c>
      <c r="Q614" s="354">
        <f t="shared" si="595"/>
        <v>8.9139424783987523E-2</v>
      </c>
      <c r="R614" s="354">
        <f t="shared" si="596"/>
        <v>0.15026314418780459</v>
      </c>
      <c r="S614" s="354">
        <f t="shared" si="597"/>
        <v>0.13385239679972522</v>
      </c>
      <c r="T614" s="354">
        <f t="shared" si="598"/>
        <v>0.5711993167831082</v>
      </c>
      <c r="U614" s="374">
        <f t="shared" si="599"/>
        <v>3.7931847631098088</v>
      </c>
      <c r="V614" s="354">
        <f t="shared" si="600"/>
        <v>0.10040831716643976</v>
      </c>
      <c r="W614" s="354">
        <f t="shared" si="601"/>
        <v>3.4251356598648983</v>
      </c>
      <c r="X614" s="354">
        <f t="shared" si="602"/>
        <v>0.2676407860784708</v>
      </c>
      <c r="Y614" s="374">
        <f t="shared" si="603"/>
        <v>0.55607508548322437</v>
      </c>
      <c r="Z614" s="354">
        <f t="shared" si="604"/>
        <v>0.28685690833243416</v>
      </c>
      <c r="AA614" s="354">
        <f t="shared" si="605"/>
        <v>0.26921817715079022</v>
      </c>
      <c r="AB614" s="374">
        <f t="shared" si="606"/>
        <v>3.0380582983951085</v>
      </c>
      <c r="AC614" s="354">
        <f t="shared" si="607"/>
        <v>0.8621783988555356</v>
      </c>
      <c r="AD614" s="354">
        <f t="shared" si="608"/>
        <v>1.876770856413615</v>
      </c>
      <c r="AE614" s="354">
        <f t="shared" si="609"/>
        <v>0.29910904312595793</v>
      </c>
      <c r="AF614" s="374">
        <f t="shared" si="610"/>
        <v>2.431507583862857</v>
      </c>
      <c r="AG614" s="354">
        <f t="shared" si="611"/>
        <v>0.1562649738308689</v>
      </c>
      <c r="AH614" s="354">
        <f t="shared" si="612"/>
        <v>0.78623190230969164</v>
      </c>
      <c r="AI614" s="354">
        <f t="shared" si="613"/>
        <v>0</v>
      </c>
      <c r="AJ614" s="354">
        <f t="shared" si="614"/>
        <v>1.4890107077222967</v>
      </c>
      <c r="AK614" s="374">
        <f t="shared" si="615"/>
        <v>1.6059938377307628</v>
      </c>
      <c r="AL614" s="354">
        <f t="shared" si="616"/>
        <v>0.46012789510291235</v>
      </c>
      <c r="AM614" s="354">
        <f t="shared" si="617"/>
        <v>1.0852403303465348</v>
      </c>
      <c r="AN614" s="354">
        <f t="shared" si="618"/>
        <v>6.0625612281315751E-2</v>
      </c>
      <c r="AO614" s="374">
        <f t="shared" si="619"/>
        <v>0.9312277875127043</v>
      </c>
      <c r="AP614" s="354">
        <f t="shared" si="620"/>
        <v>0.21354032667452874</v>
      </c>
      <c r="AQ614" s="354">
        <f t="shared" si="621"/>
        <v>0.71768746083817558</v>
      </c>
      <c r="AR614" s="374">
        <f t="shared" si="622"/>
        <v>1.698830621201102</v>
      </c>
      <c r="AS614" s="354">
        <f t="shared" si="623"/>
        <v>0.73616098028992183</v>
      </c>
      <c r="AT614" s="354">
        <f t="shared" si="624"/>
        <v>0.96266964091118024</v>
      </c>
      <c r="AU614" s="355" t="s">
        <v>396</v>
      </c>
      <c r="AV614" s="354" t="s">
        <v>404</v>
      </c>
      <c r="AW614" s="355" t="s">
        <v>405</v>
      </c>
      <c r="AX614" s="355">
        <v>0</v>
      </c>
      <c r="AY614" s="350" t="s">
        <v>410</v>
      </c>
      <c r="AZ614" s="351">
        <v>45175</v>
      </c>
      <c r="BA614" s="351">
        <v>45175</v>
      </c>
      <c r="BB614" s="350" t="s">
        <v>407</v>
      </c>
    </row>
    <row r="615" spans="1:54" x14ac:dyDescent="0.25">
      <c r="A615" s="348" t="s">
        <v>1473</v>
      </c>
      <c r="B615" s="349">
        <v>5367</v>
      </c>
      <c r="C615" s="350" t="s">
        <v>1469</v>
      </c>
      <c r="D615" s="351">
        <v>45148</v>
      </c>
      <c r="E615" s="352">
        <v>3420</v>
      </c>
      <c r="F615" s="352">
        <v>7</v>
      </c>
      <c r="G615" s="351"/>
      <c r="H615" s="350" t="s">
        <v>1474</v>
      </c>
      <c r="I615" s="350" t="s">
        <v>393</v>
      </c>
      <c r="J615" s="354">
        <v>147665</v>
      </c>
      <c r="K615" s="350" t="s">
        <v>394</v>
      </c>
      <c r="L615" s="354">
        <v>2.7534199999999998E-4</v>
      </c>
      <c r="M615" s="354">
        <v>52.32</v>
      </c>
      <c r="N615" s="350" t="s">
        <v>395</v>
      </c>
      <c r="O615" s="354">
        <v>40.659999999999997</v>
      </c>
      <c r="P615" s="374">
        <f t="shared" si="594"/>
        <v>3.2965856151930568</v>
      </c>
      <c r="Q615" s="354">
        <f t="shared" si="595"/>
        <v>0.31091831364654854</v>
      </c>
      <c r="R615" s="354">
        <f t="shared" si="596"/>
        <v>0.52411784692706243</v>
      </c>
      <c r="S615" s="354">
        <f t="shared" si="597"/>
        <v>0.46687716003744162</v>
      </c>
      <c r="T615" s="354">
        <f t="shared" si="598"/>
        <v>1.9923432169394815</v>
      </c>
      <c r="U615" s="374">
        <f t="shared" si="599"/>
        <v>13.230628453727013</v>
      </c>
      <c r="V615" s="354">
        <f t="shared" si="600"/>
        <v>0.35022421027654188</v>
      </c>
      <c r="W615" s="354">
        <f t="shared" si="601"/>
        <v>11.946873181608765</v>
      </c>
      <c r="X615" s="354">
        <f t="shared" si="602"/>
        <v>0.93353106184170609</v>
      </c>
      <c r="Y615" s="374">
        <f t="shared" si="603"/>
        <v>1.9395898981654867</v>
      </c>
      <c r="Z615" s="354">
        <f t="shared" si="604"/>
        <v>1.0005568962635303</v>
      </c>
      <c r="AA615" s="354">
        <f t="shared" si="605"/>
        <v>0.93903300190195627</v>
      </c>
      <c r="AB615" s="374">
        <f t="shared" si="606"/>
        <v>10.596747344802139</v>
      </c>
      <c r="AC615" s="354">
        <f t="shared" si="607"/>
        <v>3.0072782552081083</v>
      </c>
      <c r="AD615" s="354">
        <f t="shared" si="608"/>
        <v>6.5461767471706898</v>
      </c>
      <c r="AE615" s="354">
        <f t="shared" si="609"/>
        <v>1.0432923424233413</v>
      </c>
      <c r="AF615" s="374">
        <f t="shared" si="610"/>
        <v>8.4810984525136455</v>
      </c>
      <c r="AG615" s="354">
        <f t="shared" si="611"/>
        <v>0.54505222872207071</v>
      </c>
      <c r="AH615" s="354">
        <f t="shared" si="612"/>
        <v>2.7423768752562045</v>
      </c>
      <c r="AI615" s="354">
        <f t="shared" si="613"/>
        <v>0</v>
      </c>
      <c r="AJ615" s="354">
        <f t="shared" si="614"/>
        <v>5.1936693485353711</v>
      </c>
      <c r="AK615" s="374">
        <f t="shared" si="615"/>
        <v>5.6017065060049003</v>
      </c>
      <c r="AL615" s="354">
        <f t="shared" si="616"/>
        <v>1.6049260981189584</v>
      </c>
      <c r="AM615" s="354">
        <f t="shared" si="617"/>
        <v>3.7853182722487126</v>
      </c>
      <c r="AN615" s="354">
        <f t="shared" si="618"/>
        <v>0.21146213563722935</v>
      </c>
      <c r="AO615" s="374">
        <f t="shared" si="619"/>
        <v>3.2481225228443127</v>
      </c>
      <c r="AP615" s="354">
        <f t="shared" si="620"/>
        <v>0.74482865944075627</v>
      </c>
      <c r="AQ615" s="354">
        <f t="shared" si="621"/>
        <v>2.5032938634035564</v>
      </c>
      <c r="AR615" s="374">
        <f t="shared" si="622"/>
        <v>5.925521206749444</v>
      </c>
      <c r="AS615" s="354">
        <f t="shared" si="623"/>
        <v>2.5677294992512474</v>
      </c>
      <c r="AT615" s="354">
        <f t="shared" si="624"/>
        <v>3.3577917074981971</v>
      </c>
      <c r="AU615" s="355" t="s">
        <v>396</v>
      </c>
      <c r="AV615" s="354" t="s">
        <v>404</v>
      </c>
      <c r="AW615" s="355" t="s">
        <v>405</v>
      </c>
      <c r="AX615" s="355">
        <v>0</v>
      </c>
      <c r="AY615" s="350" t="s">
        <v>410</v>
      </c>
      <c r="AZ615" s="351">
        <v>45173</v>
      </c>
      <c r="BA615" s="351">
        <v>45174</v>
      </c>
      <c r="BB615" s="350" t="s">
        <v>407</v>
      </c>
    </row>
    <row r="616" spans="1:54" x14ac:dyDescent="0.25">
      <c r="A616" s="348" t="s">
        <v>1477</v>
      </c>
      <c r="B616" s="349">
        <v>5440</v>
      </c>
      <c r="C616" s="350" t="s">
        <v>1469</v>
      </c>
      <c r="D616" s="351">
        <v>45144</v>
      </c>
      <c r="E616" s="352">
        <v>3490</v>
      </c>
      <c r="F616" s="352">
        <v>7</v>
      </c>
      <c r="G616" s="351"/>
      <c r="H616" s="350" t="s">
        <v>1478</v>
      </c>
      <c r="I616" s="350" t="s">
        <v>393</v>
      </c>
      <c r="J616" s="354">
        <v>14000</v>
      </c>
      <c r="K616" s="350" t="s">
        <v>394</v>
      </c>
      <c r="L616" s="354">
        <v>2.7534199999999998E-4</v>
      </c>
      <c r="M616" s="354">
        <v>4.96</v>
      </c>
      <c r="N616" s="350" t="s">
        <v>395</v>
      </c>
      <c r="O616" s="354">
        <v>3.85</v>
      </c>
      <c r="P616" s="374">
        <f t="shared" si="594"/>
        <v>0.31252034884093199</v>
      </c>
      <c r="Q616" s="354">
        <f t="shared" si="595"/>
        <v>2.9475436461905213E-2</v>
      </c>
      <c r="R616" s="354">
        <f t="shared" si="596"/>
        <v>4.9687013011434057E-2</v>
      </c>
      <c r="S616" s="354">
        <f t="shared" si="597"/>
        <v>4.426052587510914E-2</v>
      </c>
      <c r="T616" s="354">
        <f t="shared" si="598"/>
        <v>0.18887657408294778</v>
      </c>
      <c r="U616" s="374">
        <f t="shared" si="599"/>
        <v>1.2542797616683101</v>
      </c>
      <c r="V616" s="354">
        <f t="shared" si="600"/>
        <v>3.3201683543036077E-2</v>
      </c>
      <c r="W616" s="354">
        <f t="shared" si="601"/>
        <v>1.1325781915286597</v>
      </c>
      <c r="X616" s="354">
        <f t="shared" si="602"/>
        <v>8.8499886596614341E-2</v>
      </c>
      <c r="Y616" s="374">
        <f t="shared" si="603"/>
        <v>0.18387549493311953</v>
      </c>
      <c r="Z616" s="354">
        <f t="shared" si="604"/>
        <v>9.4854017688591558E-2</v>
      </c>
      <c r="AA616" s="354">
        <f t="shared" si="605"/>
        <v>8.9021477244527955E-2</v>
      </c>
      <c r="AB616" s="374">
        <f t="shared" si="606"/>
        <v>1.0045846106693159</v>
      </c>
      <c r="AC616" s="354">
        <f t="shared" si="607"/>
        <v>0.28509365722156377</v>
      </c>
      <c r="AD616" s="354">
        <f t="shared" si="608"/>
        <v>0.62058556318743541</v>
      </c>
      <c r="AE616" s="354">
        <f t="shared" si="609"/>
        <v>9.8905390260316764E-2</v>
      </c>
      <c r="AF616" s="374">
        <f t="shared" si="610"/>
        <v>0.80401850773065142</v>
      </c>
      <c r="AG616" s="354">
        <f t="shared" si="611"/>
        <v>5.1671618013407319E-2</v>
      </c>
      <c r="AH616" s="354">
        <f t="shared" si="612"/>
        <v>0.25998068236373806</v>
      </c>
      <c r="AI616" s="354">
        <f t="shared" si="613"/>
        <v>0</v>
      </c>
      <c r="AJ616" s="354">
        <f t="shared" si="614"/>
        <v>0.49236620735350611</v>
      </c>
      <c r="AK616" s="374">
        <f t="shared" si="615"/>
        <v>0.5310486290096389</v>
      </c>
      <c r="AL616" s="354">
        <f t="shared" si="616"/>
        <v>0.15214895731402969</v>
      </c>
      <c r="AM616" s="354">
        <f t="shared" si="617"/>
        <v>0.35885280256792079</v>
      </c>
      <c r="AN616" s="354">
        <f t="shared" si="618"/>
        <v>2.004686912768841E-2</v>
      </c>
      <c r="AO616" s="374">
        <f t="shared" si="619"/>
        <v>0.30792598840420088</v>
      </c>
      <c r="AP616" s="354">
        <f t="shared" si="620"/>
        <v>7.0610668020377493E-2</v>
      </c>
      <c r="AQ616" s="354">
        <f t="shared" si="621"/>
        <v>0.23731532038382339</v>
      </c>
      <c r="AR616" s="374">
        <f t="shared" si="622"/>
        <v>0.56174665874383101</v>
      </c>
      <c r="AS616" s="354">
        <f t="shared" si="623"/>
        <v>0.24342389748253412</v>
      </c>
      <c r="AT616" s="354">
        <f t="shared" si="624"/>
        <v>0.31832276126129694</v>
      </c>
      <c r="AU616" s="355" t="s">
        <v>396</v>
      </c>
      <c r="AV616" s="354" t="s">
        <v>404</v>
      </c>
      <c r="AW616" s="355" t="s">
        <v>405</v>
      </c>
      <c r="AX616" s="355">
        <v>0</v>
      </c>
      <c r="AY616" s="350" t="s">
        <v>410</v>
      </c>
      <c r="AZ616" s="351">
        <v>45175</v>
      </c>
      <c r="BA616" s="351">
        <v>45175</v>
      </c>
      <c r="BB616" s="350" t="s">
        <v>407</v>
      </c>
    </row>
    <row r="617" spans="1:54" x14ac:dyDescent="0.25">
      <c r="A617" s="348" t="s">
        <v>1479</v>
      </c>
      <c r="B617" s="349">
        <v>5441</v>
      </c>
      <c r="C617" s="350" t="s">
        <v>1469</v>
      </c>
      <c r="D617" s="351">
        <v>45145</v>
      </c>
      <c r="E617" s="352">
        <v>3490</v>
      </c>
      <c r="F617" s="352">
        <v>7</v>
      </c>
      <c r="G617" s="351"/>
      <c r="H617" s="350" t="s">
        <v>442</v>
      </c>
      <c r="I617" s="350" t="s">
        <v>393</v>
      </c>
      <c r="J617" s="354">
        <v>85500</v>
      </c>
      <c r="K617" s="350" t="s">
        <v>394</v>
      </c>
      <c r="L617" s="354">
        <v>2.7534199999999998E-4</v>
      </c>
      <c r="M617" s="354">
        <v>30.29</v>
      </c>
      <c r="N617" s="350" t="s">
        <v>395</v>
      </c>
      <c r="O617" s="354">
        <v>23.54</v>
      </c>
      <c r="P617" s="374">
        <f t="shared" si="594"/>
        <v>1.9085164045144818</v>
      </c>
      <c r="Q617" s="354">
        <f t="shared" si="595"/>
        <v>0.18000221178046549</v>
      </c>
      <c r="R617" s="354">
        <f t="shared" si="596"/>
        <v>0.30343137582990676</v>
      </c>
      <c r="S617" s="354">
        <f t="shared" si="597"/>
        <v>0.27029260660424514</v>
      </c>
      <c r="T617" s="354">
        <f t="shared" si="598"/>
        <v>1.1534418203573564</v>
      </c>
      <c r="U617" s="374">
        <f t="shared" si="599"/>
        <v>7.6597044316397405</v>
      </c>
      <c r="V617" s="354">
        <f t="shared" si="600"/>
        <v>0.20275786179809735</v>
      </c>
      <c r="W617" s="354">
        <f t="shared" si="601"/>
        <v>6.9164906091538514</v>
      </c>
      <c r="X617" s="354">
        <f t="shared" si="602"/>
        <v>0.540455960687792</v>
      </c>
      <c r="Y617" s="374">
        <f t="shared" si="603"/>
        <v>1.1229009559524579</v>
      </c>
      <c r="Z617" s="354">
        <f t="shared" si="604"/>
        <v>0.57925971689262867</v>
      </c>
      <c r="AA617" s="354">
        <f t="shared" si="605"/>
        <v>0.54364123905982908</v>
      </c>
      <c r="AB617" s="374">
        <f t="shared" si="606"/>
        <v>6.134852390559189</v>
      </c>
      <c r="AC617" s="354">
        <f t="shared" si="607"/>
        <v>1.7410255800889449</v>
      </c>
      <c r="AD617" s="354">
        <f t="shared" si="608"/>
        <v>3.7898259493845599</v>
      </c>
      <c r="AE617" s="354">
        <f t="shared" si="609"/>
        <v>0.6040008610856844</v>
      </c>
      <c r="AF617" s="374">
        <f t="shared" si="610"/>
        <v>4.910024314347063</v>
      </c>
      <c r="AG617" s="354">
        <f t="shared" si="611"/>
        <v>0.31555107048913461</v>
      </c>
      <c r="AH617" s="354">
        <f t="shared" si="612"/>
        <v>1.5876642880640375</v>
      </c>
      <c r="AI617" s="354">
        <f t="shared" si="613"/>
        <v>0</v>
      </c>
      <c r="AJ617" s="354">
        <f t="shared" si="614"/>
        <v>3.0068089557938915</v>
      </c>
      <c r="AK617" s="374">
        <f t="shared" si="615"/>
        <v>3.2430368896576534</v>
      </c>
      <c r="AL617" s="354">
        <f t="shared" si="616"/>
        <v>0.92915159617781429</v>
      </c>
      <c r="AM617" s="354">
        <f t="shared" si="617"/>
        <v>2.1914619737464354</v>
      </c>
      <c r="AN617" s="354">
        <f t="shared" si="618"/>
        <v>0.1224233197334036</v>
      </c>
      <c r="AO617" s="374">
        <f t="shared" si="619"/>
        <v>1.8804593122506541</v>
      </c>
      <c r="AP617" s="354">
        <f t="shared" si="620"/>
        <v>0.43120909966476501</v>
      </c>
      <c r="AQ617" s="354">
        <f t="shared" si="621"/>
        <v>1.4492502125858893</v>
      </c>
      <c r="AR617" s="374">
        <f t="shared" si="622"/>
        <v>3.4305053010787585</v>
      </c>
      <c r="AS617" s="354">
        <f t="shared" si="623"/>
        <v>1.4865544061987821</v>
      </c>
      <c r="AT617" s="354">
        <f t="shared" si="624"/>
        <v>1.9439508948799766</v>
      </c>
      <c r="AU617" s="355" t="s">
        <v>396</v>
      </c>
      <c r="AV617" s="354" t="s">
        <v>404</v>
      </c>
      <c r="AW617" s="355" t="s">
        <v>405</v>
      </c>
      <c r="AX617" s="355">
        <v>0</v>
      </c>
      <c r="AY617" s="350" t="s">
        <v>410</v>
      </c>
      <c r="AZ617" s="351">
        <v>45175</v>
      </c>
      <c r="BA617" s="351">
        <v>45175</v>
      </c>
      <c r="BB617" s="350" t="s">
        <v>407</v>
      </c>
    </row>
    <row r="618" spans="1:54" x14ac:dyDescent="0.25">
      <c r="A618" s="348" t="s">
        <v>1480</v>
      </c>
      <c r="B618" s="349">
        <v>5443</v>
      </c>
      <c r="C618" s="350" t="s">
        <v>1469</v>
      </c>
      <c r="D618" s="351">
        <v>45149</v>
      </c>
      <c r="E618" s="352">
        <v>3490</v>
      </c>
      <c r="F618" s="352">
        <v>7</v>
      </c>
      <c r="G618" s="351"/>
      <c r="H618" s="350" t="s">
        <v>1481</v>
      </c>
      <c r="I618" s="350" t="s">
        <v>393</v>
      </c>
      <c r="J618" s="354">
        <v>10000</v>
      </c>
      <c r="K618" s="350" t="s">
        <v>394</v>
      </c>
      <c r="L618" s="354">
        <v>2.7534199999999998E-4</v>
      </c>
      <c r="M618" s="354">
        <v>3.54</v>
      </c>
      <c r="N618" s="350" t="s">
        <v>395</v>
      </c>
      <c r="O618" s="354">
        <v>2.75</v>
      </c>
      <c r="P618" s="374">
        <f t="shared" si="594"/>
        <v>0.22304879735824581</v>
      </c>
      <c r="Q618" s="354">
        <f t="shared" si="595"/>
        <v>2.1036904249021059E-2</v>
      </c>
      <c r="R618" s="354">
        <f t="shared" si="596"/>
        <v>3.5462102028321889E-2</v>
      </c>
      <c r="S618" s="354">
        <f t="shared" si="597"/>
        <v>3.1589165644735157E-2</v>
      </c>
      <c r="T618" s="354">
        <f t="shared" si="598"/>
        <v>0.13480303876081354</v>
      </c>
      <c r="U618" s="374">
        <f t="shared" si="599"/>
        <v>0.89519160409391485</v>
      </c>
      <c r="V618" s="354">
        <f t="shared" si="600"/>
        <v>2.3696362851279781E-2</v>
      </c>
      <c r="W618" s="354">
        <f t="shared" si="601"/>
        <v>0.80833201572811597</v>
      </c>
      <c r="X618" s="354">
        <f t="shared" si="602"/>
        <v>6.3163225514519111E-2</v>
      </c>
      <c r="Y618" s="374">
        <f t="shared" si="603"/>
        <v>0.13123372017404095</v>
      </c>
      <c r="Z618" s="354">
        <f t="shared" si="604"/>
        <v>6.7698230366454448E-2</v>
      </c>
      <c r="AA618" s="354">
        <f t="shared" si="605"/>
        <v>6.3535489807586484E-2</v>
      </c>
      <c r="AB618" s="374">
        <f t="shared" si="606"/>
        <v>0.71698175842124567</v>
      </c>
      <c r="AC618" s="354">
        <f t="shared" si="607"/>
        <v>0.20347410212990641</v>
      </c>
      <c r="AD618" s="354">
        <f t="shared" si="608"/>
        <v>0.44291792211361319</v>
      </c>
      <c r="AE618" s="354">
        <f t="shared" si="609"/>
        <v>7.0589734177726085E-2</v>
      </c>
      <c r="AF618" s="374">
        <f t="shared" si="610"/>
        <v>0.5738357897916343</v>
      </c>
      <c r="AG618" s="354">
        <f t="shared" si="611"/>
        <v>3.6878533824085062E-2</v>
      </c>
      <c r="AH618" s="354">
        <f t="shared" si="612"/>
        <v>0.18555072894508723</v>
      </c>
      <c r="AI618" s="354">
        <f t="shared" si="613"/>
        <v>0</v>
      </c>
      <c r="AJ618" s="354">
        <f t="shared" si="614"/>
        <v>0.35140652702246206</v>
      </c>
      <c r="AK618" s="374">
        <f t="shared" si="615"/>
        <v>0.37901454570445997</v>
      </c>
      <c r="AL618" s="354">
        <f t="shared" si="616"/>
        <v>0.10859018324428731</v>
      </c>
      <c r="AM618" s="354">
        <f t="shared" si="617"/>
        <v>0.25611671796178215</v>
      </c>
      <c r="AN618" s="354">
        <f t="shared" si="618"/>
        <v>1.4307644498390516E-2</v>
      </c>
      <c r="AO618" s="374">
        <f t="shared" si="619"/>
        <v>0.21976975785299821</v>
      </c>
      <c r="AP618" s="354">
        <f t="shared" si="620"/>
        <v>5.0395517095188781E-2</v>
      </c>
      <c r="AQ618" s="354">
        <f t="shared" si="621"/>
        <v>0.16937424075780944</v>
      </c>
      <c r="AR618" s="374">
        <f t="shared" si="622"/>
        <v>0.4009240266034601</v>
      </c>
      <c r="AS618" s="354">
        <f t="shared" si="623"/>
        <v>0.17373399134842157</v>
      </c>
      <c r="AT618" s="354">
        <f t="shared" si="624"/>
        <v>0.22719003525503856</v>
      </c>
      <c r="AU618" s="355" t="s">
        <v>396</v>
      </c>
      <c r="AV618" s="354" t="s">
        <v>404</v>
      </c>
      <c r="AW618" s="355" t="s">
        <v>405</v>
      </c>
      <c r="AX618" s="355">
        <v>0</v>
      </c>
      <c r="AY618" s="350" t="s">
        <v>410</v>
      </c>
      <c r="AZ618" s="351">
        <v>45175</v>
      </c>
      <c r="BA618" s="351">
        <v>45175</v>
      </c>
      <c r="BB618" s="350" t="s">
        <v>407</v>
      </c>
    </row>
    <row r="619" spans="1:54" x14ac:dyDescent="0.25">
      <c r="A619" s="348" t="s">
        <v>1482</v>
      </c>
      <c r="B619" s="349">
        <v>5446</v>
      </c>
      <c r="C619" s="350" t="s">
        <v>1469</v>
      </c>
      <c r="D619" s="351">
        <v>45149</v>
      </c>
      <c r="E619" s="352">
        <v>3490</v>
      </c>
      <c r="F619" s="352">
        <v>7</v>
      </c>
      <c r="G619" s="351"/>
      <c r="H619" s="350" t="s">
        <v>442</v>
      </c>
      <c r="I619" s="350" t="s">
        <v>393</v>
      </c>
      <c r="J619" s="354">
        <v>100000</v>
      </c>
      <c r="K619" s="350" t="s">
        <v>394</v>
      </c>
      <c r="L619" s="354">
        <v>2.7534199999999998E-4</v>
      </c>
      <c r="M619" s="354">
        <v>35.43</v>
      </c>
      <c r="N619" s="350" t="s">
        <v>395</v>
      </c>
      <c r="O619" s="354">
        <v>27.53</v>
      </c>
      <c r="P619" s="374">
        <f t="shared" si="594"/>
        <v>2.232378217627867</v>
      </c>
      <c r="Q619" s="354">
        <f t="shared" si="595"/>
        <v>0.21054732133977855</v>
      </c>
      <c r="R619" s="354">
        <f t="shared" si="596"/>
        <v>0.35492154657159447</v>
      </c>
      <c r="S619" s="354">
        <f t="shared" si="597"/>
        <v>0.31615936124095101</v>
      </c>
      <c r="T619" s="354">
        <f t="shared" si="598"/>
        <v>1.3491727862417016</v>
      </c>
      <c r="U619" s="374">
        <f t="shared" si="599"/>
        <v>8.9595024104653689</v>
      </c>
      <c r="V619" s="354">
        <f t="shared" si="600"/>
        <v>0.23716444514713073</v>
      </c>
      <c r="W619" s="354">
        <f t="shared" si="601"/>
        <v>8.0901704286008904</v>
      </c>
      <c r="X619" s="354">
        <f t="shared" si="602"/>
        <v>0.63216753671734804</v>
      </c>
      <c r="Y619" s="374">
        <f t="shared" si="603"/>
        <v>1.3134493519113759</v>
      </c>
      <c r="Z619" s="354">
        <f t="shared" si="604"/>
        <v>0.67755601748120942</v>
      </c>
      <c r="AA619" s="354">
        <f t="shared" si="605"/>
        <v>0.63589333443016649</v>
      </c>
      <c r="AB619" s="374">
        <f t="shared" si="606"/>
        <v>7.1758937008092465</v>
      </c>
      <c r="AC619" s="354">
        <f t="shared" si="607"/>
        <v>2.036465378096775</v>
      </c>
      <c r="AD619" s="354">
        <f t="shared" si="608"/>
        <v>4.4329327628489583</v>
      </c>
      <c r="AE619" s="354">
        <f t="shared" si="609"/>
        <v>0.70649555986351265</v>
      </c>
      <c r="AF619" s="374">
        <f t="shared" si="610"/>
        <v>5.7432209130840688</v>
      </c>
      <c r="AG619" s="354">
        <f t="shared" si="611"/>
        <v>0.36909786818851237</v>
      </c>
      <c r="AH619" s="354">
        <f t="shared" si="612"/>
        <v>1.8570797532554917</v>
      </c>
      <c r="AI619" s="354">
        <f t="shared" si="613"/>
        <v>0</v>
      </c>
      <c r="AJ619" s="354">
        <f t="shared" si="614"/>
        <v>3.5170432916400651</v>
      </c>
      <c r="AK619" s="374">
        <f t="shared" si="615"/>
        <v>3.7933574447200615</v>
      </c>
      <c r="AL619" s="354">
        <f t="shared" si="616"/>
        <v>1.086822088233079</v>
      </c>
      <c r="AM619" s="354">
        <f t="shared" si="617"/>
        <v>2.5633376602785147</v>
      </c>
      <c r="AN619" s="354">
        <f t="shared" si="618"/>
        <v>0.14319769620846781</v>
      </c>
      <c r="AO619" s="374">
        <f t="shared" si="619"/>
        <v>2.1995600341050077</v>
      </c>
      <c r="AP619" s="354">
        <f t="shared" si="620"/>
        <v>0.50438225160523686</v>
      </c>
      <c r="AQ619" s="354">
        <f t="shared" si="621"/>
        <v>1.6951777824997709</v>
      </c>
      <c r="AR619" s="374">
        <f t="shared" si="622"/>
        <v>4.0126379272770025</v>
      </c>
      <c r="AS619" s="354">
        <f t="shared" si="623"/>
        <v>1.7388122354447952</v>
      </c>
      <c r="AT619" s="354">
        <f t="shared" si="624"/>
        <v>2.2738256918322075</v>
      </c>
      <c r="AU619" s="355" t="s">
        <v>396</v>
      </c>
      <c r="AV619" s="354" t="s">
        <v>404</v>
      </c>
      <c r="AW619" s="355" t="s">
        <v>405</v>
      </c>
      <c r="AX619" s="355">
        <v>0</v>
      </c>
      <c r="AY619" s="350" t="s">
        <v>410</v>
      </c>
      <c r="AZ619" s="351">
        <v>45175</v>
      </c>
      <c r="BA619" s="351">
        <v>45175</v>
      </c>
      <c r="BB619" s="350" t="s">
        <v>407</v>
      </c>
    </row>
    <row r="620" spans="1:54" x14ac:dyDescent="0.25">
      <c r="A620" s="348" t="s">
        <v>1485</v>
      </c>
      <c r="B620" s="349">
        <v>5387</v>
      </c>
      <c r="C620" s="350" t="s">
        <v>1469</v>
      </c>
      <c r="D620" s="351">
        <v>45147</v>
      </c>
      <c r="E620" s="352">
        <v>3420</v>
      </c>
      <c r="F620" s="352">
        <v>7</v>
      </c>
      <c r="G620" s="351"/>
      <c r="H620" s="350" t="s">
        <v>1486</v>
      </c>
      <c r="I620" s="350" t="s">
        <v>393</v>
      </c>
      <c r="J620" s="354">
        <v>1500000</v>
      </c>
      <c r="K620" s="350" t="s">
        <v>394</v>
      </c>
      <c r="L620" s="354">
        <v>2.7534199999999998E-4</v>
      </c>
      <c r="M620" s="354">
        <v>531.47</v>
      </c>
      <c r="N620" s="350" t="s">
        <v>395</v>
      </c>
      <c r="O620" s="354">
        <v>413.01</v>
      </c>
      <c r="P620" s="374">
        <f t="shared" si="594"/>
        <v>33.486933427114941</v>
      </c>
      <c r="Q620" s="354">
        <f t="shared" si="595"/>
        <v>3.1583286726630568</v>
      </c>
      <c r="R620" s="354">
        <f t="shared" si="596"/>
        <v>5.3240235494328338</v>
      </c>
      <c r="S620" s="354">
        <f t="shared" si="597"/>
        <v>4.7425688884766641</v>
      </c>
      <c r="T620" s="354">
        <f t="shared" si="598"/>
        <v>20.238353392714565</v>
      </c>
      <c r="U620" s="374">
        <f t="shared" si="599"/>
        <v>134.39759373666467</v>
      </c>
      <c r="V620" s="354">
        <f t="shared" si="600"/>
        <v>3.5576005549631824</v>
      </c>
      <c r="W620" s="354">
        <f t="shared" si="601"/>
        <v>121.35712327655985</v>
      </c>
      <c r="X620" s="354">
        <f t="shared" si="602"/>
        <v>9.4828699051416585</v>
      </c>
      <c r="Y620" s="374">
        <f t="shared" si="603"/>
        <v>19.702481712117951</v>
      </c>
      <c r="Z620" s="354">
        <f t="shared" si="604"/>
        <v>10.163722738095919</v>
      </c>
      <c r="AA620" s="354">
        <f t="shared" si="605"/>
        <v>9.5387589740220324</v>
      </c>
      <c r="AB620" s="374">
        <f t="shared" si="606"/>
        <v>107.64245625653656</v>
      </c>
      <c r="AC620" s="354">
        <f t="shared" si="607"/>
        <v>30.548130242650103</v>
      </c>
      <c r="AD620" s="354">
        <f t="shared" si="608"/>
        <v>66.496493803876263</v>
      </c>
      <c r="AE620" s="354">
        <f t="shared" si="609"/>
        <v>10.597832210010191</v>
      </c>
      <c r="AF620" s="374">
        <f t="shared" si="610"/>
        <v>86.151555706372847</v>
      </c>
      <c r="AG620" s="354">
        <f t="shared" si="611"/>
        <v>5.5366763761261266</v>
      </c>
      <c r="AH620" s="354">
        <f t="shared" si="612"/>
        <v>27.857244608035455</v>
      </c>
      <c r="AI620" s="354">
        <f t="shared" si="613"/>
        <v>0</v>
      </c>
      <c r="AJ620" s="354">
        <f t="shared" si="614"/>
        <v>52.757634722211272</v>
      </c>
      <c r="AK620" s="374">
        <f t="shared" si="615"/>
        <v>56.902502995917899</v>
      </c>
      <c r="AL620" s="354">
        <f t="shared" si="616"/>
        <v>16.302944827356324</v>
      </c>
      <c r="AM620" s="354">
        <f t="shared" si="617"/>
        <v>38.451511891284852</v>
      </c>
      <c r="AN620" s="354">
        <f t="shared" si="618"/>
        <v>2.1480462772767255</v>
      </c>
      <c r="AO620" s="374">
        <f t="shared" si="619"/>
        <v>32.994642148625132</v>
      </c>
      <c r="AP620" s="354">
        <f t="shared" si="620"/>
        <v>7.56601849451412</v>
      </c>
      <c r="AQ620" s="354">
        <f t="shared" si="621"/>
        <v>25.428623654111014</v>
      </c>
      <c r="AR620" s="374">
        <f t="shared" si="622"/>
        <v>60.191834016649985</v>
      </c>
      <c r="AS620" s="354">
        <f t="shared" si="623"/>
        <v>26.083165079645653</v>
      </c>
      <c r="AT620" s="354">
        <f t="shared" si="624"/>
        <v>34.108668937004339</v>
      </c>
      <c r="AU620" s="355" t="s">
        <v>396</v>
      </c>
      <c r="AV620" s="354" t="s">
        <v>404</v>
      </c>
      <c r="AW620" s="355" t="s">
        <v>405</v>
      </c>
      <c r="AX620" s="355">
        <v>0</v>
      </c>
      <c r="AY620" s="350" t="s">
        <v>410</v>
      </c>
      <c r="AZ620" s="351">
        <v>45173</v>
      </c>
      <c r="BA620" s="351">
        <v>45175</v>
      </c>
      <c r="BB620" s="350" t="s">
        <v>407</v>
      </c>
    </row>
    <row r="621" spans="1:54" x14ac:dyDescent="0.25">
      <c r="A621" s="348" t="s">
        <v>1487</v>
      </c>
      <c r="B621" s="349">
        <v>5321</v>
      </c>
      <c r="C621" s="350" t="s">
        <v>1469</v>
      </c>
      <c r="D621" s="351">
        <v>45161</v>
      </c>
      <c r="E621" s="352">
        <v>3400</v>
      </c>
      <c r="F621" s="352">
        <v>7</v>
      </c>
      <c r="G621" s="351"/>
      <c r="H621" s="350" t="s">
        <v>1488</v>
      </c>
      <c r="I621" s="350" t="s">
        <v>393</v>
      </c>
      <c r="J621" s="354">
        <v>2287104</v>
      </c>
      <c r="K621" s="350" t="s">
        <v>394</v>
      </c>
      <c r="L621" s="354">
        <v>2.7534199999999998E-4</v>
      </c>
      <c r="M621" s="354">
        <v>810.34</v>
      </c>
      <c r="N621" s="350" t="s">
        <v>395</v>
      </c>
      <c r="O621" s="354">
        <v>629.74</v>
      </c>
      <c r="P621" s="374">
        <f t="shared" si="594"/>
        <v>51.058011991887263</v>
      </c>
      <c r="Q621" s="354">
        <f t="shared" si="595"/>
        <v>4.8155494319637642</v>
      </c>
      <c r="R621" s="354">
        <f t="shared" si="596"/>
        <v>8.1176157507430382</v>
      </c>
      <c r="S621" s="354">
        <f t="shared" si="597"/>
        <v>7.2310634148459556</v>
      </c>
      <c r="T621" s="354">
        <f t="shared" si="598"/>
        <v>30.857710290801595</v>
      </c>
      <c r="U621" s="374">
        <f t="shared" si="599"/>
        <v>204.91795606256017</v>
      </c>
      <c r="V621" s="354">
        <f t="shared" si="600"/>
        <v>5.4243250488435191</v>
      </c>
      <c r="W621" s="354">
        <f t="shared" si="601"/>
        <v>185.0349620409948</v>
      </c>
      <c r="X621" s="354">
        <f t="shared" si="602"/>
        <v>14.458668972721869</v>
      </c>
      <c r="Y621" s="374">
        <f t="shared" si="603"/>
        <v>30.040658984698403</v>
      </c>
      <c r="Z621" s="354">
        <f t="shared" si="604"/>
        <v>15.496775139873646</v>
      </c>
      <c r="AA621" s="354">
        <f t="shared" si="605"/>
        <v>14.543883844824757</v>
      </c>
      <c r="AB621" s="374">
        <f t="shared" si="606"/>
        <v>164.12401076809948</v>
      </c>
      <c r="AC621" s="354">
        <f t="shared" si="607"/>
        <v>46.577176248572982</v>
      </c>
      <c r="AD621" s="354">
        <f t="shared" si="608"/>
        <v>101.38816638574725</v>
      </c>
      <c r="AE621" s="354">
        <f t="shared" si="609"/>
        <v>16.158668133779251</v>
      </c>
      <c r="AF621" s="374">
        <f t="shared" si="610"/>
        <v>131.35652370049519</v>
      </c>
      <c r="AG621" s="354">
        <f t="shared" si="611"/>
        <v>8.4418505929404208</v>
      </c>
      <c r="AH621" s="354">
        <f t="shared" si="612"/>
        <v>42.474343981175707</v>
      </c>
      <c r="AI621" s="354">
        <f t="shared" si="613"/>
        <v>0</v>
      </c>
      <c r="AJ621" s="354">
        <f t="shared" si="614"/>
        <v>80.440329126379069</v>
      </c>
      <c r="AK621" s="374">
        <f t="shared" si="615"/>
        <v>86.760069764449753</v>
      </c>
      <c r="AL621" s="354">
        <f t="shared" si="616"/>
        <v>24.857335901179599</v>
      </c>
      <c r="AM621" s="354">
        <f t="shared" si="617"/>
        <v>58.627576619534061</v>
      </c>
      <c r="AN621" s="354">
        <f t="shared" si="618"/>
        <v>3.2751572437360936</v>
      </c>
      <c r="AO621" s="374">
        <f t="shared" si="619"/>
        <v>50.307408355536325</v>
      </c>
      <c r="AP621" s="354">
        <f t="shared" si="620"/>
        <v>11.536017887829175</v>
      </c>
      <c r="AQ621" s="354">
        <f t="shared" si="621"/>
        <v>38.77139046770715</v>
      </c>
      <c r="AR621" s="374">
        <f t="shared" si="622"/>
        <v>91.775360372273397</v>
      </c>
      <c r="AS621" s="354">
        <f t="shared" si="623"/>
        <v>39.769379251209017</v>
      </c>
      <c r="AT621" s="354">
        <f t="shared" si="624"/>
        <v>52.005981121064387</v>
      </c>
      <c r="AU621" s="355" t="s">
        <v>396</v>
      </c>
      <c r="AV621" s="354" t="s">
        <v>404</v>
      </c>
      <c r="AW621" s="355" t="s">
        <v>405</v>
      </c>
      <c r="AX621" s="355">
        <v>0</v>
      </c>
      <c r="AY621" s="350" t="s">
        <v>410</v>
      </c>
      <c r="AZ621" s="351">
        <v>45173</v>
      </c>
      <c r="BA621" s="351">
        <v>45174</v>
      </c>
      <c r="BB621" s="350" t="s">
        <v>407</v>
      </c>
    </row>
    <row r="622" spans="1:54" x14ac:dyDescent="0.25">
      <c r="A622" s="348" t="s">
        <v>1489</v>
      </c>
      <c r="B622" s="349">
        <v>5333</v>
      </c>
      <c r="C622" s="350" t="s">
        <v>1469</v>
      </c>
      <c r="D622" s="351">
        <v>45168</v>
      </c>
      <c r="E622" s="352">
        <v>3130</v>
      </c>
      <c r="F622" s="352">
        <v>1</v>
      </c>
      <c r="G622" s="351"/>
      <c r="H622" s="350" t="s">
        <v>439</v>
      </c>
      <c r="I622" s="350" t="s">
        <v>393</v>
      </c>
      <c r="J622" s="354">
        <v>215215</v>
      </c>
      <c r="K622" s="350" t="s">
        <v>394</v>
      </c>
      <c r="L622" s="354">
        <v>2.9997900000000002E-4</v>
      </c>
      <c r="M622" s="354">
        <v>76.25</v>
      </c>
      <c r="N622" s="350" t="s">
        <v>395</v>
      </c>
      <c r="O622" s="354">
        <v>64.56</v>
      </c>
      <c r="P622" s="374">
        <f t="shared" si="594"/>
        <v>4.8043702820808596</v>
      </c>
      <c r="Q622" s="354">
        <f t="shared" si="595"/>
        <v>0.45312540931860329</v>
      </c>
      <c r="R622" s="354">
        <f t="shared" si="596"/>
        <v>0.76383764962134004</v>
      </c>
      <c r="S622" s="354">
        <f t="shared" si="597"/>
        <v>0.68041635039860326</v>
      </c>
      <c r="T622" s="354">
        <f t="shared" si="598"/>
        <v>2.9035965269808002</v>
      </c>
      <c r="U622" s="374">
        <f t="shared" si="599"/>
        <v>19.282022545808193</v>
      </c>
      <c r="V622" s="354">
        <f t="shared" si="600"/>
        <v>0.51040894559606875</v>
      </c>
      <c r="W622" s="354">
        <f t="shared" si="601"/>
        <v>17.4111062709799</v>
      </c>
      <c r="X622" s="354">
        <f t="shared" si="602"/>
        <v>1.3605073292322265</v>
      </c>
      <c r="Y622" s="374">
        <f t="shared" si="603"/>
        <v>2.8267150178730573</v>
      </c>
      <c r="Z622" s="354">
        <f t="shared" si="604"/>
        <v>1.4581892840232069</v>
      </c>
      <c r="AA622" s="354">
        <f t="shared" si="605"/>
        <v>1.3685257338498502</v>
      </c>
      <c r="AB622" s="374">
        <f t="shared" si="606"/>
        <v>15.443463016841802</v>
      </c>
      <c r="AC622" s="354">
        <f t="shared" si="607"/>
        <v>4.3827401941823059</v>
      </c>
      <c r="AD622" s="354">
        <f t="shared" si="608"/>
        <v>9.5402518534358762</v>
      </c>
      <c r="AE622" s="354">
        <f t="shared" si="609"/>
        <v>1.5204709692236196</v>
      </c>
      <c r="AF622" s="374">
        <f t="shared" si="610"/>
        <v>12.360163551302858</v>
      </c>
      <c r="AG622" s="354">
        <f t="shared" si="611"/>
        <v>0.79434695030691704</v>
      </c>
      <c r="AH622" s="354">
        <f t="shared" si="612"/>
        <v>3.9966788367409327</v>
      </c>
      <c r="AI622" s="354">
        <f t="shared" si="613"/>
        <v>0</v>
      </c>
      <c r="AJ622" s="354">
        <f t="shared" si="614"/>
        <v>7.5691377642550091</v>
      </c>
      <c r="AK622" s="374">
        <f t="shared" si="615"/>
        <v>8.1638020084647103</v>
      </c>
      <c r="AL622" s="354">
        <f t="shared" si="616"/>
        <v>2.3389834667731377</v>
      </c>
      <c r="AM622" s="354">
        <f t="shared" si="617"/>
        <v>5.516638345928218</v>
      </c>
      <c r="AN622" s="354">
        <f t="shared" si="618"/>
        <v>0.30818019576335504</v>
      </c>
      <c r="AO622" s="374">
        <f t="shared" si="619"/>
        <v>4.7337412531895806</v>
      </c>
      <c r="AP622" s="354">
        <f t="shared" si="620"/>
        <v>1.0854966605955212</v>
      </c>
      <c r="AQ622" s="354">
        <f t="shared" si="621"/>
        <v>3.6482445925940596</v>
      </c>
      <c r="AR622" s="374">
        <f t="shared" si="622"/>
        <v>8.6357223244389356</v>
      </c>
      <c r="AS622" s="354">
        <f t="shared" si="623"/>
        <v>3.742151649807103</v>
      </c>
      <c r="AT622" s="354">
        <f t="shared" si="624"/>
        <v>4.8935706746318335</v>
      </c>
      <c r="AU622" s="355" t="s">
        <v>396</v>
      </c>
      <c r="AV622" s="354" t="s">
        <v>404</v>
      </c>
      <c r="AW622" s="355" t="s">
        <v>405</v>
      </c>
      <c r="AX622" s="355">
        <v>102955</v>
      </c>
      <c r="AY622" s="350" t="s">
        <v>406</v>
      </c>
      <c r="AZ622" s="351">
        <v>45174</v>
      </c>
      <c r="BA622" s="351">
        <v>45174</v>
      </c>
      <c r="BB622" s="350" t="s">
        <v>407</v>
      </c>
    </row>
    <row r="623" spans="1:54" x14ac:dyDescent="0.25">
      <c r="A623" s="348" t="s">
        <v>1489</v>
      </c>
      <c r="B623" s="349">
        <v>5333</v>
      </c>
      <c r="C623" s="350" t="s">
        <v>1469</v>
      </c>
      <c r="D623" s="351">
        <v>45168</v>
      </c>
      <c r="E623" s="352">
        <v>3130</v>
      </c>
      <c r="F623" s="352">
        <v>1</v>
      </c>
      <c r="G623" s="351"/>
      <c r="H623" s="350" t="s">
        <v>439</v>
      </c>
      <c r="I623" s="350" t="s">
        <v>393</v>
      </c>
      <c r="J623" s="354">
        <v>55502.85</v>
      </c>
      <c r="K623" s="350" t="s">
        <v>394</v>
      </c>
      <c r="L623" s="354">
        <v>2.9998500000000001E-4</v>
      </c>
      <c r="M623" s="354">
        <v>19.670000000000002</v>
      </c>
      <c r="N623" s="350" t="s">
        <v>395</v>
      </c>
      <c r="O623" s="354">
        <v>16.649999999999999</v>
      </c>
      <c r="P623" s="374">
        <f t="shared" si="594"/>
        <v>1.2393700124397444</v>
      </c>
      <c r="Q623" s="354">
        <f t="shared" si="595"/>
        <v>0.11689149903340232</v>
      </c>
      <c r="R623" s="354">
        <f t="shared" si="596"/>
        <v>0.1970450697449411</v>
      </c>
      <c r="S623" s="354">
        <f t="shared" si="597"/>
        <v>0.17552510967003968</v>
      </c>
      <c r="T623" s="354">
        <f t="shared" si="598"/>
        <v>0.74903270407491596</v>
      </c>
      <c r="U623" s="374">
        <f t="shared" si="599"/>
        <v>4.9741296193579965</v>
      </c>
      <c r="V623" s="354">
        <f t="shared" si="600"/>
        <v>0.13166877324425802</v>
      </c>
      <c r="W623" s="354">
        <f t="shared" si="601"/>
        <v>4.4914945619695041</v>
      </c>
      <c r="X623" s="354">
        <f t="shared" si="602"/>
        <v>0.35096628414423475</v>
      </c>
      <c r="Y623" s="374">
        <f t="shared" si="603"/>
        <v>0.72919979543033497</v>
      </c>
      <c r="Z623" s="354">
        <f t="shared" si="604"/>
        <v>0.37616502579326533</v>
      </c>
      <c r="AA623" s="354">
        <f t="shared" si="605"/>
        <v>0.35303476963706959</v>
      </c>
      <c r="AB623" s="374">
        <f t="shared" si="606"/>
        <v>3.9839071152954526</v>
      </c>
      <c r="AC623" s="354">
        <f t="shared" si="607"/>
        <v>1.1306032736992258</v>
      </c>
      <c r="AD623" s="354">
        <f t="shared" si="608"/>
        <v>2.4610721830437208</v>
      </c>
      <c r="AE623" s="354">
        <f t="shared" si="609"/>
        <v>0.39223165855250619</v>
      </c>
      <c r="AF623" s="374">
        <f t="shared" si="610"/>
        <v>3.1885169449721604</v>
      </c>
      <c r="AG623" s="354">
        <f t="shared" si="611"/>
        <v>0.20491546901687946</v>
      </c>
      <c r="AH623" s="354">
        <f t="shared" si="612"/>
        <v>1.0310121012287758</v>
      </c>
      <c r="AI623" s="354">
        <f t="shared" si="613"/>
        <v>0</v>
      </c>
      <c r="AJ623" s="354">
        <f t="shared" si="614"/>
        <v>1.9525893747265055</v>
      </c>
      <c r="AK623" s="374">
        <f t="shared" si="615"/>
        <v>2.1059932525442737</v>
      </c>
      <c r="AL623" s="354">
        <f t="shared" si="616"/>
        <v>0.6033810464449525</v>
      </c>
      <c r="AM623" s="354">
        <f t="shared" si="617"/>
        <v>1.4231118198610893</v>
      </c>
      <c r="AN623" s="354">
        <f t="shared" si="618"/>
        <v>7.9500386238232065E-2</v>
      </c>
      <c r="AO623" s="374">
        <f t="shared" si="619"/>
        <v>1.2211500386916596</v>
      </c>
      <c r="AP623" s="354">
        <f t="shared" si="620"/>
        <v>0.28002254837919871</v>
      </c>
      <c r="AQ623" s="354">
        <f t="shared" si="621"/>
        <v>0.9411274903124609</v>
      </c>
      <c r="AR623" s="374">
        <f t="shared" si="622"/>
        <v>2.2277332212683785</v>
      </c>
      <c r="AS623" s="354">
        <f t="shared" si="623"/>
        <v>0.96535243215351751</v>
      </c>
      <c r="AT623" s="354">
        <f t="shared" si="624"/>
        <v>1.2623807891148611</v>
      </c>
      <c r="AU623" s="355" t="s">
        <v>396</v>
      </c>
      <c r="AV623" s="354" t="s">
        <v>404</v>
      </c>
      <c r="AW623" s="355" t="s">
        <v>405</v>
      </c>
      <c r="AX623" s="355">
        <v>103265</v>
      </c>
      <c r="AY623" s="350" t="s">
        <v>406</v>
      </c>
      <c r="AZ623" s="351">
        <v>45174</v>
      </c>
      <c r="BA623" s="351">
        <v>45174</v>
      </c>
      <c r="BB623" s="350" t="s">
        <v>407</v>
      </c>
    </row>
    <row r="624" spans="1:54" x14ac:dyDescent="0.25">
      <c r="A624" s="348" t="s">
        <v>1489</v>
      </c>
      <c r="B624" s="349">
        <v>5333</v>
      </c>
      <c r="C624" s="350" t="s">
        <v>1469</v>
      </c>
      <c r="D624" s="351">
        <v>45168</v>
      </c>
      <c r="E624" s="352">
        <v>3130</v>
      </c>
      <c r="F624" s="352">
        <v>1</v>
      </c>
      <c r="G624" s="351"/>
      <c r="H624" s="350" t="s">
        <v>439</v>
      </c>
      <c r="I624" s="350" t="s">
        <v>393</v>
      </c>
      <c r="J624" s="354">
        <v>532244</v>
      </c>
      <c r="K624" s="350" t="s">
        <v>394</v>
      </c>
      <c r="L624" s="354">
        <v>2.9999399999999999E-4</v>
      </c>
      <c r="M624" s="354">
        <v>188.58</v>
      </c>
      <c r="N624" s="350" t="s">
        <v>395</v>
      </c>
      <c r="O624" s="354">
        <v>159.66999999999999</v>
      </c>
      <c r="P624" s="374">
        <f t="shared" si="594"/>
        <v>11.882074069440112</v>
      </c>
      <c r="Q624" s="354">
        <f t="shared" si="595"/>
        <v>1.1206608483842913</v>
      </c>
      <c r="R624" s="354">
        <f t="shared" si="596"/>
        <v>1.8891082487290793</v>
      </c>
      <c r="S624" s="354">
        <f t="shared" si="597"/>
        <v>1.6827923325661456</v>
      </c>
      <c r="T624" s="354">
        <f t="shared" si="598"/>
        <v>7.1811178105972369</v>
      </c>
      <c r="U624" s="374">
        <f t="shared" si="599"/>
        <v>47.687918841816519</v>
      </c>
      <c r="V624" s="354">
        <f t="shared" si="600"/>
        <v>1.2623333634164806</v>
      </c>
      <c r="W624" s="354">
        <f t="shared" si="601"/>
        <v>43.060805515821507</v>
      </c>
      <c r="X624" s="354">
        <f t="shared" si="602"/>
        <v>3.3647799625785351</v>
      </c>
      <c r="Y624" s="374">
        <f t="shared" si="603"/>
        <v>6.9909759746950977</v>
      </c>
      <c r="Z624" s="354">
        <f t="shared" si="604"/>
        <v>3.6063650515553625</v>
      </c>
      <c r="AA624" s="354">
        <f t="shared" si="605"/>
        <v>3.3846109231397348</v>
      </c>
      <c r="AB624" s="374">
        <f t="shared" si="606"/>
        <v>38.194468927423308</v>
      </c>
      <c r="AC624" s="354">
        <f t="shared" si="607"/>
        <v>10.839306830411795</v>
      </c>
      <c r="AD624" s="354">
        <f t="shared" si="608"/>
        <v>23.594763206831971</v>
      </c>
      <c r="AE624" s="354">
        <f t="shared" si="609"/>
        <v>3.7603988901795438</v>
      </c>
      <c r="AF624" s="374">
        <f t="shared" si="610"/>
        <v>30.568913344323843</v>
      </c>
      <c r="AG624" s="354">
        <f t="shared" si="611"/>
        <v>1.9645632510016842</v>
      </c>
      <c r="AH624" s="354">
        <f t="shared" si="612"/>
        <v>9.8845074758374434</v>
      </c>
      <c r="AI624" s="354">
        <f t="shared" si="613"/>
        <v>0</v>
      </c>
      <c r="AJ624" s="354">
        <f t="shared" si="614"/>
        <v>18.719842617484716</v>
      </c>
      <c r="AK624" s="374">
        <f t="shared" si="615"/>
        <v>20.19055452795115</v>
      </c>
      <c r="AL624" s="354">
        <f t="shared" si="616"/>
        <v>5.7847278972338145</v>
      </c>
      <c r="AM624" s="354">
        <f t="shared" si="617"/>
        <v>13.643641433116635</v>
      </c>
      <c r="AN624" s="354">
        <f t="shared" si="618"/>
        <v>0.76218519760070169</v>
      </c>
      <c r="AO624" s="374">
        <f t="shared" si="619"/>
        <v>11.70739574460972</v>
      </c>
      <c r="AP624" s="354">
        <f t="shared" si="620"/>
        <v>2.6846289869521756</v>
      </c>
      <c r="AQ624" s="354">
        <f t="shared" si="621"/>
        <v>9.0227667576575445</v>
      </c>
      <c r="AR624" s="374">
        <f t="shared" si="622"/>
        <v>21.357698569740254</v>
      </c>
      <c r="AS624" s="354">
        <f t="shared" si="623"/>
        <v>9.2550158442048964</v>
      </c>
      <c r="AT624" s="354">
        <f t="shared" si="624"/>
        <v>12.102682725535358</v>
      </c>
      <c r="AU624" s="355" t="s">
        <v>396</v>
      </c>
      <c r="AV624" s="354" t="s">
        <v>404</v>
      </c>
      <c r="AW624" s="355" t="s">
        <v>405</v>
      </c>
      <c r="AX624" s="355">
        <v>117871</v>
      </c>
      <c r="AY624" s="350" t="s">
        <v>406</v>
      </c>
      <c r="AZ624" s="351">
        <v>45174</v>
      </c>
      <c r="BA624" s="351">
        <v>45174</v>
      </c>
      <c r="BB624" s="350" t="s">
        <v>407</v>
      </c>
    </row>
    <row r="625" spans="1:54" x14ac:dyDescent="0.25">
      <c r="A625" s="348" t="s">
        <v>1489</v>
      </c>
      <c r="B625" s="349">
        <v>5333</v>
      </c>
      <c r="C625" s="350" t="s">
        <v>1469</v>
      </c>
      <c r="D625" s="351">
        <v>45168</v>
      </c>
      <c r="E625" s="352">
        <v>3130</v>
      </c>
      <c r="F625" s="352">
        <v>1</v>
      </c>
      <c r="G625" s="351"/>
      <c r="H625" s="350" t="s">
        <v>439</v>
      </c>
      <c r="I625" s="350" t="s">
        <v>393</v>
      </c>
      <c r="J625" s="354">
        <v>286764.79999999999</v>
      </c>
      <c r="K625" s="350" t="s">
        <v>394</v>
      </c>
      <c r="L625" s="354">
        <v>3.0000200000000001E-4</v>
      </c>
      <c r="M625" s="354">
        <v>101.6</v>
      </c>
      <c r="N625" s="350" t="s">
        <v>395</v>
      </c>
      <c r="O625" s="354">
        <v>86.03</v>
      </c>
      <c r="P625" s="374">
        <f t="shared" si="594"/>
        <v>6.4016265004513482</v>
      </c>
      <c r="Q625" s="354">
        <f t="shared" si="595"/>
        <v>0.60377103720354219</v>
      </c>
      <c r="R625" s="354">
        <f t="shared" si="596"/>
        <v>1.0177823632987297</v>
      </c>
      <c r="S625" s="354">
        <f t="shared" si="597"/>
        <v>0.90662690099013876</v>
      </c>
      <c r="T625" s="354">
        <f t="shared" si="598"/>
        <v>3.8689233723442529</v>
      </c>
      <c r="U625" s="374">
        <f t="shared" si="599"/>
        <v>25.692504795463769</v>
      </c>
      <c r="V625" s="354">
        <f t="shared" si="600"/>
        <v>0.68009900160735193</v>
      </c>
      <c r="W625" s="354">
        <f t="shared" si="601"/>
        <v>23.199585536151577</v>
      </c>
      <c r="X625" s="354">
        <f t="shared" si="602"/>
        <v>1.812820257704842</v>
      </c>
      <c r="Y625" s="374">
        <f t="shared" si="603"/>
        <v>3.7664819123397062</v>
      </c>
      <c r="Z625" s="354">
        <f t="shared" si="604"/>
        <v>1.9429774591050204</v>
      </c>
      <c r="AA625" s="354">
        <f t="shared" si="605"/>
        <v>1.8235044532346856</v>
      </c>
      <c r="AB625" s="374">
        <f t="shared" si="606"/>
        <v>20.577781541129536</v>
      </c>
      <c r="AC625" s="354">
        <f t="shared" si="607"/>
        <v>5.8398216882481613</v>
      </c>
      <c r="AD625" s="354">
        <f t="shared" si="608"/>
        <v>12.711994600774887</v>
      </c>
      <c r="AE625" s="354">
        <f t="shared" si="609"/>
        <v>2.0259652521064884</v>
      </c>
      <c r="AF625" s="374">
        <f t="shared" si="610"/>
        <v>16.469411368031086</v>
      </c>
      <c r="AG625" s="354">
        <f t="shared" si="611"/>
        <v>1.0584347560810854</v>
      </c>
      <c r="AH625" s="354">
        <f t="shared" si="612"/>
        <v>5.325410751644311</v>
      </c>
      <c r="AI625" s="354">
        <f t="shared" si="613"/>
        <v>0</v>
      </c>
      <c r="AJ625" s="354">
        <f t="shared" si="614"/>
        <v>10.085565860305691</v>
      </c>
      <c r="AK625" s="374">
        <f t="shared" si="615"/>
        <v>10.877931594229699</v>
      </c>
      <c r="AL625" s="354">
        <f t="shared" si="616"/>
        <v>3.1165996094970594</v>
      </c>
      <c r="AM625" s="354">
        <f t="shared" si="617"/>
        <v>7.3506945042138607</v>
      </c>
      <c r="AN625" s="354">
        <f t="shared" si="618"/>
        <v>0.41063748051877863</v>
      </c>
      <c r="AO625" s="374">
        <f t="shared" si="619"/>
        <v>6.3075162140860499</v>
      </c>
      <c r="AP625" s="354">
        <f t="shared" si="620"/>
        <v>1.4463798126754746</v>
      </c>
      <c r="AQ625" s="354">
        <f t="shared" si="621"/>
        <v>4.861136401410576</v>
      </c>
      <c r="AR625" s="374">
        <f t="shared" si="622"/>
        <v>11.506746074268797</v>
      </c>
      <c r="AS625" s="354">
        <f t="shared" si="623"/>
        <v>4.9862637064970698</v>
      </c>
      <c r="AT625" s="354">
        <f t="shared" si="624"/>
        <v>6.5204823677717272</v>
      </c>
      <c r="AU625" s="355" t="s">
        <v>396</v>
      </c>
      <c r="AV625" s="354" t="s">
        <v>404</v>
      </c>
      <c r="AW625" s="355" t="s">
        <v>405</v>
      </c>
      <c r="AX625" s="355">
        <v>103321</v>
      </c>
      <c r="AY625" s="350" t="s">
        <v>406</v>
      </c>
      <c r="AZ625" s="351">
        <v>45174</v>
      </c>
      <c r="BA625" s="351">
        <v>45174</v>
      </c>
      <c r="BB625" s="350" t="s">
        <v>407</v>
      </c>
    </row>
    <row r="626" spans="1:54" x14ac:dyDescent="0.25">
      <c r="A626" s="348" t="s">
        <v>1489</v>
      </c>
      <c r="B626" s="349">
        <v>5333</v>
      </c>
      <c r="C626" s="350" t="s">
        <v>1469</v>
      </c>
      <c r="D626" s="351">
        <v>45168</v>
      </c>
      <c r="E626" s="352">
        <v>3130</v>
      </c>
      <c r="F626" s="352">
        <v>1</v>
      </c>
      <c r="G626" s="351"/>
      <c r="H626" s="350" t="s">
        <v>439</v>
      </c>
      <c r="I626" s="350" t="s">
        <v>393</v>
      </c>
      <c r="J626" s="354">
        <v>55848.3</v>
      </c>
      <c r="K626" s="350" t="s">
        <v>394</v>
      </c>
      <c r="L626" s="354">
        <v>2.9992000000000002E-4</v>
      </c>
      <c r="M626" s="354">
        <v>19.79</v>
      </c>
      <c r="N626" s="350" t="s">
        <v>395</v>
      </c>
      <c r="O626" s="354">
        <v>16.75</v>
      </c>
      <c r="P626" s="374">
        <f t="shared" si="594"/>
        <v>1.2469309886213797</v>
      </c>
      <c r="Q626" s="354">
        <f t="shared" si="595"/>
        <v>0.11760461443167421</v>
      </c>
      <c r="R626" s="354">
        <f t="shared" si="596"/>
        <v>0.19824717489844351</v>
      </c>
      <c r="S626" s="354">
        <f t="shared" si="597"/>
        <v>0.17659592884443748</v>
      </c>
      <c r="T626" s="354">
        <f t="shared" si="598"/>
        <v>0.75360229860918071</v>
      </c>
      <c r="U626" s="374">
        <f t="shared" si="599"/>
        <v>5.0044750974628744</v>
      </c>
      <c r="V626" s="354">
        <f t="shared" si="600"/>
        <v>0.13247203978158953</v>
      </c>
      <c r="W626" s="354">
        <f t="shared" si="601"/>
        <v>4.5188956472484225</v>
      </c>
      <c r="X626" s="354">
        <f t="shared" si="602"/>
        <v>0.35310741043286248</v>
      </c>
      <c r="Y626" s="374">
        <f t="shared" si="603"/>
        <v>0.73364839611420074</v>
      </c>
      <c r="Z626" s="354">
        <f t="shared" si="604"/>
        <v>0.37845988105992479</v>
      </c>
      <c r="AA626" s="354">
        <f t="shared" si="605"/>
        <v>0.3551885150542759</v>
      </c>
      <c r="AB626" s="374">
        <f t="shared" si="606"/>
        <v>4.0082115816826134</v>
      </c>
      <c r="AC626" s="354">
        <f t="shared" si="607"/>
        <v>1.1375007008900699</v>
      </c>
      <c r="AD626" s="354">
        <f t="shared" si="608"/>
        <v>2.4760863498950294</v>
      </c>
      <c r="AE626" s="354">
        <f t="shared" si="609"/>
        <v>0.39462453089751387</v>
      </c>
      <c r="AF626" s="374">
        <f t="shared" si="610"/>
        <v>3.2079690056430628</v>
      </c>
      <c r="AG626" s="354">
        <f t="shared" si="611"/>
        <v>0.20616558880752639</v>
      </c>
      <c r="AH626" s="354">
        <f t="shared" si="612"/>
        <v>1.0373019564472532</v>
      </c>
      <c r="AI626" s="354">
        <f t="shared" si="613"/>
        <v>0</v>
      </c>
      <c r="AJ626" s="354">
        <f t="shared" si="614"/>
        <v>1.9645014603882835</v>
      </c>
      <c r="AK626" s="374">
        <f t="shared" si="615"/>
        <v>2.1188412032461197</v>
      </c>
      <c r="AL626" s="354">
        <f t="shared" si="616"/>
        <v>0.60706206960577569</v>
      </c>
      <c r="AM626" s="354">
        <f t="shared" si="617"/>
        <v>1.4317937425038614</v>
      </c>
      <c r="AN626" s="354">
        <f t="shared" si="618"/>
        <v>7.9985391136482578E-2</v>
      </c>
      <c r="AO626" s="374">
        <f t="shared" si="619"/>
        <v>1.2285998609917612</v>
      </c>
      <c r="AP626" s="354">
        <f t="shared" si="620"/>
        <v>0.28173087099259492</v>
      </c>
      <c r="AQ626" s="354">
        <f t="shared" si="621"/>
        <v>0.94686898999916635</v>
      </c>
      <c r="AR626" s="374">
        <f t="shared" si="622"/>
        <v>2.2413238662379871</v>
      </c>
      <c r="AS626" s="354">
        <f t="shared" si="623"/>
        <v>0.97124171999583675</v>
      </c>
      <c r="AT626" s="354">
        <f t="shared" si="624"/>
        <v>1.2700821462421503</v>
      </c>
      <c r="AU626" s="355" t="s">
        <v>396</v>
      </c>
      <c r="AV626" s="354" t="s">
        <v>404</v>
      </c>
      <c r="AW626" s="355" t="s">
        <v>405</v>
      </c>
      <c r="AX626" s="355">
        <v>117427</v>
      </c>
      <c r="AY626" s="350" t="s">
        <v>406</v>
      </c>
      <c r="AZ626" s="351">
        <v>45174</v>
      </c>
      <c r="BA626" s="351">
        <v>45174</v>
      </c>
      <c r="BB626" s="350" t="s">
        <v>407</v>
      </c>
    </row>
    <row r="627" spans="1:54" x14ac:dyDescent="0.25">
      <c r="A627" s="348" t="s">
        <v>1489</v>
      </c>
      <c r="B627" s="349">
        <v>5333</v>
      </c>
      <c r="C627" s="350" t="s">
        <v>1469</v>
      </c>
      <c r="D627" s="351">
        <v>45168</v>
      </c>
      <c r="E627" s="352">
        <v>3130</v>
      </c>
      <c r="F627" s="352">
        <v>1</v>
      </c>
      <c r="G627" s="351"/>
      <c r="H627" s="350" t="s">
        <v>439</v>
      </c>
      <c r="I627" s="350" t="s">
        <v>393</v>
      </c>
      <c r="J627" s="354">
        <v>297857.59999999998</v>
      </c>
      <c r="K627" s="350" t="s">
        <v>394</v>
      </c>
      <c r="L627" s="354">
        <v>3.0000900000000001E-4</v>
      </c>
      <c r="M627" s="354">
        <v>105.53</v>
      </c>
      <c r="N627" s="350" t="s">
        <v>395</v>
      </c>
      <c r="O627" s="354">
        <v>89.36</v>
      </c>
      <c r="P627" s="374">
        <f t="shared" si="594"/>
        <v>6.6492484703999093</v>
      </c>
      <c r="Q627" s="354">
        <f t="shared" si="595"/>
        <v>0.62712556649694695</v>
      </c>
      <c r="R627" s="354">
        <f t="shared" si="596"/>
        <v>1.0571513070759346</v>
      </c>
      <c r="S627" s="354">
        <f t="shared" si="597"/>
        <v>0.94169622895166682</v>
      </c>
      <c r="T627" s="354">
        <f t="shared" si="598"/>
        <v>4.0185775933414272</v>
      </c>
      <c r="U627" s="374">
        <f t="shared" si="599"/>
        <v>26.68631920339854</v>
      </c>
      <c r="V627" s="354">
        <f t="shared" si="600"/>
        <v>0.70640598070495908</v>
      </c>
      <c r="W627" s="354">
        <f t="shared" si="601"/>
        <v>24.09697107903618</v>
      </c>
      <c r="X627" s="354">
        <f t="shared" si="602"/>
        <v>1.8829421436574014</v>
      </c>
      <c r="Y627" s="374">
        <f t="shared" si="603"/>
        <v>3.9121735847363115</v>
      </c>
      <c r="Z627" s="354">
        <f t="shared" si="604"/>
        <v>2.0181339690881184</v>
      </c>
      <c r="AA627" s="354">
        <f t="shared" si="605"/>
        <v>1.8940396156481929</v>
      </c>
      <c r="AB627" s="374">
        <f t="shared" si="606"/>
        <v>21.373752815309054</v>
      </c>
      <c r="AC627" s="354">
        <f t="shared" si="607"/>
        <v>6.0657124287483111</v>
      </c>
      <c r="AD627" s="354">
        <f t="shared" si="608"/>
        <v>13.203708565155253</v>
      </c>
      <c r="AE627" s="354">
        <f t="shared" si="609"/>
        <v>2.1043318214054896</v>
      </c>
      <c r="AF627" s="374">
        <f t="shared" si="610"/>
        <v>17.106466355003153</v>
      </c>
      <c r="AG627" s="354">
        <f t="shared" si="611"/>
        <v>1.0993761792247729</v>
      </c>
      <c r="AH627" s="354">
        <f t="shared" si="612"/>
        <v>5.5314035100494499</v>
      </c>
      <c r="AI627" s="354">
        <f t="shared" si="613"/>
        <v>0</v>
      </c>
      <c r="AJ627" s="354">
        <f t="shared" si="614"/>
        <v>10.475686665728931</v>
      </c>
      <c r="AK627" s="374">
        <f t="shared" si="615"/>
        <v>11.29870197971516</v>
      </c>
      <c r="AL627" s="354">
        <f t="shared" si="616"/>
        <v>3.2371531180140227</v>
      </c>
      <c r="AM627" s="354">
        <f t="shared" si="617"/>
        <v>7.6350274707646539</v>
      </c>
      <c r="AN627" s="354">
        <f t="shared" si="618"/>
        <v>0.42652139093648345</v>
      </c>
      <c r="AO627" s="374">
        <f t="shared" si="619"/>
        <v>6.5514978944143794</v>
      </c>
      <c r="AP627" s="354">
        <f t="shared" si="620"/>
        <v>1.5023273782642013</v>
      </c>
      <c r="AQ627" s="354">
        <f t="shared" si="621"/>
        <v>5.0491705161501779</v>
      </c>
      <c r="AR627" s="374">
        <f t="shared" si="622"/>
        <v>11.951839697023486</v>
      </c>
      <c r="AS627" s="354">
        <f t="shared" si="623"/>
        <v>5.1791378833330297</v>
      </c>
      <c r="AT627" s="354">
        <f t="shared" si="624"/>
        <v>6.7727018136904569</v>
      </c>
      <c r="AU627" s="355" t="s">
        <v>396</v>
      </c>
      <c r="AV627" s="354" t="s">
        <v>404</v>
      </c>
      <c r="AW627" s="355" t="s">
        <v>405</v>
      </c>
      <c r="AX627" s="355">
        <v>117872</v>
      </c>
      <c r="AY627" s="350" t="s">
        <v>406</v>
      </c>
      <c r="AZ627" s="351">
        <v>45174</v>
      </c>
      <c r="BA627" s="351">
        <v>45174</v>
      </c>
      <c r="BB627" s="350" t="s">
        <v>407</v>
      </c>
    </row>
    <row r="628" spans="1:54" x14ac:dyDescent="0.25">
      <c r="A628" s="348" t="s">
        <v>1489</v>
      </c>
      <c r="B628" s="349">
        <v>5333</v>
      </c>
      <c r="C628" s="350" t="s">
        <v>1469</v>
      </c>
      <c r="D628" s="351">
        <v>45168</v>
      </c>
      <c r="E628" s="352">
        <v>3130</v>
      </c>
      <c r="F628" s="352">
        <v>1</v>
      </c>
      <c r="G628" s="351"/>
      <c r="H628" s="350" t="s">
        <v>439</v>
      </c>
      <c r="I628" s="350" t="s">
        <v>393</v>
      </c>
      <c r="J628" s="354">
        <v>66721.5</v>
      </c>
      <c r="K628" s="350" t="s">
        <v>394</v>
      </c>
      <c r="L628" s="354">
        <v>3.00053E-4</v>
      </c>
      <c r="M628" s="354">
        <v>23.64</v>
      </c>
      <c r="N628" s="350" t="s">
        <v>395</v>
      </c>
      <c r="O628" s="354">
        <v>20.02</v>
      </c>
      <c r="P628" s="374">
        <f t="shared" si="594"/>
        <v>1.4895123077821839</v>
      </c>
      <c r="Q628" s="354">
        <f t="shared" si="595"/>
        <v>0.14048373345956436</v>
      </c>
      <c r="R628" s="354">
        <f t="shared" si="596"/>
        <v>0.23681471523998004</v>
      </c>
      <c r="S628" s="354">
        <f t="shared" si="597"/>
        <v>0.21095137735636696</v>
      </c>
      <c r="T628" s="354">
        <f t="shared" si="598"/>
        <v>0.90021012325017857</v>
      </c>
      <c r="U628" s="374">
        <f t="shared" si="599"/>
        <v>5.9780591866610582</v>
      </c>
      <c r="V628" s="354">
        <f t="shared" si="600"/>
        <v>0.15824350785430905</v>
      </c>
      <c r="W628" s="354">
        <f t="shared" si="601"/>
        <v>5.3980137999470799</v>
      </c>
      <c r="X628" s="354">
        <f t="shared" si="602"/>
        <v>0.42180187885966997</v>
      </c>
      <c r="Y628" s="374">
        <f t="shared" si="603"/>
        <v>0.87637433472156168</v>
      </c>
      <c r="Z628" s="354">
        <f t="shared" si="604"/>
        <v>0.45208648753191621</v>
      </c>
      <c r="AA628" s="354">
        <f t="shared" si="605"/>
        <v>0.42428784718964541</v>
      </c>
      <c r="AB628" s="374">
        <f t="shared" si="606"/>
        <v>4.7879798782706917</v>
      </c>
      <c r="AC628" s="354">
        <f t="shared" si="607"/>
        <v>1.3587931565963243</v>
      </c>
      <c r="AD628" s="354">
        <f t="shared" si="608"/>
        <v>2.9577908697078574</v>
      </c>
      <c r="AE628" s="354">
        <f t="shared" si="609"/>
        <v>0.47139585196650979</v>
      </c>
      <c r="AF628" s="374">
        <f t="shared" si="610"/>
        <v>3.8320559521678632</v>
      </c>
      <c r="AG628" s="354">
        <f t="shared" si="611"/>
        <v>0.24627359875744942</v>
      </c>
      <c r="AH628" s="354">
        <f t="shared" si="612"/>
        <v>1.2391014780400742</v>
      </c>
      <c r="AI628" s="354">
        <f t="shared" si="613"/>
        <v>0</v>
      </c>
      <c r="AJ628" s="354">
        <f t="shared" si="614"/>
        <v>2.3466808753703399</v>
      </c>
      <c r="AK628" s="374">
        <f t="shared" si="615"/>
        <v>2.5310462882636822</v>
      </c>
      <c r="AL628" s="354">
        <f t="shared" si="616"/>
        <v>0.7251615626821899</v>
      </c>
      <c r="AM628" s="354">
        <f t="shared" si="617"/>
        <v>1.7103387606261387</v>
      </c>
      <c r="AN628" s="354">
        <f t="shared" si="618"/>
        <v>9.5545964955353627E-2</v>
      </c>
      <c r="AO628" s="374">
        <f t="shared" si="619"/>
        <v>1.467614993120022</v>
      </c>
      <c r="AP628" s="354">
        <f t="shared" si="620"/>
        <v>0.33653955483905729</v>
      </c>
      <c r="AQ628" s="354">
        <f t="shared" si="621"/>
        <v>1.1310754382809647</v>
      </c>
      <c r="AR628" s="374">
        <f t="shared" si="622"/>
        <v>2.677357059012937</v>
      </c>
      <c r="AS628" s="354">
        <f t="shared" si="623"/>
        <v>1.160189704936917</v>
      </c>
      <c r="AT628" s="354">
        <f t="shared" si="624"/>
        <v>1.5171673540760202</v>
      </c>
      <c r="AU628" s="355" t="s">
        <v>396</v>
      </c>
      <c r="AV628" s="354" t="s">
        <v>404</v>
      </c>
      <c r="AW628" s="355" t="s">
        <v>405</v>
      </c>
      <c r="AX628" s="355">
        <v>103328</v>
      </c>
      <c r="AY628" s="350" t="s">
        <v>406</v>
      </c>
      <c r="AZ628" s="351">
        <v>45174</v>
      </c>
      <c r="BA628" s="351">
        <v>45174</v>
      </c>
      <c r="BB628" s="350" t="s">
        <v>407</v>
      </c>
    </row>
    <row r="629" spans="1:54" x14ac:dyDescent="0.25">
      <c r="A629" s="348" t="s">
        <v>1489</v>
      </c>
      <c r="B629" s="349">
        <v>5333</v>
      </c>
      <c r="C629" s="350" t="s">
        <v>1469</v>
      </c>
      <c r="D629" s="351">
        <v>45168</v>
      </c>
      <c r="E629" s="352">
        <v>3130</v>
      </c>
      <c r="F629" s="352">
        <v>1</v>
      </c>
      <c r="G629" s="351"/>
      <c r="H629" s="350" t="s">
        <v>439</v>
      </c>
      <c r="I629" s="350" t="s">
        <v>393</v>
      </c>
      <c r="J629" s="354">
        <v>65749.600000000006</v>
      </c>
      <c r="K629" s="350" t="s">
        <v>394</v>
      </c>
      <c r="L629" s="354">
        <v>2.99926E-4</v>
      </c>
      <c r="M629" s="354">
        <v>23.3</v>
      </c>
      <c r="N629" s="350" t="s">
        <v>395</v>
      </c>
      <c r="O629" s="354">
        <v>19.72</v>
      </c>
      <c r="P629" s="374">
        <f t="shared" si="594"/>
        <v>1.4680895419342168</v>
      </c>
      <c r="Q629" s="354">
        <f t="shared" si="595"/>
        <v>0.13846323983112729</v>
      </c>
      <c r="R629" s="354">
        <f t="shared" si="596"/>
        <v>0.23340875063838981</v>
      </c>
      <c r="S629" s="354">
        <f t="shared" si="597"/>
        <v>0.20791738969557319</v>
      </c>
      <c r="T629" s="354">
        <f t="shared" si="598"/>
        <v>0.88726293873642814</v>
      </c>
      <c r="U629" s="374">
        <f t="shared" si="599"/>
        <v>5.8920803320305692</v>
      </c>
      <c r="V629" s="354">
        <f t="shared" si="600"/>
        <v>0.15596758599853641</v>
      </c>
      <c r="W629" s="354">
        <f t="shared" si="601"/>
        <v>5.3203773916568089</v>
      </c>
      <c r="X629" s="354">
        <f t="shared" si="602"/>
        <v>0.41573535437522463</v>
      </c>
      <c r="Y629" s="374">
        <f t="shared" si="603"/>
        <v>0.8637699661172753</v>
      </c>
      <c r="Z629" s="354">
        <f t="shared" si="604"/>
        <v>0.44558439760971441</v>
      </c>
      <c r="AA629" s="354">
        <f t="shared" si="605"/>
        <v>0.41818556850756083</v>
      </c>
      <c r="AB629" s="374">
        <f t="shared" si="606"/>
        <v>4.7191172235070686</v>
      </c>
      <c r="AC629" s="354">
        <f t="shared" si="607"/>
        <v>1.3392504462222652</v>
      </c>
      <c r="AD629" s="354">
        <f t="shared" si="608"/>
        <v>2.9152507302958153</v>
      </c>
      <c r="AE629" s="354">
        <f t="shared" si="609"/>
        <v>0.46461604698898801</v>
      </c>
      <c r="AF629" s="374">
        <f t="shared" si="610"/>
        <v>3.7769417802669718</v>
      </c>
      <c r="AG629" s="354">
        <f t="shared" si="611"/>
        <v>0.24273159268394973</v>
      </c>
      <c r="AH629" s="354">
        <f t="shared" si="612"/>
        <v>1.2212802215877212</v>
      </c>
      <c r="AI629" s="354">
        <f t="shared" si="613"/>
        <v>0</v>
      </c>
      <c r="AJ629" s="354">
        <f t="shared" si="614"/>
        <v>2.3129299659953011</v>
      </c>
      <c r="AK629" s="374">
        <f t="shared" si="615"/>
        <v>2.494643761275118</v>
      </c>
      <c r="AL629" s="354">
        <f t="shared" si="616"/>
        <v>0.71473199705985713</v>
      </c>
      <c r="AM629" s="354">
        <f t="shared" si="617"/>
        <v>1.6857399798049504</v>
      </c>
      <c r="AN629" s="354">
        <f t="shared" si="618"/>
        <v>9.4171784410310461E-2</v>
      </c>
      <c r="AO629" s="374">
        <f t="shared" si="619"/>
        <v>1.4465071632697342</v>
      </c>
      <c r="AP629" s="354">
        <f t="shared" si="620"/>
        <v>0.33169930743443465</v>
      </c>
      <c r="AQ629" s="354">
        <f t="shared" si="621"/>
        <v>1.1148078558352996</v>
      </c>
      <c r="AR629" s="374">
        <f t="shared" si="622"/>
        <v>2.6388502315990454</v>
      </c>
      <c r="AS629" s="354">
        <f t="shared" si="623"/>
        <v>1.1435033893836788</v>
      </c>
      <c r="AT629" s="354">
        <f t="shared" si="624"/>
        <v>1.4953468422153668</v>
      </c>
      <c r="AU629" s="355" t="s">
        <v>396</v>
      </c>
      <c r="AV629" s="354" t="s">
        <v>404</v>
      </c>
      <c r="AW629" s="355" t="s">
        <v>405</v>
      </c>
      <c r="AX629" s="355">
        <v>117293</v>
      </c>
      <c r="AY629" s="350" t="s">
        <v>406</v>
      </c>
      <c r="AZ629" s="351">
        <v>45174</v>
      </c>
      <c r="BA629" s="351">
        <v>45174</v>
      </c>
      <c r="BB629" s="350" t="s">
        <v>407</v>
      </c>
    </row>
    <row r="630" spans="1:54" x14ac:dyDescent="0.25">
      <c r="A630" s="348" t="s">
        <v>1489</v>
      </c>
      <c r="B630" s="349">
        <v>5333</v>
      </c>
      <c r="C630" s="350" t="s">
        <v>1469</v>
      </c>
      <c r="D630" s="351">
        <v>45168</v>
      </c>
      <c r="E630" s="352">
        <v>3120</v>
      </c>
      <c r="F630" s="352">
        <v>1</v>
      </c>
      <c r="G630" s="351"/>
      <c r="H630" s="350" t="s">
        <v>438</v>
      </c>
      <c r="I630" s="350" t="s">
        <v>393</v>
      </c>
      <c r="J630" s="354">
        <v>4410</v>
      </c>
      <c r="K630" s="350" t="s">
        <v>394</v>
      </c>
      <c r="L630" s="354">
        <v>2.9932E-4</v>
      </c>
      <c r="M630" s="354">
        <v>1.56</v>
      </c>
      <c r="N630" s="350" t="s">
        <v>395</v>
      </c>
      <c r="O630" s="354">
        <v>1.32</v>
      </c>
      <c r="P630" s="374">
        <f t="shared" si="594"/>
        <v>9.829269036126087E-2</v>
      </c>
      <c r="Q630" s="354">
        <f t="shared" si="595"/>
        <v>9.2705001775347032E-3</v>
      </c>
      <c r="R630" s="354">
        <f t="shared" si="596"/>
        <v>1.5627366995531678E-2</v>
      </c>
      <c r="S630" s="354">
        <f t="shared" si="597"/>
        <v>1.3920649267171424E-2</v>
      </c>
      <c r="T630" s="354">
        <f t="shared" si="598"/>
        <v>5.9404728945443255E-2</v>
      </c>
      <c r="U630" s="374">
        <f t="shared" si="599"/>
        <v>0.39449121536342013</v>
      </c>
      <c r="V630" s="354">
        <f t="shared" si="600"/>
        <v>1.0442464985309735E-2</v>
      </c>
      <c r="W630" s="354">
        <f t="shared" si="601"/>
        <v>0.35621410862594943</v>
      </c>
      <c r="X630" s="354">
        <f t="shared" si="602"/>
        <v>2.7834641752160966E-2</v>
      </c>
      <c r="Y630" s="374">
        <f t="shared" si="603"/>
        <v>5.783180889025534E-2</v>
      </c>
      <c r="Z630" s="354">
        <f t="shared" si="604"/>
        <v>2.9833118466573154E-2</v>
      </c>
      <c r="AA630" s="354">
        <f t="shared" si="605"/>
        <v>2.7998690423682183E-2</v>
      </c>
      <c r="AB630" s="374">
        <f t="shared" si="606"/>
        <v>0.31595806303309132</v>
      </c>
      <c r="AC630" s="354">
        <f t="shared" si="607"/>
        <v>8.9666553480975714E-2</v>
      </c>
      <c r="AD630" s="354">
        <f t="shared" si="608"/>
        <v>0.19518416906701597</v>
      </c>
      <c r="AE630" s="354">
        <f t="shared" si="609"/>
        <v>3.1107340485099628E-2</v>
      </c>
      <c r="AF630" s="374">
        <f t="shared" si="610"/>
        <v>0.25287678872173713</v>
      </c>
      <c r="AG630" s="354">
        <f t="shared" si="611"/>
        <v>1.6251557278410367E-2</v>
      </c>
      <c r="AH630" s="354">
        <f t="shared" si="612"/>
        <v>8.1768117840207932E-2</v>
      </c>
      <c r="AI630" s="354">
        <f t="shared" si="613"/>
        <v>0</v>
      </c>
      <c r="AJ630" s="354">
        <f t="shared" si="614"/>
        <v>0.15485711360311885</v>
      </c>
      <c r="AK630" s="374">
        <f t="shared" si="615"/>
        <v>0.16702335912399932</v>
      </c>
      <c r="AL630" s="354">
        <f t="shared" si="616"/>
        <v>4.7853301090702884E-2</v>
      </c>
      <c r="AM630" s="354">
        <f t="shared" si="617"/>
        <v>0.1128649943560396</v>
      </c>
      <c r="AN630" s="354">
        <f t="shared" si="618"/>
        <v>6.3050636772568379E-3</v>
      </c>
      <c r="AO630" s="374">
        <f t="shared" si="619"/>
        <v>9.6847689901321254E-2</v>
      </c>
      <c r="AP630" s="354">
        <f t="shared" si="620"/>
        <v>2.220819397415099E-2</v>
      </c>
      <c r="AQ630" s="354">
        <f t="shared" si="621"/>
        <v>7.4639495927170271E-2</v>
      </c>
      <c r="AR630" s="374">
        <f t="shared" si="622"/>
        <v>0.17667838460491461</v>
      </c>
      <c r="AS630" s="354">
        <f t="shared" si="623"/>
        <v>7.6560741950151875E-2</v>
      </c>
      <c r="AT630" s="354">
        <f t="shared" si="624"/>
        <v>0.10011764265476275</v>
      </c>
      <c r="AU630" s="355" t="s">
        <v>396</v>
      </c>
      <c r="AV630" s="354" t="s">
        <v>404</v>
      </c>
      <c r="AW630" s="355" t="s">
        <v>405</v>
      </c>
      <c r="AX630" s="355">
        <v>103265</v>
      </c>
      <c r="AY630" s="350" t="s">
        <v>406</v>
      </c>
      <c r="AZ630" s="351">
        <v>45174</v>
      </c>
      <c r="BA630" s="351">
        <v>45174</v>
      </c>
      <c r="BB630" s="350" t="s">
        <v>407</v>
      </c>
    </row>
    <row r="631" spans="1:54" x14ac:dyDescent="0.25">
      <c r="A631" s="348" t="s">
        <v>1489</v>
      </c>
      <c r="B631" s="349">
        <v>5333</v>
      </c>
      <c r="C631" s="350" t="s">
        <v>1469</v>
      </c>
      <c r="D631" s="351">
        <v>45168</v>
      </c>
      <c r="E631" s="352">
        <v>3120</v>
      </c>
      <c r="F631" s="352">
        <v>1</v>
      </c>
      <c r="G631" s="351"/>
      <c r="H631" s="350" t="s">
        <v>438</v>
      </c>
      <c r="I631" s="350" t="s">
        <v>393</v>
      </c>
      <c r="J631" s="354">
        <v>29400</v>
      </c>
      <c r="K631" s="350" t="s">
        <v>394</v>
      </c>
      <c r="L631" s="354">
        <v>2.9999999999999997E-4</v>
      </c>
      <c r="M631" s="354">
        <v>10.42</v>
      </c>
      <c r="N631" s="350" t="s">
        <v>395</v>
      </c>
      <c r="O631" s="354">
        <v>8.82</v>
      </c>
      <c r="P631" s="374">
        <f t="shared" si="594"/>
        <v>0.65654476510534499</v>
      </c>
      <c r="Q631" s="354">
        <f t="shared" si="595"/>
        <v>6.1922187083276667E-2</v>
      </c>
      <c r="R631" s="354">
        <f t="shared" si="596"/>
        <v>0.10438279749579492</v>
      </c>
      <c r="S631" s="354">
        <f t="shared" si="597"/>
        <v>9.2982798310209114E-2</v>
      </c>
      <c r="T631" s="354">
        <f t="shared" si="598"/>
        <v>0.39679312539199918</v>
      </c>
      <c r="U631" s="374">
        <f t="shared" si="599"/>
        <v>2.6349990154402803</v>
      </c>
      <c r="V631" s="354">
        <f t="shared" si="600"/>
        <v>6.9750310991620143E-2</v>
      </c>
      <c r="W631" s="354">
        <f t="shared" si="601"/>
        <v>2.3793275717194824</v>
      </c>
      <c r="X631" s="354">
        <f t="shared" si="602"/>
        <v>0.18592113272917771</v>
      </c>
      <c r="Y631" s="374">
        <f t="shared" si="603"/>
        <v>0.38628682604901321</v>
      </c>
      <c r="Z631" s="354">
        <f t="shared" si="604"/>
        <v>0.19926993232159759</v>
      </c>
      <c r="AA631" s="354">
        <f t="shared" si="605"/>
        <v>0.18701689372741559</v>
      </c>
      <c r="AB631" s="374">
        <f t="shared" si="606"/>
        <v>2.1104378312851355</v>
      </c>
      <c r="AC631" s="354">
        <f t="shared" si="607"/>
        <v>0.59892659440497875</v>
      </c>
      <c r="AD631" s="354">
        <f t="shared" si="608"/>
        <v>1.3037301549219913</v>
      </c>
      <c r="AE631" s="354">
        <f t="shared" si="609"/>
        <v>0.20778108195816547</v>
      </c>
      <c r="AF631" s="374">
        <f t="shared" si="610"/>
        <v>1.6890872682567315</v>
      </c>
      <c r="AG631" s="354">
        <f t="shared" si="611"/>
        <v>0.10855206848784361</v>
      </c>
      <c r="AH631" s="354">
        <f t="shared" si="612"/>
        <v>0.54616909480446585</v>
      </c>
      <c r="AI631" s="354">
        <f t="shared" si="613"/>
        <v>0</v>
      </c>
      <c r="AJ631" s="354">
        <f t="shared" si="614"/>
        <v>1.0343661049644222</v>
      </c>
      <c r="AK631" s="374">
        <f t="shared" si="615"/>
        <v>1.1156303859436365</v>
      </c>
      <c r="AL631" s="354">
        <f t="shared" si="616"/>
        <v>0.3196355111314898</v>
      </c>
      <c r="AM631" s="354">
        <f t="shared" si="617"/>
        <v>0.75388028281405939</v>
      </c>
      <c r="AN631" s="354">
        <f t="shared" si="618"/>
        <v>4.2114591998087342E-2</v>
      </c>
      <c r="AO631" s="374">
        <f t="shared" si="619"/>
        <v>0.6468929030588253</v>
      </c>
      <c r="AP631" s="354">
        <f t="shared" si="620"/>
        <v>0.14833934692990597</v>
      </c>
      <c r="AQ631" s="354">
        <f t="shared" si="621"/>
        <v>0.49855355612891933</v>
      </c>
      <c r="AR631" s="374">
        <f t="shared" si="622"/>
        <v>1.1801210048610322</v>
      </c>
      <c r="AS631" s="354">
        <f t="shared" si="623"/>
        <v>0.51138649430806571</v>
      </c>
      <c r="AT631" s="354">
        <f t="shared" si="624"/>
        <v>0.66873451055296662</v>
      </c>
      <c r="AU631" s="355" t="s">
        <v>396</v>
      </c>
      <c r="AV631" s="354" t="s">
        <v>404</v>
      </c>
      <c r="AW631" s="355" t="s">
        <v>405</v>
      </c>
      <c r="AX631" s="355">
        <v>117871</v>
      </c>
      <c r="AY631" s="350" t="s">
        <v>406</v>
      </c>
      <c r="AZ631" s="351">
        <v>45174</v>
      </c>
      <c r="BA631" s="351">
        <v>45174</v>
      </c>
      <c r="BB631" s="350" t="s">
        <v>407</v>
      </c>
    </row>
    <row r="632" spans="1:54" x14ac:dyDescent="0.25">
      <c r="A632" s="348" t="s">
        <v>1489</v>
      </c>
      <c r="B632" s="349">
        <v>5333</v>
      </c>
      <c r="C632" s="350" t="s">
        <v>1469</v>
      </c>
      <c r="D632" s="351">
        <v>45168</v>
      </c>
      <c r="E632" s="352">
        <v>3120</v>
      </c>
      <c r="F632" s="352">
        <v>1</v>
      </c>
      <c r="G632" s="351"/>
      <c r="H632" s="350" t="s">
        <v>438</v>
      </c>
      <c r="I632" s="350" t="s">
        <v>393</v>
      </c>
      <c r="J632" s="354">
        <v>23520</v>
      </c>
      <c r="K632" s="350" t="s">
        <v>394</v>
      </c>
      <c r="L632" s="354">
        <v>3.0016999999999999E-4</v>
      </c>
      <c r="M632" s="354">
        <v>8.33</v>
      </c>
      <c r="N632" s="350" t="s">
        <v>395</v>
      </c>
      <c r="O632" s="354">
        <v>7.06</v>
      </c>
      <c r="P632" s="374">
        <f t="shared" si="594"/>
        <v>0.52485776327519418</v>
      </c>
      <c r="Q632" s="354">
        <f t="shared" si="595"/>
        <v>4.950209389670774E-2</v>
      </c>
      <c r="R632" s="354">
        <f t="shared" si="596"/>
        <v>8.3446132738960815E-2</v>
      </c>
      <c r="S632" s="354">
        <f t="shared" si="597"/>
        <v>7.4332697689447405E-2</v>
      </c>
      <c r="T632" s="354">
        <f t="shared" si="598"/>
        <v>0.31720602058688607</v>
      </c>
      <c r="U632" s="374">
        <f t="shared" si="599"/>
        <v>2.1064819384469806</v>
      </c>
      <c r="V632" s="354">
        <f t="shared" si="600"/>
        <v>5.5760085466429549E-2</v>
      </c>
      <c r="W632" s="354">
        <f t="shared" si="601"/>
        <v>1.9020920031116404</v>
      </c>
      <c r="X632" s="354">
        <f t="shared" si="602"/>
        <v>0.14862984986891078</v>
      </c>
      <c r="Y632" s="374">
        <f t="shared" si="603"/>
        <v>0.30880703080501726</v>
      </c>
      <c r="Z632" s="354">
        <f t="shared" si="604"/>
        <v>0.15930120309394508</v>
      </c>
      <c r="AA632" s="354">
        <f t="shared" si="605"/>
        <v>0.14950582771107215</v>
      </c>
      <c r="AB632" s="374">
        <f t="shared" si="606"/>
        <v>1.6871350417087503</v>
      </c>
      <c r="AC632" s="354">
        <f t="shared" si="607"/>
        <v>0.47879640416444075</v>
      </c>
      <c r="AD632" s="354">
        <f t="shared" si="608"/>
        <v>1.0422334155950275</v>
      </c>
      <c r="AE632" s="354">
        <f t="shared" si="609"/>
        <v>0.16610522194928198</v>
      </c>
      <c r="AF632" s="374">
        <f t="shared" si="610"/>
        <v>1.3502972115718401</v>
      </c>
      <c r="AG632" s="354">
        <f t="shared" si="611"/>
        <v>8.6779148800742542E-2</v>
      </c>
      <c r="AH632" s="354">
        <f t="shared" si="612"/>
        <v>0.43662078308264879</v>
      </c>
      <c r="AI632" s="354">
        <f t="shared" si="613"/>
        <v>0</v>
      </c>
      <c r="AJ632" s="354">
        <f t="shared" si="614"/>
        <v>0.82689727968844884</v>
      </c>
      <c r="AK632" s="374">
        <f t="shared" si="615"/>
        <v>0.89186191121981684</v>
      </c>
      <c r="AL632" s="354">
        <f t="shared" si="616"/>
        <v>0.25552435774715065</v>
      </c>
      <c r="AM632" s="354">
        <f t="shared" si="617"/>
        <v>0.60267013011910886</v>
      </c>
      <c r="AN632" s="354">
        <f t="shared" si="618"/>
        <v>3.3667423353557345E-2</v>
      </c>
      <c r="AO632" s="374">
        <f t="shared" si="619"/>
        <v>0.51714183133205516</v>
      </c>
      <c r="AP632" s="354">
        <f t="shared" si="620"/>
        <v>0.11858606141325496</v>
      </c>
      <c r="AQ632" s="354">
        <f t="shared" si="621"/>
        <v>0.39855576991880021</v>
      </c>
      <c r="AR632" s="374">
        <f t="shared" si="622"/>
        <v>0.94341727164034528</v>
      </c>
      <c r="AS632" s="354">
        <f t="shared" si="623"/>
        <v>0.40881473105433658</v>
      </c>
      <c r="AT632" s="354">
        <f t="shared" si="624"/>
        <v>0.53460254058600876</v>
      </c>
      <c r="AU632" s="355" t="s">
        <v>396</v>
      </c>
      <c r="AV632" s="354" t="s">
        <v>404</v>
      </c>
      <c r="AW632" s="355" t="s">
        <v>405</v>
      </c>
      <c r="AX632" s="355">
        <v>103321</v>
      </c>
      <c r="AY632" s="350" t="s">
        <v>406</v>
      </c>
      <c r="AZ632" s="351">
        <v>45174</v>
      </c>
      <c r="BA632" s="351">
        <v>45174</v>
      </c>
      <c r="BB632" s="350" t="s">
        <v>407</v>
      </c>
    </row>
    <row r="633" spans="1:54" x14ac:dyDescent="0.25">
      <c r="A633" s="348" t="s">
        <v>1489</v>
      </c>
      <c r="B633" s="349">
        <v>5333</v>
      </c>
      <c r="C633" s="350" t="s">
        <v>1469</v>
      </c>
      <c r="D633" s="351">
        <v>45168</v>
      </c>
      <c r="E633" s="352">
        <v>3120</v>
      </c>
      <c r="F633" s="352">
        <v>1</v>
      </c>
      <c r="G633" s="351"/>
      <c r="H633" s="350" t="s">
        <v>438</v>
      </c>
      <c r="I633" s="350" t="s">
        <v>393</v>
      </c>
      <c r="J633" s="354">
        <v>4410</v>
      </c>
      <c r="K633" s="350" t="s">
        <v>394</v>
      </c>
      <c r="L633" s="354">
        <v>2.9932E-4</v>
      </c>
      <c r="M633" s="354">
        <v>1.56</v>
      </c>
      <c r="N633" s="350" t="s">
        <v>395</v>
      </c>
      <c r="O633" s="354">
        <v>1.32</v>
      </c>
      <c r="P633" s="374">
        <f t="shared" si="594"/>
        <v>9.829269036126087E-2</v>
      </c>
      <c r="Q633" s="354">
        <f t="shared" si="595"/>
        <v>9.2705001775347032E-3</v>
      </c>
      <c r="R633" s="354">
        <f t="shared" si="596"/>
        <v>1.5627366995531678E-2</v>
      </c>
      <c r="S633" s="354">
        <f t="shared" si="597"/>
        <v>1.3920649267171424E-2</v>
      </c>
      <c r="T633" s="354">
        <f t="shared" si="598"/>
        <v>5.9404728945443255E-2</v>
      </c>
      <c r="U633" s="374">
        <f t="shared" si="599"/>
        <v>0.39449121536342013</v>
      </c>
      <c r="V633" s="354">
        <f t="shared" si="600"/>
        <v>1.0442464985309735E-2</v>
      </c>
      <c r="W633" s="354">
        <f t="shared" si="601"/>
        <v>0.35621410862594943</v>
      </c>
      <c r="X633" s="354">
        <f t="shared" si="602"/>
        <v>2.7834641752160966E-2</v>
      </c>
      <c r="Y633" s="374">
        <f t="shared" si="603"/>
        <v>5.783180889025534E-2</v>
      </c>
      <c r="Z633" s="354">
        <f t="shared" si="604"/>
        <v>2.9833118466573154E-2</v>
      </c>
      <c r="AA633" s="354">
        <f t="shared" si="605"/>
        <v>2.7998690423682183E-2</v>
      </c>
      <c r="AB633" s="374">
        <f t="shared" si="606"/>
        <v>0.31595806303309132</v>
      </c>
      <c r="AC633" s="354">
        <f t="shared" si="607"/>
        <v>8.9666553480975714E-2</v>
      </c>
      <c r="AD633" s="354">
        <f t="shared" si="608"/>
        <v>0.19518416906701597</v>
      </c>
      <c r="AE633" s="354">
        <f t="shared" si="609"/>
        <v>3.1107340485099628E-2</v>
      </c>
      <c r="AF633" s="374">
        <f t="shared" si="610"/>
        <v>0.25287678872173713</v>
      </c>
      <c r="AG633" s="354">
        <f t="shared" si="611"/>
        <v>1.6251557278410367E-2</v>
      </c>
      <c r="AH633" s="354">
        <f t="shared" si="612"/>
        <v>8.1768117840207932E-2</v>
      </c>
      <c r="AI633" s="354">
        <f t="shared" si="613"/>
        <v>0</v>
      </c>
      <c r="AJ633" s="354">
        <f t="shared" si="614"/>
        <v>0.15485711360311885</v>
      </c>
      <c r="AK633" s="374">
        <f t="shared" si="615"/>
        <v>0.16702335912399932</v>
      </c>
      <c r="AL633" s="354">
        <f t="shared" si="616"/>
        <v>4.7853301090702884E-2</v>
      </c>
      <c r="AM633" s="354">
        <f t="shared" si="617"/>
        <v>0.1128649943560396</v>
      </c>
      <c r="AN633" s="354">
        <f t="shared" si="618"/>
        <v>6.3050636772568379E-3</v>
      </c>
      <c r="AO633" s="374">
        <f t="shared" si="619"/>
        <v>9.6847689901321254E-2</v>
      </c>
      <c r="AP633" s="354">
        <f t="shared" si="620"/>
        <v>2.220819397415099E-2</v>
      </c>
      <c r="AQ633" s="354">
        <f t="shared" si="621"/>
        <v>7.4639495927170271E-2</v>
      </c>
      <c r="AR633" s="374">
        <f t="shared" si="622"/>
        <v>0.17667838460491461</v>
      </c>
      <c r="AS633" s="354">
        <f t="shared" si="623"/>
        <v>7.6560741950151875E-2</v>
      </c>
      <c r="AT633" s="354">
        <f t="shared" si="624"/>
        <v>0.10011764265476275</v>
      </c>
      <c r="AU633" s="355" t="s">
        <v>396</v>
      </c>
      <c r="AV633" s="354" t="s">
        <v>404</v>
      </c>
      <c r="AW633" s="355" t="s">
        <v>405</v>
      </c>
      <c r="AX633" s="355">
        <v>117427</v>
      </c>
      <c r="AY633" s="350" t="s">
        <v>406</v>
      </c>
      <c r="AZ633" s="351">
        <v>45174</v>
      </c>
      <c r="BA633" s="351">
        <v>45174</v>
      </c>
      <c r="BB633" s="350" t="s">
        <v>407</v>
      </c>
    </row>
    <row r="634" spans="1:54" x14ac:dyDescent="0.25">
      <c r="A634" s="348" t="s">
        <v>1489</v>
      </c>
      <c r="B634" s="349">
        <v>5333</v>
      </c>
      <c r="C634" s="350" t="s">
        <v>1469</v>
      </c>
      <c r="D634" s="351">
        <v>45168</v>
      </c>
      <c r="E634" s="352">
        <v>3120</v>
      </c>
      <c r="F634" s="352">
        <v>1</v>
      </c>
      <c r="G634" s="351"/>
      <c r="H634" s="350" t="s">
        <v>438</v>
      </c>
      <c r="I634" s="350" t="s">
        <v>393</v>
      </c>
      <c r="J634" s="354">
        <v>23520</v>
      </c>
      <c r="K634" s="350" t="s">
        <v>394</v>
      </c>
      <c r="L634" s="354">
        <v>3.0016999999999999E-4</v>
      </c>
      <c r="M634" s="354">
        <v>8.33</v>
      </c>
      <c r="N634" s="350" t="s">
        <v>395</v>
      </c>
      <c r="O634" s="354">
        <v>7.06</v>
      </c>
      <c r="P634" s="374">
        <f t="shared" si="594"/>
        <v>0.52485776327519418</v>
      </c>
      <c r="Q634" s="354">
        <f t="shared" si="595"/>
        <v>4.950209389670774E-2</v>
      </c>
      <c r="R634" s="354">
        <f t="shared" si="596"/>
        <v>8.3446132738960815E-2</v>
      </c>
      <c r="S634" s="354">
        <f t="shared" si="597"/>
        <v>7.4332697689447405E-2</v>
      </c>
      <c r="T634" s="354">
        <f t="shared" si="598"/>
        <v>0.31720602058688607</v>
      </c>
      <c r="U634" s="374">
        <f t="shared" si="599"/>
        <v>2.1064819384469806</v>
      </c>
      <c r="V634" s="354">
        <f t="shared" si="600"/>
        <v>5.5760085466429549E-2</v>
      </c>
      <c r="W634" s="354">
        <f t="shared" si="601"/>
        <v>1.9020920031116404</v>
      </c>
      <c r="X634" s="354">
        <f t="shared" si="602"/>
        <v>0.14862984986891078</v>
      </c>
      <c r="Y634" s="374">
        <f t="shared" si="603"/>
        <v>0.30880703080501726</v>
      </c>
      <c r="Z634" s="354">
        <f t="shared" si="604"/>
        <v>0.15930120309394508</v>
      </c>
      <c r="AA634" s="354">
        <f t="shared" si="605"/>
        <v>0.14950582771107215</v>
      </c>
      <c r="AB634" s="374">
        <f t="shared" si="606"/>
        <v>1.6871350417087503</v>
      </c>
      <c r="AC634" s="354">
        <f t="shared" si="607"/>
        <v>0.47879640416444075</v>
      </c>
      <c r="AD634" s="354">
        <f t="shared" si="608"/>
        <v>1.0422334155950275</v>
      </c>
      <c r="AE634" s="354">
        <f t="shared" si="609"/>
        <v>0.16610522194928198</v>
      </c>
      <c r="AF634" s="374">
        <f t="shared" si="610"/>
        <v>1.3502972115718401</v>
      </c>
      <c r="AG634" s="354">
        <f t="shared" si="611"/>
        <v>8.6779148800742542E-2</v>
      </c>
      <c r="AH634" s="354">
        <f t="shared" si="612"/>
        <v>0.43662078308264879</v>
      </c>
      <c r="AI634" s="354">
        <f t="shared" si="613"/>
        <v>0</v>
      </c>
      <c r="AJ634" s="354">
        <f t="shared" si="614"/>
        <v>0.82689727968844884</v>
      </c>
      <c r="AK634" s="374">
        <f t="shared" si="615"/>
        <v>0.89186191121981684</v>
      </c>
      <c r="AL634" s="354">
        <f t="shared" si="616"/>
        <v>0.25552435774715065</v>
      </c>
      <c r="AM634" s="354">
        <f t="shared" si="617"/>
        <v>0.60267013011910886</v>
      </c>
      <c r="AN634" s="354">
        <f t="shared" si="618"/>
        <v>3.3667423353557345E-2</v>
      </c>
      <c r="AO634" s="374">
        <f t="shared" si="619"/>
        <v>0.51714183133205516</v>
      </c>
      <c r="AP634" s="354">
        <f t="shared" si="620"/>
        <v>0.11858606141325496</v>
      </c>
      <c r="AQ634" s="354">
        <f t="shared" si="621"/>
        <v>0.39855576991880021</v>
      </c>
      <c r="AR634" s="374">
        <f t="shared" si="622"/>
        <v>0.94341727164034528</v>
      </c>
      <c r="AS634" s="354">
        <f t="shared" si="623"/>
        <v>0.40881473105433658</v>
      </c>
      <c r="AT634" s="354">
        <f t="shared" si="624"/>
        <v>0.53460254058600876</v>
      </c>
      <c r="AU634" s="355" t="s">
        <v>396</v>
      </c>
      <c r="AV634" s="354" t="s">
        <v>404</v>
      </c>
      <c r="AW634" s="355" t="s">
        <v>405</v>
      </c>
      <c r="AX634" s="355">
        <v>117872</v>
      </c>
      <c r="AY634" s="350" t="s">
        <v>406</v>
      </c>
      <c r="AZ634" s="351">
        <v>45174</v>
      </c>
      <c r="BA634" s="351">
        <v>45174</v>
      </c>
      <c r="BB634" s="350" t="s">
        <v>407</v>
      </c>
    </row>
    <row r="635" spans="1:54" x14ac:dyDescent="0.25">
      <c r="A635" s="348" t="s">
        <v>1489</v>
      </c>
      <c r="B635" s="349">
        <v>5333</v>
      </c>
      <c r="C635" s="350" t="s">
        <v>1469</v>
      </c>
      <c r="D635" s="351">
        <v>45168</v>
      </c>
      <c r="E635" s="352">
        <v>3120</v>
      </c>
      <c r="F635" s="352">
        <v>1</v>
      </c>
      <c r="G635" s="351"/>
      <c r="H635" s="350" t="s">
        <v>438</v>
      </c>
      <c r="I635" s="350" t="s">
        <v>393</v>
      </c>
      <c r="J635" s="354">
        <v>14700</v>
      </c>
      <c r="K635" s="350" t="s">
        <v>394</v>
      </c>
      <c r="L635" s="354">
        <v>2.9999999999999997E-4</v>
      </c>
      <c r="M635" s="354">
        <v>5.21</v>
      </c>
      <c r="N635" s="350" t="s">
        <v>395</v>
      </c>
      <c r="O635" s="354">
        <v>4.41</v>
      </c>
      <c r="P635" s="374">
        <f t="shared" si="594"/>
        <v>0.32827238255267249</v>
      </c>
      <c r="Q635" s="354">
        <f t="shared" si="595"/>
        <v>3.0961093541638333E-2</v>
      </c>
      <c r="R635" s="354">
        <f t="shared" si="596"/>
        <v>5.2191398747897459E-2</v>
      </c>
      <c r="S635" s="354">
        <f t="shared" si="597"/>
        <v>4.6491399155104557E-2</v>
      </c>
      <c r="T635" s="354">
        <f t="shared" si="598"/>
        <v>0.19839656269599959</v>
      </c>
      <c r="U635" s="374">
        <f t="shared" si="599"/>
        <v>1.3174995077201401</v>
      </c>
      <c r="V635" s="354">
        <f t="shared" si="600"/>
        <v>3.4875155495810072E-2</v>
      </c>
      <c r="W635" s="354">
        <f t="shared" si="601"/>
        <v>1.1896637858597412</v>
      </c>
      <c r="X635" s="354">
        <f t="shared" si="602"/>
        <v>9.2960566364588854E-2</v>
      </c>
      <c r="Y635" s="374">
        <f t="shared" si="603"/>
        <v>0.1931434130245066</v>
      </c>
      <c r="Z635" s="354">
        <f t="shared" si="604"/>
        <v>9.9634966160798796E-2</v>
      </c>
      <c r="AA635" s="354">
        <f t="shared" si="605"/>
        <v>9.3508446863707795E-2</v>
      </c>
      <c r="AB635" s="374">
        <f t="shared" si="606"/>
        <v>1.0552189156425678</v>
      </c>
      <c r="AC635" s="354">
        <f t="shared" si="607"/>
        <v>0.29946329720248938</v>
      </c>
      <c r="AD635" s="354">
        <f t="shared" si="608"/>
        <v>0.65186507746099565</v>
      </c>
      <c r="AE635" s="354">
        <f t="shared" si="609"/>
        <v>0.10389054097908273</v>
      </c>
      <c r="AF635" s="374">
        <f t="shared" si="610"/>
        <v>0.84454363412836575</v>
      </c>
      <c r="AG635" s="354">
        <f t="shared" si="611"/>
        <v>5.4276034243921807E-2</v>
      </c>
      <c r="AH635" s="354">
        <f t="shared" si="612"/>
        <v>0.27308454740223292</v>
      </c>
      <c r="AI635" s="354">
        <f t="shared" si="613"/>
        <v>0</v>
      </c>
      <c r="AJ635" s="354">
        <f t="shared" si="614"/>
        <v>0.51718305248221108</v>
      </c>
      <c r="AK635" s="374">
        <f t="shared" si="615"/>
        <v>0.55781519297181825</v>
      </c>
      <c r="AL635" s="354">
        <f t="shared" si="616"/>
        <v>0.1598177555657449</v>
      </c>
      <c r="AM635" s="354">
        <f t="shared" si="617"/>
        <v>0.37694014140702969</v>
      </c>
      <c r="AN635" s="354">
        <f t="shared" si="618"/>
        <v>2.1057295999043671E-2</v>
      </c>
      <c r="AO635" s="374">
        <f t="shared" si="619"/>
        <v>0.32344645152941265</v>
      </c>
      <c r="AP635" s="354">
        <f t="shared" si="620"/>
        <v>7.4169673464952984E-2</v>
      </c>
      <c r="AQ635" s="354">
        <f t="shared" si="621"/>
        <v>0.24927677806445966</v>
      </c>
      <c r="AR635" s="374">
        <f t="shared" si="622"/>
        <v>0.59006050243051611</v>
      </c>
      <c r="AS635" s="354">
        <f t="shared" si="623"/>
        <v>0.25569324715403285</v>
      </c>
      <c r="AT635" s="354">
        <f t="shared" si="624"/>
        <v>0.33436725527648331</v>
      </c>
      <c r="AU635" s="355" t="s">
        <v>396</v>
      </c>
      <c r="AV635" s="354" t="s">
        <v>404</v>
      </c>
      <c r="AW635" s="355" t="s">
        <v>405</v>
      </c>
      <c r="AX635" s="355">
        <v>103328</v>
      </c>
      <c r="AY635" s="350" t="s">
        <v>406</v>
      </c>
      <c r="AZ635" s="351">
        <v>45174</v>
      </c>
      <c r="BA635" s="351">
        <v>45174</v>
      </c>
      <c r="BB635" s="350" t="s">
        <v>407</v>
      </c>
    </row>
    <row r="636" spans="1:54" x14ac:dyDescent="0.25">
      <c r="A636" s="348" t="s">
        <v>1489</v>
      </c>
      <c r="B636" s="349">
        <v>5333</v>
      </c>
      <c r="C636" s="350" t="s">
        <v>1469</v>
      </c>
      <c r="D636" s="351">
        <v>45168</v>
      </c>
      <c r="E636" s="352">
        <v>3120</v>
      </c>
      <c r="F636" s="352">
        <v>1</v>
      </c>
      <c r="G636" s="351"/>
      <c r="H636" s="350" t="s">
        <v>438</v>
      </c>
      <c r="I636" s="350" t="s">
        <v>393</v>
      </c>
      <c r="J636" s="354">
        <v>2940</v>
      </c>
      <c r="K636" s="350" t="s">
        <v>394</v>
      </c>
      <c r="L636" s="354">
        <v>2.9932E-4</v>
      </c>
      <c r="M636" s="354">
        <v>1.04</v>
      </c>
      <c r="N636" s="350" t="s">
        <v>395</v>
      </c>
      <c r="O636" s="354">
        <v>0.88</v>
      </c>
      <c r="P636" s="374">
        <f t="shared" si="594"/>
        <v>6.552846024084058E-2</v>
      </c>
      <c r="Q636" s="354">
        <f t="shared" si="595"/>
        <v>6.1803334516898024E-3</v>
      </c>
      <c r="R636" s="354">
        <f t="shared" si="596"/>
        <v>1.0418244663687785E-2</v>
      </c>
      <c r="S636" s="354">
        <f t="shared" si="597"/>
        <v>9.28043284478095E-3</v>
      </c>
      <c r="T636" s="354">
        <f t="shared" si="598"/>
        <v>3.9603152630295506E-2</v>
      </c>
      <c r="U636" s="374">
        <f t="shared" si="599"/>
        <v>0.2629941435756134</v>
      </c>
      <c r="V636" s="354">
        <f t="shared" si="600"/>
        <v>6.9616433235398225E-3</v>
      </c>
      <c r="W636" s="354">
        <f t="shared" si="601"/>
        <v>0.23747607241729962</v>
      </c>
      <c r="X636" s="354">
        <f t="shared" si="602"/>
        <v>1.8556427834773976E-2</v>
      </c>
      <c r="Y636" s="374">
        <f t="shared" si="603"/>
        <v>3.8554539260170224E-2</v>
      </c>
      <c r="Z636" s="354">
        <f t="shared" si="604"/>
        <v>1.9888745644382099E-2</v>
      </c>
      <c r="AA636" s="354">
        <f t="shared" si="605"/>
        <v>1.8665793615788122E-2</v>
      </c>
      <c r="AB636" s="374">
        <f t="shared" si="606"/>
        <v>0.21063870868872753</v>
      </c>
      <c r="AC636" s="354">
        <f t="shared" si="607"/>
        <v>5.9777702320650467E-2</v>
      </c>
      <c r="AD636" s="354">
        <f t="shared" si="608"/>
        <v>0.13012277937801064</v>
      </c>
      <c r="AE636" s="354">
        <f t="shared" si="609"/>
        <v>2.0738226990066416E-2</v>
      </c>
      <c r="AF636" s="374">
        <f t="shared" si="610"/>
        <v>0.16858452581449143</v>
      </c>
      <c r="AG636" s="354">
        <f t="shared" si="611"/>
        <v>1.0834371518940246E-2</v>
      </c>
      <c r="AH636" s="354">
        <f t="shared" si="612"/>
        <v>5.4512078560138622E-2</v>
      </c>
      <c r="AI636" s="354">
        <f t="shared" si="613"/>
        <v>0</v>
      </c>
      <c r="AJ636" s="354">
        <f t="shared" si="614"/>
        <v>0.10323807573541258</v>
      </c>
      <c r="AK636" s="374">
        <f t="shared" si="615"/>
        <v>0.11134890608266622</v>
      </c>
      <c r="AL636" s="354">
        <f t="shared" si="616"/>
        <v>3.190220072713526E-2</v>
      </c>
      <c r="AM636" s="354">
        <f t="shared" si="617"/>
        <v>7.5243329570693074E-2</v>
      </c>
      <c r="AN636" s="354">
        <f t="shared" si="618"/>
        <v>4.2033757848378922E-3</v>
      </c>
      <c r="AO636" s="374">
        <f t="shared" si="619"/>
        <v>6.4565126600880832E-2</v>
      </c>
      <c r="AP636" s="354">
        <f t="shared" si="620"/>
        <v>1.4805462649433993E-2</v>
      </c>
      <c r="AQ636" s="354">
        <f t="shared" si="621"/>
        <v>4.9759663951446841E-2</v>
      </c>
      <c r="AR636" s="374">
        <f t="shared" si="622"/>
        <v>0.11778558973660974</v>
      </c>
      <c r="AS636" s="354">
        <f t="shared" si="623"/>
        <v>5.1040494633434581E-2</v>
      </c>
      <c r="AT636" s="354">
        <f t="shared" si="624"/>
        <v>6.6745095103175167E-2</v>
      </c>
      <c r="AU636" s="355" t="s">
        <v>396</v>
      </c>
      <c r="AV636" s="354" t="s">
        <v>404</v>
      </c>
      <c r="AW636" s="355" t="s">
        <v>405</v>
      </c>
      <c r="AX636" s="355">
        <v>117293</v>
      </c>
      <c r="AY636" s="350" t="s">
        <v>406</v>
      </c>
      <c r="AZ636" s="351">
        <v>45174</v>
      </c>
      <c r="BA636" s="351">
        <v>45174</v>
      </c>
      <c r="BB636" s="350" t="s">
        <v>407</v>
      </c>
    </row>
    <row r="637" spans="1:54" x14ac:dyDescent="0.25">
      <c r="A637" s="348" t="s">
        <v>1489</v>
      </c>
      <c r="B637" s="349">
        <v>5333</v>
      </c>
      <c r="C637" s="350" t="s">
        <v>1469</v>
      </c>
      <c r="D637" s="351">
        <v>45168</v>
      </c>
      <c r="E637" s="352">
        <v>3110</v>
      </c>
      <c r="F637" s="352">
        <v>1</v>
      </c>
      <c r="G637" s="351"/>
      <c r="H637" s="350" t="s">
        <v>437</v>
      </c>
      <c r="I637" s="350" t="s">
        <v>393</v>
      </c>
      <c r="J637" s="354">
        <v>2152150.2999999998</v>
      </c>
      <c r="K637" s="350" t="s">
        <v>394</v>
      </c>
      <c r="L637" s="354">
        <v>3.0000200000000001E-4</v>
      </c>
      <c r="M637" s="354">
        <v>762.53</v>
      </c>
      <c r="N637" s="350" t="s">
        <v>395</v>
      </c>
      <c r="O637" s="354">
        <v>645.65</v>
      </c>
      <c r="P637" s="374">
        <f t="shared" si="594"/>
        <v>48.045593064854003</v>
      </c>
      <c r="Q637" s="354">
        <f t="shared" si="595"/>
        <v>4.5314323720356011</v>
      </c>
      <c r="R637" s="354">
        <f t="shared" si="596"/>
        <v>7.6386770225017759</v>
      </c>
      <c r="S637" s="354">
        <f t="shared" si="597"/>
        <v>6.804431208779631</v>
      </c>
      <c r="T637" s="354">
        <f t="shared" si="598"/>
        <v>29.037107668441568</v>
      </c>
      <c r="U637" s="374">
        <f t="shared" si="599"/>
        <v>192.82781182760814</v>
      </c>
      <c r="V637" s="354">
        <f t="shared" si="600"/>
        <v>5.1042902725950201</v>
      </c>
      <c r="W637" s="354">
        <f t="shared" si="601"/>
        <v>174.11791298111871</v>
      </c>
      <c r="X637" s="354">
        <f t="shared" si="602"/>
        <v>13.605608573894422</v>
      </c>
      <c r="Y637" s="374">
        <f t="shared" si="603"/>
        <v>28.268262328901539</v>
      </c>
      <c r="Z637" s="354">
        <f t="shared" si="604"/>
        <v>14.582466554048734</v>
      </c>
      <c r="AA637" s="354">
        <f t="shared" si="605"/>
        <v>13.685795774852803</v>
      </c>
      <c r="AB637" s="374">
        <f t="shared" si="606"/>
        <v>154.44070628501481</v>
      </c>
      <c r="AC637" s="354">
        <f t="shared" si="607"/>
        <v>43.829126298620771</v>
      </c>
      <c r="AD637" s="354">
        <f t="shared" si="608"/>
        <v>95.406272076071588</v>
      </c>
      <c r="AE637" s="354">
        <f t="shared" si="609"/>
        <v>15.205307910322448</v>
      </c>
      <c r="AF637" s="374">
        <f t="shared" si="610"/>
        <v>123.6064985281963</v>
      </c>
      <c r="AG637" s="354">
        <f t="shared" si="611"/>
        <v>7.9437820330168316</v>
      </c>
      <c r="AH637" s="354">
        <f t="shared" si="612"/>
        <v>39.968360831213943</v>
      </c>
      <c r="AI637" s="354">
        <f t="shared" si="613"/>
        <v>0</v>
      </c>
      <c r="AJ637" s="354">
        <f t="shared" si="614"/>
        <v>75.694355663965524</v>
      </c>
      <c r="AK637" s="374">
        <f t="shared" si="615"/>
        <v>81.641232072322566</v>
      </c>
      <c r="AL637" s="354">
        <f t="shared" si="616"/>
        <v>23.390754923521584</v>
      </c>
      <c r="AM637" s="354">
        <f t="shared" si="617"/>
        <v>55.168553939942875</v>
      </c>
      <c r="AN637" s="354">
        <f t="shared" si="618"/>
        <v>3.0819232088581132</v>
      </c>
      <c r="AO637" s="374">
        <f t="shared" si="619"/>
        <v>47.339274987470823</v>
      </c>
      <c r="AP637" s="354">
        <f t="shared" si="620"/>
        <v>10.855393686608558</v>
      </c>
      <c r="AQ637" s="354">
        <f t="shared" si="621"/>
        <v>36.483881300862265</v>
      </c>
      <c r="AR637" s="374">
        <f t="shared" si="622"/>
        <v>86.360620905631748</v>
      </c>
      <c r="AS637" s="354">
        <f t="shared" si="623"/>
        <v>37.422988820031605</v>
      </c>
      <c r="AT637" s="354">
        <f t="shared" si="624"/>
        <v>48.93763208560015</v>
      </c>
      <c r="AU637" s="355" t="s">
        <v>396</v>
      </c>
      <c r="AV637" s="354" t="s">
        <v>404</v>
      </c>
      <c r="AW637" s="355" t="s">
        <v>405</v>
      </c>
      <c r="AX637" s="355">
        <v>102955</v>
      </c>
      <c r="AY637" s="350" t="s">
        <v>406</v>
      </c>
      <c r="AZ637" s="351">
        <v>45174</v>
      </c>
      <c r="BA637" s="351">
        <v>45174</v>
      </c>
      <c r="BB637" s="350" t="s">
        <v>407</v>
      </c>
    </row>
    <row r="638" spans="1:54" x14ac:dyDescent="0.25">
      <c r="A638" s="348" t="s">
        <v>1489</v>
      </c>
      <c r="B638" s="349">
        <v>5333</v>
      </c>
      <c r="C638" s="350" t="s">
        <v>1469</v>
      </c>
      <c r="D638" s="351">
        <v>45168</v>
      </c>
      <c r="E638" s="352">
        <v>3110</v>
      </c>
      <c r="F638" s="352">
        <v>1</v>
      </c>
      <c r="G638" s="351"/>
      <c r="H638" s="350" t="s">
        <v>437</v>
      </c>
      <c r="I638" s="350" t="s">
        <v>393</v>
      </c>
      <c r="J638" s="354">
        <v>595528.80000000005</v>
      </c>
      <c r="K638" s="350" t="s">
        <v>394</v>
      </c>
      <c r="L638" s="354">
        <v>3.0000200000000001E-4</v>
      </c>
      <c r="M638" s="354">
        <v>211</v>
      </c>
      <c r="N638" s="350" t="s">
        <v>395</v>
      </c>
      <c r="O638" s="354">
        <v>178.66</v>
      </c>
      <c r="P638" s="374">
        <f t="shared" ref="P638:P681" si="625">M638*$P$2</f>
        <v>13.294716452709002</v>
      </c>
      <c r="Q638" s="354">
        <f t="shared" ref="Q638:Q681" si="626">P638*$Q$2</f>
        <v>1.2538945752947579</v>
      </c>
      <c r="R638" s="354">
        <f t="shared" ref="R638:R681" si="627">P638*$R$2</f>
        <v>2.1137015615751182</v>
      </c>
      <c r="S638" s="354">
        <f t="shared" ref="S638:S681" si="628">P638*$S$2</f>
        <v>1.8828570483161349</v>
      </c>
      <c r="T638" s="354">
        <f t="shared" ref="T638:T681" si="629">P638*$T$2</f>
        <v>8.0348703894157225</v>
      </c>
      <c r="U638" s="374">
        <f t="shared" ref="U638:U681" si="630">M638*$U$2</f>
        <v>53.357465667744641</v>
      </c>
      <c r="V638" s="354">
        <f t="shared" ref="V638:V681" si="631">U638*$V$2</f>
        <v>1.4124103281412526</v>
      </c>
      <c r="W638" s="354">
        <f t="shared" ref="W638:W681" si="632">U638*$W$2</f>
        <v>48.180241615432905</v>
      </c>
      <c r="X638" s="354">
        <f t="shared" ref="X638:X681" si="633">U638*$X$2</f>
        <v>3.7648137241704891</v>
      </c>
      <c r="Y638" s="374">
        <f t="shared" ref="Y638:Y681" si="634">M638*$Y$2</f>
        <v>7.8221228691306894</v>
      </c>
      <c r="Z638" s="354">
        <f t="shared" ref="Z638:Z681" si="635">Y638*$Z$2</f>
        <v>4.0351205105429067</v>
      </c>
      <c r="AA638" s="354">
        <f t="shared" ref="AA638:AA681" si="636">Y638*$AA$2</f>
        <v>3.7870023585877823</v>
      </c>
      <c r="AB638" s="374">
        <f t="shared" ref="AB638:AB681" si="637">M638*$AB$2</f>
        <v>42.735353397424525</v>
      </c>
      <c r="AC638" s="354">
        <f t="shared" ref="AC638:AC681" si="638">AB638*$AC$2</f>
        <v>12.127976143901201</v>
      </c>
      <c r="AD638" s="354">
        <f t="shared" ref="AD638:AD681" si="639">AB638*$AD$2</f>
        <v>26.399910046884848</v>
      </c>
      <c r="AE638" s="354">
        <f t="shared" ref="AE638:AE681" si="640">AB638*$AE$2</f>
        <v>4.2074672066384746</v>
      </c>
      <c r="AF638" s="374">
        <f t="shared" ref="AF638:AF681" si="641">M638*$AF$2</f>
        <v>34.203206679670856</v>
      </c>
      <c r="AG638" s="354">
        <f t="shared" ref="AG638:AG681" si="642">AF638*$AG$2</f>
        <v>2.1981272985542226</v>
      </c>
      <c r="AH638" s="354">
        <f t="shared" ref="AH638:AH681" si="643">AF638*$AH$2</f>
        <v>11.059662092489662</v>
      </c>
      <c r="AI638" s="354">
        <f t="shared" ref="AI638:AI681" si="644">AF638*$AI$2</f>
        <v>0</v>
      </c>
      <c r="AJ638" s="354">
        <f t="shared" ref="AJ638:AJ681" si="645">AF638*$AJ$2</f>
        <v>20.945417288626974</v>
      </c>
      <c r="AK638" s="374">
        <f t="shared" ref="AK638:AK681" si="646">M638*$AK$2</f>
        <v>22.590979984079397</v>
      </c>
      <c r="AL638" s="354">
        <f t="shared" ref="AL638:AL681" si="647">AK638*$AL$2</f>
        <v>6.472465724447634</v>
      </c>
      <c r="AM638" s="354">
        <f t="shared" ref="AM638:AM681" si="648">AK638*$AM$2</f>
        <v>15.265713980207922</v>
      </c>
      <c r="AN638" s="354">
        <f t="shared" ref="AN638:AN681" si="649">AK638*$AN$2</f>
        <v>0.85280027942384162</v>
      </c>
      <c r="AO638" s="374">
        <f t="shared" ref="AO638:AO681" si="650">M638*$AO$2</f>
        <v>13.099270877678707</v>
      </c>
      <c r="AP638" s="354">
        <f t="shared" ref="AP638:AP681" si="651">AO638*$AP$2</f>
        <v>3.0038005952217044</v>
      </c>
      <c r="AQ638" s="354">
        <f t="shared" ref="AQ638:AQ681" si="652">AO638*$AQ$2</f>
        <v>10.095470282457004</v>
      </c>
      <c r="AR638" s="374">
        <f t="shared" ref="AR638:AR681" si="653">M638*$AR$2</f>
        <v>23.89688407156217</v>
      </c>
      <c r="AS638" s="354">
        <f t="shared" ref="AS638:AS681" si="654">AR638*$AS$2</f>
        <v>10.3553311227449</v>
      </c>
      <c r="AT638" s="354">
        <f t="shared" ref="AT638:AT681" si="655">AR638*$AT$2</f>
        <v>13.541552948817269</v>
      </c>
      <c r="AU638" s="355" t="s">
        <v>396</v>
      </c>
      <c r="AV638" s="354" t="s">
        <v>404</v>
      </c>
      <c r="AW638" s="355" t="s">
        <v>405</v>
      </c>
      <c r="AX638" s="355">
        <v>103265</v>
      </c>
      <c r="AY638" s="350" t="s">
        <v>406</v>
      </c>
      <c r="AZ638" s="351">
        <v>45174</v>
      </c>
      <c r="BA638" s="351">
        <v>45174</v>
      </c>
      <c r="BB638" s="350" t="s">
        <v>407</v>
      </c>
    </row>
    <row r="639" spans="1:54" x14ac:dyDescent="0.25">
      <c r="A639" s="348" t="s">
        <v>1489</v>
      </c>
      <c r="B639" s="349">
        <v>5333</v>
      </c>
      <c r="C639" s="350" t="s">
        <v>1469</v>
      </c>
      <c r="D639" s="351">
        <v>45168</v>
      </c>
      <c r="E639" s="352">
        <v>3110</v>
      </c>
      <c r="F639" s="352">
        <v>1</v>
      </c>
      <c r="G639" s="351"/>
      <c r="H639" s="350" t="s">
        <v>437</v>
      </c>
      <c r="I639" s="350" t="s">
        <v>393</v>
      </c>
      <c r="J639" s="354">
        <v>5592445</v>
      </c>
      <c r="K639" s="350" t="s">
        <v>394</v>
      </c>
      <c r="L639" s="354">
        <v>2.9999900000000001E-4</v>
      </c>
      <c r="M639" s="354">
        <v>1981.46</v>
      </c>
      <c r="N639" s="350" t="s">
        <v>395</v>
      </c>
      <c r="O639" s="354">
        <v>1677.73</v>
      </c>
      <c r="P639" s="374">
        <f t="shared" si="625"/>
        <v>124.8480988738615</v>
      </c>
      <c r="Q639" s="354">
        <f t="shared" si="626"/>
        <v>11.775080308831996</v>
      </c>
      <c r="R639" s="354">
        <f t="shared" si="627"/>
        <v>19.849360645491153</v>
      </c>
      <c r="S639" s="354">
        <f t="shared" si="628"/>
        <v>17.6815446775189</v>
      </c>
      <c r="T639" s="354">
        <f t="shared" si="629"/>
        <v>75.453906548870506</v>
      </c>
      <c r="U639" s="374">
        <f t="shared" si="630"/>
        <v>501.06959204743742</v>
      </c>
      <c r="V639" s="354">
        <f t="shared" si="631"/>
        <v>13.263670942174247</v>
      </c>
      <c r="W639" s="354">
        <f t="shared" si="632"/>
        <v>452.45128697306006</v>
      </c>
      <c r="X639" s="354">
        <f t="shared" si="633"/>
        <v>35.354634132203117</v>
      </c>
      <c r="Y639" s="374">
        <f t="shared" si="634"/>
        <v>73.456035925439323</v>
      </c>
      <c r="Z639" s="354">
        <f t="shared" si="635"/>
        <v>37.893032638958999</v>
      </c>
      <c r="AA639" s="354">
        <f t="shared" si="636"/>
        <v>35.563003286480317</v>
      </c>
      <c r="AB639" s="374">
        <f t="shared" si="637"/>
        <v>401.31939972919815</v>
      </c>
      <c r="AC639" s="354">
        <f t="shared" si="638"/>
        <v>113.89146734641932</v>
      </c>
      <c r="AD639" s="354">
        <f t="shared" si="639"/>
        <v>247.9164254099548</v>
      </c>
      <c r="AE639" s="354">
        <f t="shared" si="640"/>
        <v>39.511506972824044</v>
      </c>
      <c r="AF639" s="374">
        <f t="shared" si="641"/>
        <v>321.1956678080598</v>
      </c>
      <c r="AG639" s="354">
        <f t="shared" si="642"/>
        <v>20.642186336460902</v>
      </c>
      <c r="AH639" s="354">
        <f t="shared" si="643"/>
        <v>103.85913767670411</v>
      </c>
      <c r="AI639" s="354">
        <f t="shared" si="644"/>
        <v>0</v>
      </c>
      <c r="AJ639" s="354">
        <f t="shared" si="645"/>
        <v>196.69434379489482</v>
      </c>
      <c r="AK639" s="374">
        <f t="shared" si="646"/>
        <v>212.14750331399981</v>
      </c>
      <c r="AL639" s="354">
        <f t="shared" si="647"/>
        <v>60.78166793537445</v>
      </c>
      <c r="AM639" s="354">
        <f t="shared" si="648"/>
        <v>143.35735366456296</v>
      </c>
      <c r="AN639" s="354">
        <f t="shared" si="649"/>
        <v>8.008481714062393</v>
      </c>
      <c r="AO639" s="374">
        <f t="shared" si="650"/>
        <v>123.0127074563282</v>
      </c>
      <c r="AP639" s="354">
        <f t="shared" si="651"/>
        <v>28.208107712834114</v>
      </c>
      <c r="AQ639" s="354">
        <f t="shared" si="652"/>
        <v>94.804599743494094</v>
      </c>
      <c r="AR639" s="374">
        <f t="shared" si="653"/>
        <v>224.4109948456757</v>
      </c>
      <c r="AS639" s="354">
        <f t="shared" si="654"/>
        <v>97.244902400351236</v>
      </c>
      <c r="AT639" s="354">
        <f t="shared" si="655"/>
        <v>127.16609244532448</v>
      </c>
      <c r="AU639" s="355" t="s">
        <v>396</v>
      </c>
      <c r="AV639" s="354" t="s">
        <v>404</v>
      </c>
      <c r="AW639" s="355" t="s">
        <v>405</v>
      </c>
      <c r="AX639" s="355">
        <v>117871</v>
      </c>
      <c r="AY639" s="350" t="s">
        <v>406</v>
      </c>
      <c r="AZ639" s="351">
        <v>45174</v>
      </c>
      <c r="BA639" s="351">
        <v>45174</v>
      </c>
      <c r="BB639" s="350" t="s">
        <v>407</v>
      </c>
    </row>
    <row r="640" spans="1:54" x14ac:dyDescent="0.25">
      <c r="A640" s="348" t="s">
        <v>1489</v>
      </c>
      <c r="B640" s="349">
        <v>5333</v>
      </c>
      <c r="C640" s="350" t="s">
        <v>1469</v>
      </c>
      <c r="D640" s="351">
        <v>45168</v>
      </c>
      <c r="E640" s="352">
        <v>3110</v>
      </c>
      <c r="F640" s="352">
        <v>1</v>
      </c>
      <c r="G640" s="351"/>
      <c r="H640" s="350" t="s">
        <v>437</v>
      </c>
      <c r="I640" s="350" t="s">
        <v>393</v>
      </c>
      <c r="J640" s="354">
        <v>3083644.8</v>
      </c>
      <c r="K640" s="350" t="s">
        <v>394</v>
      </c>
      <c r="L640" s="354">
        <v>2.9999900000000001E-4</v>
      </c>
      <c r="M640" s="354">
        <v>1092.57</v>
      </c>
      <c r="N640" s="350" t="s">
        <v>395</v>
      </c>
      <c r="O640" s="354">
        <v>925.09</v>
      </c>
      <c r="P640" s="374">
        <f t="shared" si="625"/>
        <v>68.840797889745375</v>
      </c>
      <c r="Q640" s="354">
        <f t="shared" si="626"/>
        <v>6.4927374224160843</v>
      </c>
      <c r="R640" s="354">
        <f t="shared" si="627"/>
        <v>10.944866896351311</v>
      </c>
      <c r="S640" s="354">
        <f t="shared" si="628"/>
        <v>9.7495408780983865</v>
      </c>
      <c r="T640" s="354">
        <f t="shared" si="629"/>
        <v>41.605015835848036</v>
      </c>
      <c r="U640" s="374">
        <f t="shared" si="630"/>
        <v>276.28799177539224</v>
      </c>
      <c r="V640" s="354">
        <f t="shared" si="631"/>
        <v>7.3135410057691388</v>
      </c>
      <c r="W640" s="354">
        <f t="shared" si="632"/>
        <v>249.48003119323945</v>
      </c>
      <c r="X640" s="354">
        <f t="shared" si="633"/>
        <v>19.494419576383656</v>
      </c>
      <c r="Y640" s="374">
        <f t="shared" si="634"/>
        <v>40.503397076427099</v>
      </c>
      <c r="Z640" s="354">
        <f t="shared" si="635"/>
        <v>20.89408348911784</v>
      </c>
      <c r="AA640" s="354">
        <f t="shared" si="636"/>
        <v>19.609313587309259</v>
      </c>
      <c r="AB640" s="374">
        <f t="shared" si="637"/>
        <v>221.2860903385029</v>
      </c>
      <c r="AC640" s="354">
        <f t="shared" si="638"/>
        <v>62.799350215839496</v>
      </c>
      <c r="AD640" s="354">
        <f t="shared" si="639"/>
        <v>136.70023563945489</v>
      </c>
      <c r="AE640" s="354">
        <f t="shared" si="640"/>
        <v>21.786504483208525</v>
      </c>
      <c r="AF640" s="374">
        <f t="shared" si="641"/>
        <v>177.10614939340277</v>
      </c>
      <c r="AG640" s="354">
        <f t="shared" si="642"/>
        <v>11.382028163892828</v>
      </c>
      <c r="AH640" s="354">
        <f t="shared" si="643"/>
        <v>57.267559300433312</v>
      </c>
      <c r="AI640" s="354">
        <f t="shared" si="644"/>
        <v>0</v>
      </c>
      <c r="AJ640" s="354">
        <f t="shared" si="645"/>
        <v>108.45656192907664</v>
      </c>
      <c r="AK640" s="374">
        <f t="shared" si="646"/>
        <v>116.97737915263329</v>
      </c>
      <c r="AL640" s="354">
        <f t="shared" si="647"/>
        <v>33.514795623505925</v>
      </c>
      <c r="AM640" s="354">
        <f t="shared" si="648"/>
        <v>79.046735181780889</v>
      </c>
      <c r="AN640" s="354">
        <f t="shared" si="649"/>
        <v>4.4158483473464765</v>
      </c>
      <c r="AO640" s="374">
        <f t="shared" si="650"/>
        <v>67.828769586850356</v>
      </c>
      <c r="AP640" s="354">
        <f t="shared" si="651"/>
        <v>15.553850314319323</v>
      </c>
      <c r="AQ640" s="354">
        <f t="shared" si="652"/>
        <v>52.274919272531037</v>
      </c>
      <c r="AR640" s="374">
        <f t="shared" si="653"/>
        <v>123.73942478704586</v>
      </c>
      <c r="AS640" s="354">
        <f t="shared" si="654"/>
        <v>53.620493482357325</v>
      </c>
      <c r="AT640" s="354">
        <f t="shared" si="655"/>
        <v>70.118931304688545</v>
      </c>
      <c r="AU640" s="355" t="s">
        <v>396</v>
      </c>
      <c r="AV640" s="354" t="s">
        <v>404</v>
      </c>
      <c r="AW640" s="355" t="s">
        <v>405</v>
      </c>
      <c r="AX640" s="355">
        <v>103321</v>
      </c>
      <c r="AY640" s="350" t="s">
        <v>406</v>
      </c>
      <c r="AZ640" s="351">
        <v>45174</v>
      </c>
      <c r="BA640" s="351">
        <v>45174</v>
      </c>
      <c r="BB640" s="350" t="s">
        <v>407</v>
      </c>
    </row>
    <row r="641" spans="1:54" x14ac:dyDescent="0.25">
      <c r="A641" s="348" t="s">
        <v>1489</v>
      </c>
      <c r="B641" s="349">
        <v>5333</v>
      </c>
      <c r="C641" s="350" t="s">
        <v>1469</v>
      </c>
      <c r="D641" s="351">
        <v>45168</v>
      </c>
      <c r="E641" s="352">
        <v>3110</v>
      </c>
      <c r="F641" s="352">
        <v>1</v>
      </c>
      <c r="G641" s="351"/>
      <c r="H641" s="350" t="s">
        <v>437</v>
      </c>
      <c r="I641" s="350" t="s">
        <v>393</v>
      </c>
      <c r="J641" s="354">
        <v>598983.44999999995</v>
      </c>
      <c r="K641" s="350" t="s">
        <v>394</v>
      </c>
      <c r="L641" s="354">
        <v>3.0000799999999999E-4</v>
      </c>
      <c r="M641" s="354">
        <v>212.23</v>
      </c>
      <c r="N641" s="350" t="s">
        <v>395</v>
      </c>
      <c r="O641" s="354">
        <v>179.7</v>
      </c>
      <c r="P641" s="374">
        <f t="shared" si="625"/>
        <v>13.372216458570763</v>
      </c>
      <c r="Q641" s="354">
        <f t="shared" si="626"/>
        <v>1.2612040081270448</v>
      </c>
      <c r="R641" s="354">
        <f t="shared" si="627"/>
        <v>2.1260231393985176</v>
      </c>
      <c r="S641" s="354">
        <f t="shared" si="628"/>
        <v>1.8938329448537121</v>
      </c>
      <c r="T641" s="354">
        <f t="shared" si="629"/>
        <v>8.0817087333919364</v>
      </c>
      <c r="U641" s="374">
        <f t="shared" si="630"/>
        <v>53.668506818319642</v>
      </c>
      <c r="V641" s="354">
        <f t="shared" si="631"/>
        <v>1.4206438101489005</v>
      </c>
      <c r="W641" s="354">
        <f t="shared" si="632"/>
        <v>48.461102739541822</v>
      </c>
      <c r="X641" s="354">
        <f t="shared" si="633"/>
        <v>3.7867602686289237</v>
      </c>
      <c r="Y641" s="374">
        <f t="shared" si="634"/>
        <v>7.8677210261403134</v>
      </c>
      <c r="Z641" s="354">
        <f t="shared" si="635"/>
        <v>4.0586427770261659</v>
      </c>
      <c r="AA641" s="354">
        <f t="shared" si="636"/>
        <v>3.8090782491141466</v>
      </c>
      <c r="AB641" s="374">
        <f t="shared" si="637"/>
        <v>42.984474177892928</v>
      </c>
      <c r="AC641" s="354">
        <f t="shared" si="638"/>
        <v>12.198674772607355</v>
      </c>
      <c r="AD641" s="354">
        <f t="shared" si="639"/>
        <v>26.553805257110767</v>
      </c>
      <c r="AE641" s="354">
        <f t="shared" si="640"/>
        <v>4.2319941481748033</v>
      </c>
      <c r="AF641" s="374">
        <f t="shared" si="641"/>
        <v>34.402590301547612</v>
      </c>
      <c r="AG641" s="354">
        <f t="shared" si="642"/>
        <v>2.2109410264083538</v>
      </c>
      <c r="AH641" s="354">
        <f t="shared" si="643"/>
        <v>11.124133108479057</v>
      </c>
      <c r="AI641" s="354">
        <f t="shared" si="644"/>
        <v>0</v>
      </c>
      <c r="AJ641" s="354">
        <f t="shared" si="645"/>
        <v>21.067516166660202</v>
      </c>
      <c r="AK641" s="374">
        <f t="shared" si="646"/>
        <v>22.722671478773318</v>
      </c>
      <c r="AL641" s="354">
        <f t="shared" si="647"/>
        <v>6.5101962118460728</v>
      </c>
      <c r="AM641" s="354">
        <f t="shared" si="648"/>
        <v>15.354703687296336</v>
      </c>
      <c r="AN641" s="354">
        <f t="shared" si="649"/>
        <v>0.85777157963090944</v>
      </c>
      <c r="AO641" s="374">
        <f t="shared" si="650"/>
        <v>13.175631556254748</v>
      </c>
      <c r="AP641" s="354">
        <f t="shared" si="651"/>
        <v>3.0213109020090152</v>
      </c>
      <c r="AQ641" s="354">
        <f t="shared" si="652"/>
        <v>10.154320654245733</v>
      </c>
      <c r="AR641" s="374">
        <f t="shared" si="653"/>
        <v>24.036188182500659</v>
      </c>
      <c r="AS641" s="354">
        <f t="shared" si="654"/>
        <v>10.415696323128675</v>
      </c>
      <c r="AT641" s="354">
        <f t="shared" si="655"/>
        <v>13.620491859371986</v>
      </c>
      <c r="AU641" s="355" t="s">
        <v>396</v>
      </c>
      <c r="AV641" s="354" t="s">
        <v>404</v>
      </c>
      <c r="AW641" s="355" t="s">
        <v>405</v>
      </c>
      <c r="AX641" s="355">
        <v>117427</v>
      </c>
      <c r="AY641" s="350" t="s">
        <v>406</v>
      </c>
      <c r="AZ641" s="351">
        <v>45174</v>
      </c>
      <c r="BA641" s="351">
        <v>45174</v>
      </c>
      <c r="BB641" s="350" t="s">
        <v>407</v>
      </c>
    </row>
    <row r="642" spans="1:54" x14ac:dyDescent="0.25">
      <c r="A642" s="348" t="s">
        <v>1489</v>
      </c>
      <c r="B642" s="349">
        <v>5333</v>
      </c>
      <c r="C642" s="350" t="s">
        <v>1469</v>
      </c>
      <c r="D642" s="351">
        <v>45168</v>
      </c>
      <c r="E642" s="352">
        <v>3110</v>
      </c>
      <c r="F642" s="352">
        <v>1</v>
      </c>
      <c r="G642" s="351"/>
      <c r="H642" s="350" t="s">
        <v>437</v>
      </c>
      <c r="I642" s="350" t="s">
        <v>393</v>
      </c>
      <c r="J642" s="354">
        <v>3194579.2</v>
      </c>
      <c r="K642" s="350" t="s">
        <v>394</v>
      </c>
      <c r="L642" s="354">
        <v>2.9999900000000001E-4</v>
      </c>
      <c r="M642" s="354">
        <v>1131.8699999999999</v>
      </c>
      <c r="N642" s="350" t="s">
        <v>395</v>
      </c>
      <c r="O642" s="354">
        <v>958.37</v>
      </c>
      <c r="P642" s="374">
        <f t="shared" si="625"/>
        <v>71.317017589230971</v>
      </c>
      <c r="Q642" s="354">
        <f t="shared" si="626"/>
        <v>6.7262827153501297</v>
      </c>
      <c r="R642" s="354">
        <f t="shared" si="627"/>
        <v>11.338556334123357</v>
      </c>
      <c r="S642" s="354">
        <f t="shared" si="628"/>
        <v>10.100234157713665</v>
      </c>
      <c r="T642" s="354">
        <f t="shared" si="629"/>
        <v>43.101558045819772</v>
      </c>
      <c r="U642" s="374">
        <f t="shared" si="630"/>
        <v>286.22613585473994</v>
      </c>
      <c r="V642" s="354">
        <f t="shared" si="631"/>
        <v>7.5766107967452108</v>
      </c>
      <c r="W642" s="354">
        <f t="shared" si="632"/>
        <v>258.45388662208552</v>
      </c>
      <c r="X642" s="354">
        <f t="shared" si="633"/>
        <v>20.195638435909249</v>
      </c>
      <c r="Y642" s="374">
        <f t="shared" si="634"/>
        <v>41.960313800393145</v>
      </c>
      <c r="Z642" s="354">
        <f t="shared" si="635"/>
        <v>21.645648588948816</v>
      </c>
      <c r="AA642" s="354">
        <f t="shared" si="636"/>
        <v>20.314665211444328</v>
      </c>
      <c r="AB642" s="374">
        <f t="shared" si="637"/>
        <v>229.24580308029809</v>
      </c>
      <c r="AC642" s="354">
        <f t="shared" si="638"/>
        <v>65.058257620841005</v>
      </c>
      <c r="AD642" s="354">
        <f t="shared" si="639"/>
        <v>141.61737528325855</v>
      </c>
      <c r="AE642" s="354">
        <f t="shared" si="640"/>
        <v>22.570170176198534</v>
      </c>
      <c r="AF642" s="374">
        <f t="shared" si="641"/>
        <v>183.47669926312346</v>
      </c>
      <c r="AG642" s="354">
        <f t="shared" si="642"/>
        <v>11.791442395329705</v>
      </c>
      <c r="AH642" s="354">
        <f t="shared" si="643"/>
        <v>59.327486884484706</v>
      </c>
      <c r="AI642" s="354">
        <f t="shared" si="644"/>
        <v>0</v>
      </c>
      <c r="AJ642" s="354">
        <f t="shared" si="645"/>
        <v>112.35776998330907</v>
      </c>
      <c r="AK642" s="374">
        <f t="shared" si="646"/>
        <v>121.18508300748788</v>
      </c>
      <c r="AL642" s="354">
        <f t="shared" si="647"/>
        <v>34.720330708675554</v>
      </c>
      <c r="AM642" s="354">
        <f t="shared" si="648"/>
        <v>81.890064847288798</v>
      </c>
      <c r="AN642" s="354">
        <f t="shared" si="649"/>
        <v>4.5746874515235234</v>
      </c>
      <c r="AO642" s="374">
        <f t="shared" si="650"/>
        <v>70.268586390133635</v>
      </c>
      <c r="AP642" s="354">
        <f t="shared" si="651"/>
        <v>16.113325970206589</v>
      </c>
      <c r="AQ642" s="354">
        <f t="shared" si="652"/>
        <v>54.155260419927046</v>
      </c>
      <c r="AR642" s="374">
        <f t="shared" si="653"/>
        <v>128.19036101459275</v>
      </c>
      <c r="AS642" s="354">
        <f t="shared" si="654"/>
        <v>55.549235250716919</v>
      </c>
      <c r="AT642" s="354">
        <f t="shared" si="655"/>
        <v>72.641125763875834</v>
      </c>
      <c r="AU642" s="355" t="s">
        <v>396</v>
      </c>
      <c r="AV642" s="354" t="s">
        <v>404</v>
      </c>
      <c r="AW642" s="355" t="s">
        <v>405</v>
      </c>
      <c r="AX642" s="355">
        <v>117872</v>
      </c>
      <c r="AY642" s="350" t="s">
        <v>406</v>
      </c>
      <c r="AZ642" s="351">
        <v>45174</v>
      </c>
      <c r="BA642" s="351">
        <v>45174</v>
      </c>
      <c r="BB642" s="350" t="s">
        <v>407</v>
      </c>
    </row>
    <row r="643" spans="1:54" x14ac:dyDescent="0.25">
      <c r="A643" s="348" t="s">
        <v>1489</v>
      </c>
      <c r="B643" s="349">
        <v>5333</v>
      </c>
      <c r="C643" s="350" t="s">
        <v>1469</v>
      </c>
      <c r="D643" s="351">
        <v>45168</v>
      </c>
      <c r="E643" s="352">
        <v>3110</v>
      </c>
      <c r="F643" s="352">
        <v>1</v>
      </c>
      <c r="G643" s="351"/>
      <c r="H643" s="350" t="s">
        <v>437</v>
      </c>
      <c r="I643" s="350" t="s">
        <v>393</v>
      </c>
      <c r="J643" s="354">
        <v>802216.5</v>
      </c>
      <c r="K643" s="350" t="s">
        <v>394</v>
      </c>
      <c r="L643" s="354">
        <v>2.9999399999999999E-4</v>
      </c>
      <c r="M643" s="354">
        <v>284.23</v>
      </c>
      <c r="N643" s="350" t="s">
        <v>395</v>
      </c>
      <c r="O643" s="354">
        <v>240.66</v>
      </c>
      <c r="P643" s="374">
        <f t="shared" si="625"/>
        <v>17.908802167552036</v>
      </c>
      <c r="Q643" s="354">
        <f t="shared" si="626"/>
        <v>1.689073247090185</v>
      </c>
      <c r="R643" s="354">
        <f t="shared" si="627"/>
        <v>2.8472862314999801</v>
      </c>
      <c r="S643" s="354">
        <f t="shared" si="628"/>
        <v>2.5363244494923936</v>
      </c>
      <c r="T643" s="354">
        <f t="shared" si="629"/>
        <v>10.823465453950856</v>
      </c>
      <c r="U643" s="374">
        <f t="shared" si="630"/>
        <v>71.875793681246734</v>
      </c>
      <c r="V643" s="354">
        <f t="shared" si="631"/>
        <v>1.9026037325478116</v>
      </c>
      <c r="W643" s="354">
        <f t="shared" si="632"/>
        <v>64.901753906893347</v>
      </c>
      <c r="X643" s="354">
        <f t="shared" si="633"/>
        <v>5.0714360418055842</v>
      </c>
      <c r="Y643" s="374">
        <f t="shared" si="634"/>
        <v>10.536881436459792</v>
      </c>
      <c r="Z643" s="354">
        <f t="shared" si="635"/>
        <v>5.4355559370218511</v>
      </c>
      <c r="AA643" s="354">
        <f t="shared" si="636"/>
        <v>5.1013254994379409</v>
      </c>
      <c r="AB643" s="374">
        <f t="shared" si="637"/>
        <v>57.567154010189455</v>
      </c>
      <c r="AC643" s="354">
        <f t="shared" si="638"/>
        <v>16.337131087113928</v>
      </c>
      <c r="AD643" s="354">
        <f t="shared" si="639"/>
        <v>35.562305367896123</v>
      </c>
      <c r="AE643" s="354">
        <f t="shared" si="640"/>
        <v>5.6677175551794026</v>
      </c>
      <c r="AF643" s="374">
        <f t="shared" si="641"/>
        <v>46.073826704089328</v>
      </c>
      <c r="AG643" s="354">
        <f t="shared" si="642"/>
        <v>2.9610129007965247</v>
      </c>
      <c r="AH643" s="354">
        <f t="shared" si="643"/>
        <v>14.898046239565577</v>
      </c>
      <c r="AI643" s="354">
        <f t="shared" si="644"/>
        <v>0</v>
      </c>
      <c r="AJ643" s="354">
        <f t="shared" si="645"/>
        <v>28.214767563727229</v>
      </c>
      <c r="AK643" s="374">
        <f t="shared" si="646"/>
        <v>30.43144189988098</v>
      </c>
      <c r="AL643" s="354">
        <f t="shared" si="647"/>
        <v>8.7188101083400529</v>
      </c>
      <c r="AM643" s="354">
        <f t="shared" si="648"/>
        <v>20.563857272959705</v>
      </c>
      <c r="AN643" s="354">
        <f t="shared" si="649"/>
        <v>1.148774518581225</v>
      </c>
      <c r="AO643" s="374">
        <f t="shared" si="650"/>
        <v>17.645524936315731</v>
      </c>
      <c r="AP643" s="354">
        <f t="shared" si="651"/>
        <v>4.0463044700467536</v>
      </c>
      <c r="AQ643" s="354">
        <f t="shared" si="652"/>
        <v>13.599220466268978</v>
      </c>
      <c r="AR643" s="374">
        <f t="shared" si="653"/>
        <v>32.190575164265951</v>
      </c>
      <c r="AS643" s="354">
        <f t="shared" si="654"/>
        <v>13.9492690285203</v>
      </c>
      <c r="AT643" s="354">
        <f t="shared" si="655"/>
        <v>18.241306135745653</v>
      </c>
      <c r="AU643" s="355" t="s">
        <v>396</v>
      </c>
      <c r="AV643" s="354" t="s">
        <v>404</v>
      </c>
      <c r="AW643" s="355" t="s">
        <v>405</v>
      </c>
      <c r="AX643" s="355">
        <v>103328</v>
      </c>
      <c r="AY643" s="350" t="s">
        <v>406</v>
      </c>
      <c r="AZ643" s="351">
        <v>45174</v>
      </c>
      <c r="BA643" s="351">
        <v>45174</v>
      </c>
      <c r="BB643" s="350" t="s">
        <v>407</v>
      </c>
    </row>
    <row r="644" spans="1:54" x14ac:dyDescent="0.25">
      <c r="A644" s="348" t="s">
        <v>1489</v>
      </c>
      <c r="B644" s="349">
        <v>5333</v>
      </c>
      <c r="C644" s="350" t="s">
        <v>1469</v>
      </c>
      <c r="D644" s="351">
        <v>45168</v>
      </c>
      <c r="E644" s="352">
        <v>3110</v>
      </c>
      <c r="F644" s="352">
        <v>1</v>
      </c>
      <c r="G644" s="351"/>
      <c r="H644" s="350" t="s">
        <v>437</v>
      </c>
      <c r="I644" s="350" t="s">
        <v>393</v>
      </c>
      <c r="J644" s="354">
        <v>684495.7</v>
      </c>
      <c r="K644" s="350" t="s">
        <v>394</v>
      </c>
      <c r="L644" s="354">
        <v>3.0000200000000001E-4</v>
      </c>
      <c r="M644" s="354">
        <v>242.52</v>
      </c>
      <c r="N644" s="350" t="s">
        <v>395</v>
      </c>
      <c r="O644" s="354">
        <v>205.35</v>
      </c>
      <c r="P644" s="374">
        <f t="shared" si="625"/>
        <v>15.280732863085246</v>
      </c>
      <c r="Q644" s="354">
        <f t="shared" si="626"/>
        <v>1.4412062199075104</v>
      </c>
      <c r="R644" s="354">
        <f t="shared" si="627"/>
        <v>2.4294545152284246</v>
      </c>
      <c r="S644" s="354">
        <f t="shared" si="628"/>
        <v>2.1641255514579574</v>
      </c>
      <c r="T644" s="354">
        <f t="shared" si="629"/>
        <v>9.2351505537492926</v>
      </c>
      <c r="U644" s="374">
        <f t="shared" si="630"/>
        <v>61.328211249959388</v>
      </c>
      <c r="V644" s="354">
        <f t="shared" si="631"/>
        <v>1.6234016719469979</v>
      </c>
      <c r="W644" s="354">
        <f t="shared" si="632"/>
        <v>55.377593348695676</v>
      </c>
      <c r="X644" s="354">
        <f t="shared" si="633"/>
        <v>4.3272162293167158</v>
      </c>
      <c r="Y644" s="374">
        <f t="shared" si="634"/>
        <v>8.9906219820927724</v>
      </c>
      <c r="Z644" s="354">
        <f t="shared" si="635"/>
        <v>4.6379024939187952</v>
      </c>
      <c r="AA644" s="354">
        <f t="shared" si="636"/>
        <v>4.3527194881739764</v>
      </c>
      <c r="AB644" s="374">
        <f t="shared" si="637"/>
        <v>49.119326568452117</v>
      </c>
      <c r="AC644" s="354">
        <f t="shared" si="638"/>
        <v>13.939700352696301</v>
      </c>
      <c r="AD644" s="354">
        <f t="shared" si="639"/>
        <v>30.343631206495328</v>
      </c>
      <c r="AE644" s="354">
        <f t="shared" si="640"/>
        <v>4.835995009260488</v>
      </c>
      <c r="AF644" s="374">
        <f t="shared" si="641"/>
        <v>39.312614615894674</v>
      </c>
      <c r="AG644" s="354">
        <f t="shared" si="642"/>
        <v>2.5264920968974884</v>
      </c>
      <c r="AH644" s="354">
        <f t="shared" si="643"/>
        <v>12.711797396543094</v>
      </c>
      <c r="AI644" s="354">
        <f t="shared" si="644"/>
        <v>0</v>
      </c>
      <c r="AJ644" s="354">
        <f t="shared" si="645"/>
        <v>24.074325122454095</v>
      </c>
      <c r="AK644" s="374">
        <f t="shared" si="646"/>
        <v>25.96570836843097</v>
      </c>
      <c r="AL644" s="354">
        <f t="shared" si="647"/>
        <v>7.4393478080238866</v>
      </c>
      <c r="AM644" s="354">
        <f t="shared" si="648"/>
        <v>17.546165661042771</v>
      </c>
      <c r="AN644" s="354">
        <f t="shared" si="649"/>
        <v>0.98019489936431303</v>
      </c>
      <c r="AO644" s="374">
        <f t="shared" si="650"/>
        <v>15.056090868505404</v>
      </c>
      <c r="AP644" s="354">
        <f t="shared" si="651"/>
        <v>3.4525200016737809</v>
      </c>
      <c r="AQ644" s="354">
        <f t="shared" si="652"/>
        <v>11.603570866831623</v>
      </c>
      <c r="AR644" s="374">
        <f t="shared" si="653"/>
        <v>27.466693483579419</v>
      </c>
      <c r="AS644" s="354">
        <f t="shared" si="654"/>
        <v>11.902250729327458</v>
      </c>
      <c r="AT644" s="354">
        <f t="shared" si="655"/>
        <v>15.564442754251964</v>
      </c>
      <c r="AU644" s="355" t="s">
        <v>396</v>
      </c>
      <c r="AV644" s="354" t="s">
        <v>404</v>
      </c>
      <c r="AW644" s="355" t="s">
        <v>405</v>
      </c>
      <c r="AX644" s="355">
        <v>117293</v>
      </c>
      <c r="AY644" s="350" t="s">
        <v>406</v>
      </c>
      <c r="AZ644" s="351">
        <v>45174</v>
      </c>
      <c r="BA644" s="351">
        <v>45174</v>
      </c>
      <c r="BB644" s="350" t="s">
        <v>407</v>
      </c>
    </row>
    <row r="645" spans="1:54" x14ac:dyDescent="0.25">
      <c r="A645" s="348" t="s">
        <v>621</v>
      </c>
      <c r="B645" s="349">
        <v>5544</v>
      </c>
      <c r="C645" s="350" t="s">
        <v>1501</v>
      </c>
      <c r="D645" s="351">
        <v>45199</v>
      </c>
      <c r="E645" s="352">
        <v>3600</v>
      </c>
      <c r="F645" s="352">
        <v>7</v>
      </c>
      <c r="G645" s="351"/>
      <c r="H645" s="350" t="s">
        <v>1502</v>
      </c>
      <c r="I645" s="350" t="s">
        <v>393</v>
      </c>
      <c r="J645" s="354">
        <v>38.21</v>
      </c>
      <c r="K645" s="350" t="s">
        <v>395</v>
      </c>
      <c r="L645" s="354">
        <v>0.78926598299999995</v>
      </c>
      <c r="M645" s="354">
        <v>38.21</v>
      </c>
      <c r="N645" s="350" t="s">
        <v>395</v>
      </c>
      <c r="O645" s="354">
        <v>30.16</v>
      </c>
      <c r="P645" s="374">
        <f t="shared" si="625"/>
        <v>2.4075408325024217</v>
      </c>
      <c r="Q645" s="354">
        <f t="shared" si="626"/>
        <v>0.2270678280664109</v>
      </c>
      <c r="R645" s="354">
        <f t="shared" si="627"/>
        <v>0.38277031596106759</v>
      </c>
      <c r="S645" s="354">
        <f t="shared" si="628"/>
        <v>0.34096667211450005</v>
      </c>
      <c r="T645" s="354">
        <f t="shared" si="629"/>
        <v>1.4550350596188377</v>
      </c>
      <c r="U645" s="374">
        <f t="shared" si="630"/>
        <v>9.6625059865617189</v>
      </c>
      <c r="V645" s="354">
        <f t="shared" si="631"/>
        <v>0.25577345326197753</v>
      </c>
      <c r="W645" s="354">
        <f t="shared" si="632"/>
        <v>8.7249622375625169</v>
      </c>
      <c r="X645" s="354">
        <f t="shared" si="633"/>
        <v>0.68177029573722459</v>
      </c>
      <c r="Y645" s="374">
        <f t="shared" si="634"/>
        <v>1.4165086010876002</v>
      </c>
      <c r="Z645" s="354">
        <f t="shared" si="635"/>
        <v>0.73072016449215393</v>
      </c>
      <c r="AA645" s="354">
        <f t="shared" si="636"/>
        <v>0.6857884365954463</v>
      </c>
      <c r="AB645" s="374">
        <f t="shared" si="637"/>
        <v>7.738947172111807</v>
      </c>
      <c r="AC645" s="354">
        <f t="shared" si="638"/>
        <v>2.1962557746846678</v>
      </c>
      <c r="AD645" s="354">
        <f t="shared" si="639"/>
        <v>4.780760961570949</v>
      </c>
      <c r="AE645" s="354">
        <f t="shared" si="640"/>
        <v>0.76193043585619025</v>
      </c>
      <c r="AF645" s="374">
        <f t="shared" si="641"/>
        <v>6.1938603186266521</v>
      </c>
      <c r="AG645" s="354">
        <f t="shared" si="642"/>
        <v>0.39805897667183343</v>
      </c>
      <c r="AH645" s="354">
        <f t="shared" si="643"/>
        <v>2.0027947324835549</v>
      </c>
      <c r="AI645" s="354">
        <f t="shared" si="644"/>
        <v>0</v>
      </c>
      <c r="AJ645" s="354">
        <f t="shared" si="645"/>
        <v>3.7930066094712642</v>
      </c>
      <c r="AK645" s="374">
        <f t="shared" si="646"/>
        <v>4.0910016359794961</v>
      </c>
      <c r="AL645" s="354">
        <f t="shared" si="647"/>
        <v>1.1720991247921519</v>
      </c>
      <c r="AM645" s="354">
        <f t="shared" si="648"/>
        <v>2.7644688681694056</v>
      </c>
      <c r="AN645" s="354">
        <f t="shared" si="649"/>
        <v>0.15443364301793833</v>
      </c>
      <c r="AO645" s="374">
        <f t="shared" si="650"/>
        <v>2.372147584057362</v>
      </c>
      <c r="AP645" s="354">
        <f t="shared" si="651"/>
        <v>0.54395839214891617</v>
      </c>
      <c r="AQ645" s="354">
        <f t="shared" si="652"/>
        <v>1.8281891919084459</v>
      </c>
      <c r="AR645" s="374">
        <f t="shared" si="653"/>
        <v>4.3274878690729404</v>
      </c>
      <c r="AS645" s="354">
        <f t="shared" si="654"/>
        <v>1.8752474037918607</v>
      </c>
      <c r="AT645" s="354">
        <f t="shared" si="655"/>
        <v>2.4522404652810796</v>
      </c>
      <c r="AU645" s="355" t="s">
        <v>396</v>
      </c>
      <c r="AV645" s="354" t="s">
        <v>404</v>
      </c>
      <c r="AW645" s="355" t="s">
        <v>405</v>
      </c>
      <c r="AX645" s="355">
        <v>0</v>
      </c>
      <c r="AY645" s="350" t="s">
        <v>410</v>
      </c>
      <c r="AZ645" s="351">
        <v>45202</v>
      </c>
      <c r="BA645" s="351">
        <v>45203</v>
      </c>
      <c r="BB645" s="350" t="s">
        <v>407</v>
      </c>
    </row>
    <row r="646" spans="1:54" x14ac:dyDescent="0.25">
      <c r="A646" s="348" t="s">
        <v>1503</v>
      </c>
      <c r="B646" s="349">
        <v>5522</v>
      </c>
      <c r="C646" s="350" t="s">
        <v>1501</v>
      </c>
      <c r="D646" s="351">
        <v>45170</v>
      </c>
      <c r="E646" s="352">
        <v>3410</v>
      </c>
      <c r="F646" s="352">
        <v>7</v>
      </c>
      <c r="G646" s="351"/>
      <c r="H646" s="350" t="s">
        <v>1504</v>
      </c>
      <c r="I646" s="350" t="s">
        <v>393</v>
      </c>
      <c r="J646" s="354">
        <v>200000</v>
      </c>
      <c r="K646" s="350" t="s">
        <v>394</v>
      </c>
      <c r="L646" s="354">
        <v>2.7904399999999999E-4</v>
      </c>
      <c r="M646" s="354">
        <v>70.709999999999994</v>
      </c>
      <c r="N646" s="350" t="s">
        <v>395</v>
      </c>
      <c r="O646" s="354">
        <v>55.81</v>
      </c>
      <c r="P646" s="374">
        <f t="shared" si="625"/>
        <v>4.4553052150286891</v>
      </c>
      <c r="Q646" s="354">
        <f t="shared" si="626"/>
        <v>0.42020324843171719</v>
      </c>
      <c r="R646" s="354">
        <f t="shared" si="627"/>
        <v>0.70834046170131082</v>
      </c>
      <c r="S646" s="354">
        <f t="shared" si="628"/>
        <v>0.63098019851390463</v>
      </c>
      <c r="T646" s="354">
        <f t="shared" si="629"/>
        <v>2.6926335793155718</v>
      </c>
      <c r="U646" s="374">
        <f t="shared" si="630"/>
        <v>17.881072973299638</v>
      </c>
      <c r="V646" s="354">
        <f t="shared" si="631"/>
        <v>0.473324807122597</v>
      </c>
      <c r="W646" s="354">
        <f t="shared" si="632"/>
        <v>16.146089500603132</v>
      </c>
      <c r="X646" s="354">
        <f t="shared" si="633"/>
        <v>1.2616586655739113</v>
      </c>
      <c r="Y646" s="374">
        <f t="shared" si="634"/>
        <v>2.6213379529679197</v>
      </c>
      <c r="Z646" s="354">
        <f t="shared" si="635"/>
        <v>1.3522434658790945</v>
      </c>
      <c r="AA646" s="354">
        <f t="shared" si="636"/>
        <v>1.269094487088825</v>
      </c>
      <c r="AB646" s="374">
        <f t="shared" si="637"/>
        <v>14.321406818634541</v>
      </c>
      <c r="AC646" s="354">
        <f t="shared" si="638"/>
        <v>4.0643089722049943</v>
      </c>
      <c r="AD646" s="354">
        <f t="shared" si="639"/>
        <v>8.8470978171337809</v>
      </c>
      <c r="AE646" s="354">
        <f t="shared" si="640"/>
        <v>1.4100000292957657</v>
      </c>
      <c r="AF646" s="374">
        <f t="shared" si="641"/>
        <v>11.462126750329508</v>
      </c>
      <c r="AG646" s="354">
        <f t="shared" si="642"/>
        <v>0.73663308663871607</v>
      </c>
      <c r="AH646" s="354">
        <f t="shared" si="643"/>
        <v>3.7062971874878863</v>
      </c>
      <c r="AI646" s="354">
        <f t="shared" si="644"/>
        <v>0</v>
      </c>
      <c r="AJ646" s="354">
        <f t="shared" si="645"/>
        <v>7.0191964762029064</v>
      </c>
      <c r="AK646" s="374">
        <f t="shared" si="646"/>
        <v>7.5706549510628145</v>
      </c>
      <c r="AL646" s="354">
        <f t="shared" si="647"/>
        <v>2.1690428975151286</v>
      </c>
      <c r="AM646" s="354">
        <f t="shared" si="648"/>
        <v>5.1158229172535634</v>
      </c>
      <c r="AN646" s="354">
        <f t="shared" si="649"/>
        <v>0.28578913629412239</v>
      </c>
      <c r="AO646" s="374">
        <f t="shared" si="650"/>
        <v>4.3898077903348875</v>
      </c>
      <c r="AP646" s="354">
        <f t="shared" si="651"/>
        <v>1.0066290999437284</v>
      </c>
      <c r="AQ646" s="354">
        <f t="shared" si="652"/>
        <v>3.3831786903911594</v>
      </c>
      <c r="AR646" s="374">
        <f t="shared" si="653"/>
        <v>8.0082875483419933</v>
      </c>
      <c r="AS646" s="354">
        <f t="shared" si="654"/>
        <v>3.4702628610866908</v>
      </c>
      <c r="AT646" s="354">
        <f t="shared" si="655"/>
        <v>4.5380246872553025</v>
      </c>
      <c r="AU646" s="355" t="s">
        <v>396</v>
      </c>
      <c r="AV646" s="354" t="s">
        <v>404</v>
      </c>
      <c r="AW646" s="355" t="s">
        <v>405</v>
      </c>
      <c r="AX646" s="355">
        <v>0</v>
      </c>
      <c r="AY646" s="350" t="s">
        <v>410</v>
      </c>
      <c r="AZ646" s="351">
        <v>45202</v>
      </c>
      <c r="BA646" s="351">
        <v>45203</v>
      </c>
      <c r="BB646" s="350" t="s">
        <v>407</v>
      </c>
    </row>
    <row r="647" spans="1:54" x14ac:dyDescent="0.25">
      <c r="A647" s="348" t="s">
        <v>1505</v>
      </c>
      <c r="B647" s="349">
        <v>5554</v>
      </c>
      <c r="C647" s="350" t="s">
        <v>1501</v>
      </c>
      <c r="D647" s="351">
        <v>45176</v>
      </c>
      <c r="E647" s="352">
        <v>3490</v>
      </c>
      <c r="F647" s="352">
        <v>7</v>
      </c>
      <c r="G647" s="351"/>
      <c r="H647" s="350" t="s">
        <v>1506</v>
      </c>
      <c r="I647" s="350" t="s">
        <v>393</v>
      </c>
      <c r="J647" s="354">
        <v>298000</v>
      </c>
      <c r="K647" s="350" t="s">
        <v>394</v>
      </c>
      <c r="L647" s="354">
        <v>2.7904399999999999E-4</v>
      </c>
      <c r="M647" s="354">
        <v>105.36</v>
      </c>
      <c r="N647" s="350" t="s">
        <v>395</v>
      </c>
      <c r="O647" s="354">
        <v>83.16</v>
      </c>
      <c r="P647" s="374">
        <f t="shared" si="625"/>
        <v>6.6385370874759255</v>
      </c>
      <c r="Q647" s="354">
        <f t="shared" si="626"/>
        <v>0.62611531968272838</v>
      </c>
      <c r="R647" s="354">
        <f t="shared" si="627"/>
        <v>1.0554483247751394</v>
      </c>
      <c r="S647" s="354">
        <f t="shared" si="628"/>
        <v>0.94017923512126989</v>
      </c>
      <c r="T647" s="354">
        <f t="shared" si="629"/>
        <v>4.0121040010845519</v>
      </c>
      <c r="U647" s="374">
        <f t="shared" si="630"/>
        <v>26.643329776083295</v>
      </c>
      <c r="V647" s="354">
        <f t="shared" si="631"/>
        <v>0.70526801977707276</v>
      </c>
      <c r="W647" s="354">
        <f t="shared" si="632"/>
        <v>24.058152874891046</v>
      </c>
      <c r="X647" s="354">
        <f t="shared" si="633"/>
        <v>1.8799088814151788</v>
      </c>
      <c r="Y647" s="374">
        <f t="shared" si="634"/>
        <v>3.9058714004341679</v>
      </c>
      <c r="Z647" s="354">
        <f t="shared" si="635"/>
        <v>2.0148829241270172</v>
      </c>
      <c r="AA647" s="354">
        <f t="shared" si="636"/>
        <v>1.8909884763071503</v>
      </c>
      <c r="AB647" s="374">
        <f t="shared" si="637"/>
        <v>21.339321487927243</v>
      </c>
      <c r="AC647" s="354">
        <f t="shared" si="638"/>
        <v>6.0559410735612822</v>
      </c>
      <c r="AD647" s="354">
        <f t="shared" si="639"/>
        <v>13.182438495449233</v>
      </c>
      <c r="AE647" s="354">
        <f t="shared" si="640"/>
        <v>2.1009419189167287</v>
      </c>
      <c r="AF647" s="374">
        <f t="shared" si="641"/>
        <v>17.078909269052708</v>
      </c>
      <c r="AG647" s="354">
        <f t="shared" si="642"/>
        <v>1.0976051761880232</v>
      </c>
      <c r="AH647" s="354">
        <f t="shared" si="643"/>
        <v>5.5224928818232737</v>
      </c>
      <c r="AI647" s="354">
        <f t="shared" si="644"/>
        <v>0</v>
      </c>
      <c r="AJ647" s="354">
        <f t="shared" si="645"/>
        <v>10.458811211041413</v>
      </c>
      <c r="AK647" s="374">
        <f t="shared" si="646"/>
        <v>11.280500716220876</v>
      </c>
      <c r="AL647" s="354">
        <f t="shared" si="647"/>
        <v>3.2319383352028561</v>
      </c>
      <c r="AM647" s="354">
        <f t="shared" si="648"/>
        <v>7.6227280803540589</v>
      </c>
      <c r="AN647" s="354">
        <f t="shared" si="649"/>
        <v>0.42583430066396177</v>
      </c>
      <c r="AO647" s="374">
        <f t="shared" si="650"/>
        <v>6.540943979489235</v>
      </c>
      <c r="AP647" s="354">
        <f t="shared" si="651"/>
        <v>1.4999072545618899</v>
      </c>
      <c r="AQ647" s="354">
        <f t="shared" si="652"/>
        <v>5.0410367249273458</v>
      </c>
      <c r="AR647" s="374">
        <f t="shared" si="653"/>
        <v>11.932586283316541</v>
      </c>
      <c r="AS647" s="354">
        <f t="shared" si="654"/>
        <v>5.1707947255564113</v>
      </c>
      <c r="AT647" s="354">
        <f t="shared" si="655"/>
        <v>6.7617915577601302</v>
      </c>
      <c r="AU647" s="355" t="s">
        <v>396</v>
      </c>
      <c r="AV647" s="354" t="s">
        <v>404</v>
      </c>
      <c r="AW647" s="355" t="s">
        <v>405</v>
      </c>
      <c r="AX647" s="355">
        <v>0</v>
      </c>
      <c r="AY647" s="350" t="s">
        <v>410</v>
      </c>
      <c r="AZ647" s="351">
        <v>45205</v>
      </c>
      <c r="BA647" s="351">
        <v>45205</v>
      </c>
      <c r="BB647" s="350" t="s">
        <v>407</v>
      </c>
    </row>
    <row r="648" spans="1:54" x14ac:dyDescent="0.25">
      <c r="A648" s="348" t="s">
        <v>1507</v>
      </c>
      <c r="B648" s="349">
        <v>5558</v>
      </c>
      <c r="C648" s="350" t="s">
        <v>1501</v>
      </c>
      <c r="D648" s="351">
        <v>45181</v>
      </c>
      <c r="E648" s="352">
        <v>3490</v>
      </c>
      <c r="F648" s="352">
        <v>7</v>
      </c>
      <c r="G648" s="351"/>
      <c r="H648" s="350" t="s">
        <v>1508</v>
      </c>
      <c r="I648" s="350" t="s">
        <v>393</v>
      </c>
      <c r="J648" s="354">
        <v>10000</v>
      </c>
      <c r="K648" s="350" t="s">
        <v>394</v>
      </c>
      <c r="L648" s="354">
        <v>2.7904399999999999E-4</v>
      </c>
      <c r="M648" s="354">
        <v>3.54</v>
      </c>
      <c r="N648" s="350" t="s">
        <v>395</v>
      </c>
      <c r="O648" s="354">
        <v>2.79</v>
      </c>
      <c r="P648" s="374">
        <f t="shared" si="625"/>
        <v>0.22304879735824581</v>
      </c>
      <c r="Q648" s="354">
        <f t="shared" si="626"/>
        <v>2.1036904249021059E-2</v>
      </c>
      <c r="R648" s="354">
        <f t="shared" si="627"/>
        <v>3.5462102028321889E-2</v>
      </c>
      <c r="S648" s="354">
        <f t="shared" si="628"/>
        <v>3.1589165644735157E-2</v>
      </c>
      <c r="T648" s="354">
        <f t="shared" si="629"/>
        <v>0.13480303876081354</v>
      </c>
      <c r="U648" s="374">
        <f t="shared" si="630"/>
        <v>0.89519160409391485</v>
      </c>
      <c r="V648" s="354">
        <f t="shared" si="631"/>
        <v>2.3696362851279781E-2</v>
      </c>
      <c r="W648" s="354">
        <f t="shared" si="632"/>
        <v>0.80833201572811597</v>
      </c>
      <c r="X648" s="354">
        <f t="shared" si="633"/>
        <v>6.3163225514519111E-2</v>
      </c>
      <c r="Y648" s="374">
        <f t="shared" si="634"/>
        <v>0.13123372017404095</v>
      </c>
      <c r="Z648" s="354">
        <f t="shared" si="635"/>
        <v>6.7698230366454448E-2</v>
      </c>
      <c r="AA648" s="354">
        <f t="shared" si="636"/>
        <v>6.3535489807586484E-2</v>
      </c>
      <c r="AB648" s="374">
        <f t="shared" si="637"/>
        <v>0.71698175842124567</v>
      </c>
      <c r="AC648" s="354">
        <f t="shared" si="638"/>
        <v>0.20347410212990641</v>
      </c>
      <c r="AD648" s="354">
        <f t="shared" si="639"/>
        <v>0.44291792211361319</v>
      </c>
      <c r="AE648" s="354">
        <f t="shared" si="640"/>
        <v>7.0589734177726085E-2</v>
      </c>
      <c r="AF648" s="374">
        <f t="shared" si="641"/>
        <v>0.5738357897916343</v>
      </c>
      <c r="AG648" s="354">
        <f t="shared" si="642"/>
        <v>3.6878533824085062E-2</v>
      </c>
      <c r="AH648" s="354">
        <f t="shared" si="643"/>
        <v>0.18555072894508723</v>
      </c>
      <c r="AI648" s="354">
        <f t="shared" si="644"/>
        <v>0</v>
      </c>
      <c r="AJ648" s="354">
        <f t="shared" si="645"/>
        <v>0.35140652702246206</v>
      </c>
      <c r="AK648" s="374">
        <f t="shared" si="646"/>
        <v>0.37901454570445997</v>
      </c>
      <c r="AL648" s="354">
        <f t="shared" si="647"/>
        <v>0.10859018324428731</v>
      </c>
      <c r="AM648" s="354">
        <f t="shared" si="648"/>
        <v>0.25611671796178215</v>
      </c>
      <c r="AN648" s="354">
        <f t="shared" si="649"/>
        <v>1.4307644498390516E-2</v>
      </c>
      <c r="AO648" s="374">
        <f t="shared" si="650"/>
        <v>0.21976975785299821</v>
      </c>
      <c r="AP648" s="354">
        <f t="shared" si="651"/>
        <v>5.0395517095188781E-2</v>
      </c>
      <c r="AQ648" s="354">
        <f t="shared" si="652"/>
        <v>0.16937424075780944</v>
      </c>
      <c r="AR648" s="374">
        <f t="shared" si="653"/>
        <v>0.4009240266034601</v>
      </c>
      <c r="AS648" s="354">
        <f t="shared" si="654"/>
        <v>0.17373399134842157</v>
      </c>
      <c r="AT648" s="354">
        <f t="shared" si="655"/>
        <v>0.22719003525503856</v>
      </c>
      <c r="AU648" s="355" t="s">
        <v>396</v>
      </c>
      <c r="AV648" s="354" t="s">
        <v>404</v>
      </c>
      <c r="AW648" s="355" t="s">
        <v>405</v>
      </c>
      <c r="AX648" s="355">
        <v>0</v>
      </c>
      <c r="AY648" s="350" t="s">
        <v>410</v>
      </c>
      <c r="AZ648" s="351">
        <v>45205</v>
      </c>
      <c r="BA648" s="351">
        <v>45205</v>
      </c>
      <c r="BB648" s="350" t="s">
        <v>407</v>
      </c>
    </row>
    <row r="649" spans="1:54" x14ac:dyDescent="0.25">
      <c r="A649" s="348" t="s">
        <v>1509</v>
      </c>
      <c r="B649" s="349">
        <v>5569</v>
      </c>
      <c r="C649" s="350" t="s">
        <v>1501</v>
      </c>
      <c r="D649" s="351">
        <v>45192</v>
      </c>
      <c r="E649" s="352">
        <v>3420</v>
      </c>
      <c r="F649" s="352">
        <v>7</v>
      </c>
      <c r="G649" s="351"/>
      <c r="H649" s="350" t="s">
        <v>1510</v>
      </c>
      <c r="I649" s="350" t="s">
        <v>393</v>
      </c>
      <c r="J649" s="354">
        <v>50000</v>
      </c>
      <c r="K649" s="350" t="s">
        <v>394</v>
      </c>
      <c r="L649" s="354">
        <v>2.7904399999999999E-4</v>
      </c>
      <c r="M649" s="354">
        <v>17.68</v>
      </c>
      <c r="N649" s="350" t="s">
        <v>395</v>
      </c>
      <c r="O649" s="354">
        <v>13.95</v>
      </c>
      <c r="P649" s="374">
        <f t="shared" si="625"/>
        <v>1.1139838240942896</v>
      </c>
      <c r="Q649" s="354">
        <f t="shared" si="626"/>
        <v>0.10506566867872662</v>
      </c>
      <c r="R649" s="354">
        <f t="shared" si="627"/>
        <v>0.17711015928269233</v>
      </c>
      <c r="S649" s="354">
        <f t="shared" si="628"/>
        <v>0.15776735836127612</v>
      </c>
      <c r="T649" s="354">
        <f t="shared" si="629"/>
        <v>0.67325359471502344</v>
      </c>
      <c r="U649" s="374">
        <f t="shared" si="630"/>
        <v>4.470900440785428</v>
      </c>
      <c r="V649" s="354">
        <f t="shared" si="631"/>
        <v>0.118347936500177</v>
      </c>
      <c r="W649" s="354">
        <f t="shared" si="632"/>
        <v>4.0370932310940937</v>
      </c>
      <c r="X649" s="354">
        <f t="shared" si="633"/>
        <v>0.31545927319115757</v>
      </c>
      <c r="Y649" s="374">
        <f t="shared" si="634"/>
        <v>0.65542716742289386</v>
      </c>
      <c r="Z649" s="354">
        <f t="shared" si="635"/>
        <v>0.33810867595449573</v>
      </c>
      <c r="AA649" s="354">
        <f t="shared" si="636"/>
        <v>0.31731849146839808</v>
      </c>
      <c r="AB649" s="374">
        <f t="shared" si="637"/>
        <v>3.580858047708368</v>
      </c>
      <c r="AC649" s="354">
        <f t="shared" si="638"/>
        <v>1.016220939451058</v>
      </c>
      <c r="AD649" s="354">
        <f t="shared" si="639"/>
        <v>2.212087249426181</v>
      </c>
      <c r="AE649" s="354">
        <f t="shared" si="640"/>
        <v>0.3525498588311291</v>
      </c>
      <c r="AF649" s="374">
        <f t="shared" si="641"/>
        <v>2.8659369388463545</v>
      </c>
      <c r="AG649" s="354">
        <f t="shared" si="642"/>
        <v>0.18418431582198416</v>
      </c>
      <c r="AH649" s="354">
        <f t="shared" si="643"/>
        <v>0.92670533552235657</v>
      </c>
      <c r="AI649" s="354">
        <f t="shared" si="644"/>
        <v>0</v>
      </c>
      <c r="AJ649" s="354">
        <f t="shared" si="645"/>
        <v>1.755047287502014</v>
      </c>
      <c r="AK649" s="374">
        <f t="shared" si="646"/>
        <v>1.8929314034053255</v>
      </c>
      <c r="AL649" s="354">
        <f t="shared" si="647"/>
        <v>0.54233741236129929</v>
      </c>
      <c r="AM649" s="354">
        <f t="shared" si="648"/>
        <v>1.2791366027017821</v>
      </c>
      <c r="AN649" s="354">
        <f t="shared" si="649"/>
        <v>7.145738834224416E-2</v>
      </c>
      <c r="AO649" s="374">
        <f t="shared" si="650"/>
        <v>1.0976071522149742</v>
      </c>
      <c r="AP649" s="354">
        <f t="shared" si="651"/>
        <v>0.25169286504037786</v>
      </c>
      <c r="AQ649" s="354">
        <f t="shared" si="652"/>
        <v>0.84591428717459638</v>
      </c>
      <c r="AR649" s="374">
        <f t="shared" si="653"/>
        <v>2.0023550255223657</v>
      </c>
      <c r="AS649" s="354">
        <f t="shared" si="654"/>
        <v>0.86768840876838793</v>
      </c>
      <c r="AT649" s="354">
        <f t="shared" si="655"/>
        <v>1.1346666167539778</v>
      </c>
      <c r="AU649" s="355" t="s">
        <v>396</v>
      </c>
      <c r="AV649" s="354" t="s">
        <v>404</v>
      </c>
      <c r="AW649" s="355" t="s">
        <v>405</v>
      </c>
      <c r="AX649" s="355">
        <v>0</v>
      </c>
      <c r="AY649" s="350" t="s">
        <v>410</v>
      </c>
      <c r="AZ649" s="351">
        <v>45205</v>
      </c>
      <c r="BA649" s="351">
        <v>45205</v>
      </c>
      <c r="BB649" s="350" t="s">
        <v>407</v>
      </c>
    </row>
    <row r="650" spans="1:54" x14ac:dyDescent="0.25">
      <c r="A650" s="348" t="s">
        <v>1511</v>
      </c>
      <c r="B650" s="349">
        <v>5568</v>
      </c>
      <c r="C650" s="350" t="s">
        <v>1501</v>
      </c>
      <c r="D650" s="351">
        <v>45196</v>
      </c>
      <c r="E650" s="352">
        <v>3490</v>
      </c>
      <c r="F650" s="352">
        <v>7</v>
      </c>
      <c r="G650" s="351"/>
      <c r="H650" s="350" t="s">
        <v>1512</v>
      </c>
      <c r="I650" s="350" t="s">
        <v>393</v>
      </c>
      <c r="J650" s="354">
        <v>72000</v>
      </c>
      <c r="K650" s="350" t="s">
        <v>394</v>
      </c>
      <c r="L650" s="354">
        <v>2.7904399999999999E-4</v>
      </c>
      <c r="M650" s="354">
        <v>25.46</v>
      </c>
      <c r="N650" s="350" t="s">
        <v>395</v>
      </c>
      <c r="O650" s="354">
        <v>20.09</v>
      </c>
      <c r="P650" s="374">
        <f t="shared" si="625"/>
        <v>1.6041871132036549</v>
      </c>
      <c r="Q650" s="354">
        <f t="shared" si="626"/>
        <v>0.1512993170000215</v>
      </c>
      <c r="R650" s="354">
        <f t="shared" si="627"/>
        <v>0.25504664340143368</v>
      </c>
      <c r="S650" s="354">
        <f t="shared" si="628"/>
        <v>0.22719213483473361</v>
      </c>
      <c r="T650" s="354">
        <f t="shared" si="629"/>
        <v>0.96951564035319571</v>
      </c>
      <c r="U650" s="374">
        <f t="shared" si="630"/>
        <v>6.4382989379183817</v>
      </c>
      <c r="V650" s="354">
        <f t="shared" si="631"/>
        <v>0.17042638367050372</v>
      </c>
      <c r="W650" s="354">
        <f t="shared" si="632"/>
        <v>5.8135969266773539</v>
      </c>
      <c r="X650" s="354">
        <f t="shared" si="633"/>
        <v>0.45427562757052442</v>
      </c>
      <c r="Y650" s="374">
        <f t="shared" si="634"/>
        <v>0.94384477842685954</v>
      </c>
      <c r="Z650" s="354">
        <f t="shared" si="635"/>
        <v>0.48689179240958491</v>
      </c>
      <c r="AA650" s="354">
        <f t="shared" si="636"/>
        <v>0.45695298601727458</v>
      </c>
      <c r="AB650" s="374">
        <f t="shared" si="637"/>
        <v>5.1565976184759643</v>
      </c>
      <c r="AC650" s="354">
        <f t="shared" si="638"/>
        <v>1.4634041356574625</v>
      </c>
      <c r="AD650" s="354">
        <f t="shared" si="639"/>
        <v>3.1855057336193759</v>
      </c>
      <c r="AE650" s="354">
        <f t="shared" si="640"/>
        <v>0.50768774919912596</v>
      </c>
      <c r="AF650" s="374">
        <f t="shared" si="641"/>
        <v>4.1270788723432235</v>
      </c>
      <c r="AG650" s="354">
        <f t="shared" si="642"/>
        <v>0.26523374891559487</v>
      </c>
      <c r="AH650" s="354">
        <f t="shared" si="643"/>
        <v>1.3344976155203168</v>
      </c>
      <c r="AI650" s="354">
        <f t="shared" si="644"/>
        <v>0</v>
      </c>
      <c r="AJ650" s="354">
        <f t="shared" si="645"/>
        <v>2.527347507907312</v>
      </c>
      <c r="AK650" s="374">
        <f t="shared" si="646"/>
        <v>2.7259068739083481</v>
      </c>
      <c r="AL650" s="354">
        <f t="shared" si="647"/>
        <v>0.78099041395467661</v>
      </c>
      <c r="AM650" s="354">
        <f t="shared" si="648"/>
        <v>1.8420145873748517</v>
      </c>
      <c r="AN650" s="354">
        <f t="shared" si="649"/>
        <v>0.10290187257881994</v>
      </c>
      <c r="AO650" s="374">
        <f t="shared" si="650"/>
        <v>1.5806039646715635</v>
      </c>
      <c r="AP650" s="354">
        <f t="shared" si="651"/>
        <v>0.36244911447556677</v>
      </c>
      <c r="AQ650" s="354">
        <f t="shared" si="652"/>
        <v>1.2181548501959967</v>
      </c>
      <c r="AR650" s="374">
        <f t="shared" si="653"/>
        <v>2.8834818410520038</v>
      </c>
      <c r="AS650" s="354">
        <f t="shared" si="654"/>
        <v>1.2495105705454272</v>
      </c>
      <c r="AT650" s="354">
        <f t="shared" si="655"/>
        <v>1.6339712705065765</v>
      </c>
      <c r="AU650" s="355" t="s">
        <v>396</v>
      </c>
      <c r="AV650" s="354" t="s">
        <v>404</v>
      </c>
      <c r="AW650" s="355" t="s">
        <v>405</v>
      </c>
      <c r="AX650" s="355">
        <v>0</v>
      </c>
      <c r="AY650" s="350" t="s">
        <v>410</v>
      </c>
      <c r="AZ650" s="351">
        <v>45205</v>
      </c>
      <c r="BA650" s="351">
        <v>45205</v>
      </c>
      <c r="BB650" s="350" t="s">
        <v>407</v>
      </c>
    </row>
    <row r="651" spans="1:54" x14ac:dyDescent="0.25">
      <c r="A651" s="348" t="s">
        <v>1513</v>
      </c>
      <c r="B651" s="349">
        <v>5571</v>
      </c>
      <c r="C651" s="350" t="s">
        <v>1501</v>
      </c>
      <c r="D651" s="351">
        <v>45196</v>
      </c>
      <c r="E651" s="352">
        <v>3490</v>
      </c>
      <c r="F651" s="352">
        <v>7</v>
      </c>
      <c r="G651" s="351"/>
      <c r="H651" s="350" t="s">
        <v>1514</v>
      </c>
      <c r="I651" s="350" t="s">
        <v>393</v>
      </c>
      <c r="J651" s="354">
        <v>30000</v>
      </c>
      <c r="K651" s="350" t="s">
        <v>394</v>
      </c>
      <c r="L651" s="354">
        <v>2.7904399999999999E-4</v>
      </c>
      <c r="M651" s="354">
        <v>10.61</v>
      </c>
      <c r="N651" s="350" t="s">
        <v>395</v>
      </c>
      <c r="O651" s="354">
        <v>8.3699999999999992</v>
      </c>
      <c r="P651" s="374">
        <f t="shared" si="625"/>
        <v>0.66851631072626772</v>
      </c>
      <c r="Q651" s="354">
        <f t="shared" si="626"/>
        <v>6.305128646387384E-2</v>
      </c>
      <c r="R651" s="354">
        <f t="shared" si="627"/>
        <v>0.1062861306555071</v>
      </c>
      <c r="S651" s="354">
        <f t="shared" si="628"/>
        <v>9.4678262003005623E-2</v>
      </c>
      <c r="T651" s="354">
        <f t="shared" si="629"/>
        <v>0.4040283167379185</v>
      </c>
      <c r="U651" s="374">
        <f t="shared" si="630"/>
        <v>2.6830460224396711</v>
      </c>
      <c r="V651" s="354">
        <f t="shared" si="631"/>
        <v>7.1022149675728383E-2</v>
      </c>
      <c r="W651" s="354">
        <f t="shared" si="632"/>
        <v>2.4227126234111047</v>
      </c>
      <c r="X651" s="354">
        <f t="shared" si="633"/>
        <v>0.18931124935283833</v>
      </c>
      <c r="Y651" s="374">
        <f t="shared" si="634"/>
        <v>0.39333044379846738</v>
      </c>
      <c r="Z651" s="354">
        <f t="shared" si="635"/>
        <v>0.20290345316047509</v>
      </c>
      <c r="AA651" s="354">
        <f t="shared" si="636"/>
        <v>0.19042699063799229</v>
      </c>
      <c r="AB651" s="374">
        <f t="shared" si="637"/>
        <v>2.1489199030648067</v>
      </c>
      <c r="AC651" s="354">
        <f t="shared" si="638"/>
        <v>0.60984752079048221</v>
      </c>
      <c r="AD651" s="354">
        <f t="shared" si="639"/>
        <v>1.327502585769897</v>
      </c>
      <c r="AE651" s="354">
        <f t="shared" si="640"/>
        <v>0.21156979650442759</v>
      </c>
      <c r="AF651" s="374">
        <f t="shared" si="641"/>
        <v>1.7198863643189943</v>
      </c>
      <c r="AG651" s="354">
        <f t="shared" si="642"/>
        <v>0.11053142482303462</v>
      </c>
      <c r="AH651" s="354">
        <f t="shared" si="643"/>
        <v>0.55612803223372187</v>
      </c>
      <c r="AI651" s="354">
        <f t="shared" si="644"/>
        <v>0</v>
      </c>
      <c r="AJ651" s="354">
        <f t="shared" si="645"/>
        <v>1.053226907262238</v>
      </c>
      <c r="AK651" s="374">
        <f t="shared" si="646"/>
        <v>1.1359729745548928</v>
      </c>
      <c r="AL651" s="354">
        <f t="shared" si="647"/>
        <v>0.32546379780279333</v>
      </c>
      <c r="AM651" s="354">
        <f t="shared" si="648"/>
        <v>0.76762666033178217</v>
      </c>
      <c r="AN651" s="354">
        <f t="shared" si="649"/>
        <v>4.2882516420317339E-2</v>
      </c>
      <c r="AO651" s="374">
        <f t="shared" si="650"/>
        <v>0.6586884550339861</v>
      </c>
      <c r="AP651" s="354">
        <f t="shared" si="651"/>
        <v>0.1510441910677833</v>
      </c>
      <c r="AQ651" s="354">
        <f t="shared" si="652"/>
        <v>0.50764426396620277</v>
      </c>
      <c r="AR651" s="374">
        <f t="shared" si="653"/>
        <v>1.2016395260629127</v>
      </c>
      <c r="AS651" s="354">
        <f t="shared" si="654"/>
        <v>0.52071120005840466</v>
      </c>
      <c r="AT651" s="354">
        <f t="shared" si="655"/>
        <v>0.68092832600450814</v>
      </c>
      <c r="AU651" s="355" t="s">
        <v>396</v>
      </c>
      <c r="AV651" s="354" t="s">
        <v>404</v>
      </c>
      <c r="AW651" s="355" t="s">
        <v>405</v>
      </c>
      <c r="AX651" s="355">
        <v>0</v>
      </c>
      <c r="AY651" s="350" t="s">
        <v>410</v>
      </c>
      <c r="AZ651" s="351">
        <v>45205</v>
      </c>
      <c r="BA651" s="351">
        <v>45205</v>
      </c>
      <c r="BB651" s="350" t="s">
        <v>407</v>
      </c>
    </row>
    <row r="652" spans="1:54" x14ac:dyDescent="0.25">
      <c r="A652" s="348" t="s">
        <v>1515</v>
      </c>
      <c r="B652" s="349">
        <v>5573</v>
      </c>
      <c r="C652" s="350" t="s">
        <v>1501</v>
      </c>
      <c r="D652" s="351">
        <v>45197</v>
      </c>
      <c r="E652" s="352">
        <v>3490</v>
      </c>
      <c r="F652" s="352">
        <v>7</v>
      </c>
      <c r="G652" s="351"/>
      <c r="H652" s="350" t="s">
        <v>1478</v>
      </c>
      <c r="I652" s="350" t="s">
        <v>393</v>
      </c>
      <c r="J652" s="354">
        <v>105000</v>
      </c>
      <c r="K652" s="350" t="s">
        <v>394</v>
      </c>
      <c r="L652" s="354">
        <v>2.7904399999999999E-4</v>
      </c>
      <c r="M652" s="354">
        <v>37.119999999999997</v>
      </c>
      <c r="N652" s="350" t="s">
        <v>395</v>
      </c>
      <c r="O652" s="354">
        <v>29.3</v>
      </c>
      <c r="P652" s="374">
        <f t="shared" si="625"/>
        <v>2.3388619655192326</v>
      </c>
      <c r="Q652" s="354">
        <f t="shared" si="626"/>
        <v>0.22059036319877445</v>
      </c>
      <c r="R652" s="354">
        <f t="shared" si="627"/>
        <v>0.37185119415008705</v>
      </c>
      <c r="S652" s="354">
        <f t="shared" si="628"/>
        <v>0.33124006461371996</v>
      </c>
      <c r="T652" s="354">
        <f t="shared" si="629"/>
        <v>1.4135279092659316</v>
      </c>
      <c r="U652" s="374">
        <f t="shared" si="630"/>
        <v>9.3868678937757384</v>
      </c>
      <c r="V652" s="354">
        <f t="shared" si="631"/>
        <v>0.24847711554788288</v>
      </c>
      <c r="W652" s="354">
        <f t="shared" si="632"/>
        <v>8.4760690462790009</v>
      </c>
      <c r="X652" s="354">
        <f t="shared" si="633"/>
        <v>0.66232173194885557</v>
      </c>
      <c r="Y652" s="374">
        <f t="shared" si="634"/>
        <v>1.3761004782091526</v>
      </c>
      <c r="Z652" s="354">
        <f t="shared" si="635"/>
        <v>0.70987522915333034</v>
      </c>
      <c r="AA652" s="354">
        <f t="shared" si="636"/>
        <v>0.66622524905582214</v>
      </c>
      <c r="AB652" s="374">
        <f t="shared" si="637"/>
        <v>7.5181816024284283</v>
      </c>
      <c r="AC652" s="354">
        <f t="shared" si="638"/>
        <v>2.133604144367832</v>
      </c>
      <c r="AD652" s="354">
        <f t="shared" si="639"/>
        <v>4.6443822793382257</v>
      </c>
      <c r="AE652" s="354">
        <f t="shared" si="640"/>
        <v>0.74019517872237051</v>
      </c>
      <c r="AF652" s="374">
        <f t="shared" si="641"/>
        <v>6.0171707675326171</v>
      </c>
      <c r="AG652" s="354">
        <f t="shared" si="642"/>
        <v>0.38670372190679025</v>
      </c>
      <c r="AH652" s="354">
        <f t="shared" si="643"/>
        <v>1.9456618809157169</v>
      </c>
      <c r="AI652" s="354">
        <f t="shared" si="644"/>
        <v>0</v>
      </c>
      <c r="AJ652" s="354">
        <f t="shared" si="645"/>
        <v>3.6848051647101103</v>
      </c>
      <c r="AK652" s="374">
        <f t="shared" si="646"/>
        <v>3.9742994171043939</v>
      </c>
      <c r="AL652" s="354">
        <f t="shared" si="647"/>
        <v>1.1386631644146736</v>
      </c>
      <c r="AM652" s="354">
        <f t="shared" si="648"/>
        <v>2.6856080708308911</v>
      </c>
      <c r="AN652" s="354">
        <f t="shared" si="649"/>
        <v>0.15002818185882938</v>
      </c>
      <c r="AO652" s="374">
        <f t="shared" si="650"/>
        <v>2.3044783648314389</v>
      </c>
      <c r="AP652" s="354">
        <f t="shared" si="651"/>
        <v>0.52844112841056712</v>
      </c>
      <c r="AQ652" s="354">
        <f t="shared" si="652"/>
        <v>1.7760372364208719</v>
      </c>
      <c r="AR652" s="374">
        <f t="shared" si="653"/>
        <v>4.2040395105989932</v>
      </c>
      <c r="AS652" s="354">
        <f t="shared" si="654"/>
        <v>1.8217530392241263</v>
      </c>
      <c r="AT652" s="354">
        <f t="shared" si="655"/>
        <v>2.3822864713748673</v>
      </c>
      <c r="AU652" s="355" t="s">
        <v>396</v>
      </c>
      <c r="AV652" s="354" t="s">
        <v>404</v>
      </c>
      <c r="AW652" s="355" t="s">
        <v>405</v>
      </c>
      <c r="AX652" s="355">
        <v>0</v>
      </c>
      <c r="AY652" s="350" t="s">
        <v>410</v>
      </c>
      <c r="AZ652" s="351">
        <v>45205</v>
      </c>
      <c r="BA652" s="351">
        <v>45205</v>
      </c>
      <c r="BB652" s="350" t="s">
        <v>407</v>
      </c>
    </row>
    <row r="653" spans="1:54" x14ac:dyDescent="0.25">
      <c r="A653" s="348" t="s">
        <v>1516</v>
      </c>
      <c r="B653" s="349">
        <v>5491</v>
      </c>
      <c r="C653" s="350" t="s">
        <v>1501</v>
      </c>
      <c r="D653" s="351">
        <v>45175</v>
      </c>
      <c r="E653" s="352">
        <v>3420</v>
      </c>
      <c r="F653" s="352">
        <v>7</v>
      </c>
      <c r="G653" s="351"/>
      <c r="H653" s="350" t="s">
        <v>1517</v>
      </c>
      <c r="I653" s="350" t="s">
        <v>393</v>
      </c>
      <c r="J653" s="354">
        <v>61566</v>
      </c>
      <c r="K653" s="350" t="s">
        <v>394</v>
      </c>
      <c r="L653" s="354">
        <v>2.7904399999999999E-4</v>
      </c>
      <c r="M653" s="354">
        <v>21.77</v>
      </c>
      <c r="N653" s="350" t="s">
        <v>395</v>
      </c>
      <c r="O653" s="354">
        <v>17.18</v>
      </c>
      <c r="P653" s="374">
        <f t="shared" si="625"/>
        <v>1.3716870956183647</v>
      </c>
      <c r="Q653" s="354">
        <f t="shared" si="626"/>
        <v>0.12937101850316057</v>
      </c>
      <c r="R653" s="354">
        <f t="shared" si="627"/>
        <v>0.21808190993123372</v>
      </c>
      <c r="S653" s="354">
        <f t="shared" si="628"/>
        <v>0.1942644452220012</v>
      </c>
      <c r="T653" s="354">
        <f t="shared" si="629"/>
        <v>0.82900060842455103</v>
      </c>
      <c r="U653" s="374">
        <f t="shared" si="630"/>
        <v>5.5051754861933686</v>
      </c>
      <c r="V653" s="354">
        <f t="shared" si="631"/>
        <v>0.14572593764755956</v>
      </c>
      <c r="W653" s="354">
        <f t="shared" si="632"/>
        <v>4.9710135543505887</v>
      </c>
      <c r="X653" s="354">
        <f t="shared" si="633"/>
        <v>0.38843599419522057</v>
      </c>
      <c r="Y653" s="374">
        <f t="shared" si="634"/>
        <v>0.80705030739798633</v>
      </c>
      <c r="Z653" s="354">
        <f t="shared" si="635"/>
        <v>0.41632499295980607</v>
      </c>
      <c r="AA653" s="354">
        <f t="shared" si="636"/>
        <v>0.3907253144381802</v>
      </c>
      <c r="AB653" s="374">
        <f t="shared" si="637"/>
        <v>4.4092352770707679</v>
      </c>
      <c r="AC653" s="354">
        <f t="shared" si="638"/>
        <v>1.2513082495390007</v>
      </c>
      <c r="AD653" s="354">
        <f t="shared" si="639"/>
        <v>2.7238201029416267</v>
      </c>
      <c r="AE653" s="354">
        <f t="shared" si="640"/>
        <v>0.43410692459014033</v>
      </c>
      <c r="AF653" s="374">
        <f t="shared" si="641"/>
        <v>3.52892800671296</v>
      </c>
      <c r="AG653" s="354">
        <f t="shared" si="642"/>
        <v>0.22679256535320108</v>
      </c>
      <c r="AH653" s="354">
        <f t="shared" si="643"/>
        <v>1.1410845675521324</v>
      </c>
      <c r="AI653" s="354">
        <f t="shared" si="644"/>
        <v>0</v>
      </c>
      <c r="AJ653" s="354">
        <f t="shared" si="645"/>
        <v>2.1610508738076266</v>
      </c>
      <c r="AK653" s="374">
        <f t="shared" si="646"/>
        <v>2.3308323898265804</v>
      </c>
      <c r="AL653" s="354">
        <f t="shared" si="647"/>
        <v>0.6677989517593601</v>
      </c>
      <c r="AM653" s="354">
        <f t="shared" si="648"/>
        <v>1.5750454661096041</v>
      </c>
      <c r="AN653" s="354">
        <f t="shared" si="649"/>
        <v>8.7987971957616262E-2</v>
      </c>
      <c r="AO653" s="374">
        <f t="shared" si="650"/>
        <v>1.3515219289434381</v>
      </c>
      <c r="AP653" s="354">
        <f t="shared" si="651"/>
        <v>0.30991819411363269</v>
      </c>
      <c r="AQ653" s="354">
        <f t="shared" si="652"/>
        <v>1.0416037348298055</v>
      </c>
      <c r="AR653" s="374">
        <f t="shared" si="653"/>
        <v>2.4655695082365328</v>
      </c>
      <c r="AS653" s="354">
        <f t="shared" si="654"/>
        <v>1.0684149693941065</v>
      </c>
      <c r="AT653" s="354">
        <f t="shared" si="655"/>
        <v>1.3971545388424262</v>
      </c>
      <c r="AU653" s="355" t="s">
        <v>396</v>
      </c>
      <c r="AV653" s="354" t="s">
        <v>404</v>
      </c>
      <c r="AW653" s="355" t="s">
        <v>405</v>
      </c>
      <c r="AX653" s="355">
        <v>0</v>
      </c>
      <c r="AY653" s="350" t="s">
        <v>410</v>
      </c>
      <c r="AZ653" s="351">
        <v>45202</v>
      </c>
      <c r="BA653" s="351">
        <v>45203</v>
      </c>
      <c r="BB653" s="350" t="s">
        <v>407</v>
      </c>
    </row>
    <row r="654" spans="1:54" x14ac:dyDescent="0.25">
      <c r="A654" s="348" t="s">
        <v>1518</v>
      </c>
      <c r="B654" s="349">
        <v>5523</v>
      </c>
      <c r="C654" s="350" t="s">
        <v>1501</v>
      </c>
      <c r="D654" s="351">
        <v>45180</v>
      </c>
      <c r="E654" s="352">
        <v>3450</v>
      </c>
      <c r="F654" s="352">
        <v>3</v>
      </c>
      <c r="G654" s="351"/>
      <c r="H654" s="350" t="s">
        <v>1519</v>
      </c>
      <c r="I654" s="350" t="s">
        <v>393</v>
      </c>
      <c r="J654" s="354">
        <v>4956000</v>
      </c>
      <c r="K654" s="350" t="s">
        <v>394</v>
      </c>
      <c r="L654" s="354">
        <v>2.7904399999999999E-4</v>
      </c>
      <c r="M654" s="354">
        <v>1752.18</v>
      </c>
      <c r="N654" s="350" t="s">
        <v>395</v>
      </c>
      <c r="O654" s="354">
        <v>1382.94</v>
      </c>
      <c r="P654" s="374">
        <f t="shared" si="625"/>
        <v>110.40159371615005</v>
      </c>
      <c r="Q654" s="354">
        <f t="shared" si="626"/>
        <v>10.412554487867153</v>
      </c>
      <c r="R654" s="354">
        <f t="shared" si="627"/>
        <v>17.552538398865831</v>
      </c>
      <c r="S654" s="354">
        <f t="shared" si="628"/>
        <v>15.635566174969505</v>
      </c>
      <c r="T654" s="354">
        <f t="shared" si="629"/>
        <v>66.722934592068441</v>
      </c>
      <c r="U654" s="374">
        <f t="shared" si="630"/>
        <v>443.08949854838301</v>
      </c>
      <c r="V654" s="354">
        <f t="shared" si="631"/>
        <v>11.728896344846161</v>
      </c>
      <c r="W654" s="354">
        <f t="shared" si="632"/>
        <v>400.09694670013852</v>
      </c>
      <c r="X654" s="354">
        <f t="shared" si="633"/>
        <v>31.263655503398333</v>
      </c>
      <c r="Y654" s="374">
        <f t="shared" si="634"/>
        <v>64.956242885466409</v>
      </c>
      <c r="Z654" s="354">
        <f t="shared" si="635"/>
        <v>33.508329176128299</v>
      </c>
      <c r="AA654" s="354">
        <f t="shared" si="636"/>
        <v>31.447913709338106</v>
      </c>
      <c r="AB654" s="374">
        <f t="shared" si="637"/>
        <v>354.88166595212942</v>
      </c>
      <c r="AC654" s="354">
        <f t="shared" si="638"/>
        <v>100.71278312711283</v>
      </c>
      <c r="AD654" s="354">
        <f t="shared" si="639"/>
        <v>219.22935727938719</v>
      </c>
      <c r="AE654" s="354">
        <f t="shared" si="640"/>
        <v>34.939525545629401</v>
      </c>
      <c r="AF654" s="374">
        <f t="shared" si="641"/>
        <v>284.02926388618806</v>
      </c>
      <c r="AG654" s="354">
        <f t="shared" si="642"/>
        <v>18.253624123131459</v>
      </c>
      <c r="AH654" s="354">
        <f t="shared" si="643"/>
        <v>91.841320972599704</v>
      </c>
      <c r="AI654" s="354">
        <f t="shared" si="644"/>
        <v>0</v>
      </c>
      <c r="AJ654" s="354">
        <f t="shared" si="645"/>
        <v>173.93431879045693</v>
      </c>
      <c r="AK654" s="374">
        <f t="shared" si="646"/>
        <v>187.59935217300585</v>
      </c>
      <c r="AL654" s="354">
        <f t="shared" si="647"/>
        <v>53.7484596827614</v>
      </c>
      <c r="AM654" s="354">
        <f t="shared" si="648"/>
        <v>126.76909346843941</v>
      </c>
      <c r="AN654" s="354">
        <f t="shared" si="649"/>
        <v>7.0817990218050557</v>
      </c>
      <c r="AO654" s="374">
        <f t="shared" si="650"/>
        <v>108.77858031493402</v>
      </c>
      <c r="AP654" s="354">
        <f t="shared" si="651"/>
        <v>24.944072639505052</v>
      </c>
      <c r="AQ654" s="354">
        <f t="shared" si="652"/>
        <v>83.834507675428966</v>
      </c>
      <c r="AR654" s="374">
        <f t="shared" si="653"/>
        <v>198.44380252374313</v>
      </c>
      <c r="AS654" s="354">
        <f t="shared" si="654"/>
        <v>85.992436429626352</v>
      </c>
      <c r="AT654" s="354">
        <f t="shared" si="655"/>
        <v>112.45136609411679</v>
      </c>
      <c r="AU654" s="355" t="s">
        <v>396</v>
      </c>
      <c r="AV654" s="354" t="s">
        <v>404</v>
      </c>
      <c r="AW654" s="355" t="s">
        <v>405</v>
      </c>
      <c r="AX654" s="355">
        <v>0</v>
      </c>
      <c r="AY654" s="350" t="s">
        <v>410</v>
      </c>
      <c r="AZ654" s="351">
        <v>45202</v>
      </c>
      <c r="BA654" s="351">
        <v>45203</v>
      </c>
      <c r="BB654" s="350" t="s">
        <v>407</v>
      </c>
    </row>
    <row r="655" spans="1:54" x14ac:dyDescent="0.25">
      <c r="A655" s="348" t="s">
        <v>1520</v>
      </c>
      <c r="B655" s="349">
        <v>5476</v>
      </c>
      <c r="C655" s="350" t="s">
        <v>1501</v>
      </c>
      <c r="D655" s="351">
        <v>45170</v>
      </c>
      <c r="E655" s="352">
        <v>3400</v>
      </c>
      <c r="F655" s="352">
        <v>7</v>
      </c>
      <c r="G655" s="351"/>
      <c r="H655" s="350" t="s">
        <v>1521</v>
      </c>
      <c r="I655" s="350" t="s">
        <v>393</v>
      </c>
      <c r="J655" s="354">
        <v>2000000</v>
      </c>
      <c r="K655" s="350" t="s">
        <v>394</v>
      </c>
      <c r="L655" s="354">
        <v>2.7904399999999999E-4</v>
      </c>
      <c r="M655" s="354">
        <v>707.1</v>
      </c>
      <c r="N655" s="350" t="s">
        <v>395</v>
      </c>
      <c r="O655" s="354">
        <v>558.09</v>
      </c>
      <c r="P655" s="374">
        <f t="shared" si="625"/>
        <v>44.553052150286895</v>
      </c>
      <c r="Q655" s="354">
        <f t="shared" si="626"/>
        <v>4.2020324843171721</v>
      </c>
      <c r="R655" s="354">
        <f t="shared" si="627"/>
        <v>7.0834046170131089</v>
      </c>
      <c r="S655" s="354">
        <f t="shared" si="628"/>
        <v>6.309801985139047</v>
      </c>
      <c r="T655" s="354">
        <f t="shared" si="629"/>
        <v>26.926335793155719</v>
      </c>
      <c r="U655" s="374">
        <f t="shared" si="630"/>
        <v>178.81072973299638</v>
      </c>
      <c r="V655" s="354">
        <f t="shared" si="631"/>
        <v>4.7332480712259697</v>
      </c>
      <c r="W655" s="354">
        <f t="shared" si="632"/>
        <v>161.46089500603131</v>
      </c>
      <c r="X655" s="354">
        <f t="shared" si="633"/>
        <v>12.616586655739113</v>
      </c>
      <c r="Y655" s="374">
        <f t="shared" si="634"/>
        <v>26.213379529679198</v>
      </c>
      <c r="Z655" s="354">
        <f t="shared" si="635"/>
        <v>13.522434658790946</v>
      </c>
      <c r="AA655" s="354">
        <f t="shared" si="636"/>
        <v>12.69094487088825</v>
      </c>
      <c r="AB655" s="374">
        <f t="shared" si="637"/>
        <v>143.21406818634543</v>
      </c>
      <c r="AC655" s="354">
        <f t="shared" si="638"/>
        <v>40.64308972204995</v>
      </c>
      <c r="AD655" s="354">
        <f t="shared" si="639"/>
        <v>88.470978171337819</v>
      </c>
      <c r="AE655" s="354">
        <f t="shared" si="640"/>
        <v>14.100000292957658</v>
      </c>
      <c r="AF655" s="374">
        <f t="shared" si="641"/>
        <v>114.62126750329509</v>
      </c>
      <c r="AG655" s="354">
        <f t="shared" si="642"/>
        <v>7.3663308663871607</v>
      </c>
      <c r="AH655" s="354">
        <f t="shared" si="643"/>
        <v>37.062971874878862</v>
      </c>
      <c r="AI655" s="354">
        <f t="shared" si="644"/>
        <v>0</v>
      </c>
      <c r="AJ655" s="354">
        <f t="shared" si="645"/>
        <v>70.191964762029073</v>
      </c>
      <c r="AK655" s="374">
        <f t="shared" si="646"/>
        <v>75.70654951062815</v>
      </c>
      <c r="AL655" s="354">
        <f t="shared" si="647"/>
        <v>21.690428975151288</v>
      </c>
      <c r="AM655" s="354">
        <f t="shared" si="648"/>
        <v>51.158229172535641</v>
      </c>
      <c r="AN655" s="354">
        <f t="shared" si="649"/>
        <v>2.8578913629412241</v>
      </c>
      <c r="AO655" s="374">
        <f t="shared" si="650"/>
        <v>43.898077903348884</v>
      </c>
      <c r="AP655" s="354">
        <f t="shared" si="651"/>
        <v>10.066290999437285</v>
      </c>
      <c r="AQ655" s="354">
        <f t="shared" si="652"/>
        <v>33.831786903911599</v>
      </c>
      <c r="AR655" s="374">
        <f t="shared" si="653"/>
        <v>80.082875483419954</v>
      </c>
      <c r="AS655" s="354">
        <f t="shared" si="654"/>
        <v>34.702628610866917</v>
      </c>
      <c r="AT655" s="354">
        <f t="shared" si="655"/>
        <v>45.380246872553045</v>
      </c>
      <c r="AU655" s="355" t="s">
        <v>396</v>
      </c>
      <c r="AV655" s="354" t="s">
        <v>404</v>
      </c>
      <c r="AW655" s="355" t="s">
        <v>405</v>
      </c>
      <c r="AX655" s="355">
        <v>0</v>
      </c>
      <c r="AY655" s="350" t="s">
        <v>410</v>
      </c>
      <c r="AZ655" s="351">
        <v>45202</v>
      </c>
      <c r="BA655" s="351">
        <v>45203</v>
      </c>
      <c r="BB655" s="350" t="s">
        <v>407</v>
      </c>
    </row>
    <row r="656" spans="1:54" x14ac:dyDescent="0.25">
      <c r="A656" s="348" t="s">
        <v>1522</v>
      </c>
      <c r="B656" s="349">
        <v>5482</v>
      </c>
      <c r="C656" s="350" t="s">
        <v>1501</v>
      </c>
      <c r="D656" s="351">
        <v>45174</v>
      </c>
      <c r="E656" s="352">
        <v>3340</v>
      </c>
      <c r="F656" s="352">
        <v>5</v>
      </c>
      <c r="G656" s="351"/>
      <c r="H656" s="350" t="s">
        <v>1523</v>
      </c>
      <c r="I656" s="350" t="s">
        <v>393</v>
      </c>
      <c r="J656" s="354">
        <v>259600</v>
      </c>
      <c r="K656" s="350" t="s">
        <v>394</v>
      </c>
      <c r="L656" s="354">
        <v>2.7904399999999999E-4</v>
      </c>
      <c r="M656" s="354">
        <v>91.78</v>
      </c>
      <c r="N656" s="350" t="s">
        <v>395</v>
      </c>
      <c r="O656" s="354">
        <v>72.44</v>
      </c>
      <c r="P656" s="374">
        <f t="shared" si="625"/>
        <v>5.7828866162541805</v>
      </c>
      <c r="Q656" s="354">
        <f t="shared" si="626"/>
        <v>0.54541442711162502</v>
      </c>
      <c r="R656" s="354">
        <f t="shared" si="627"/>
        <v>0.91941009157044706</v>
      </c>
      <c r="S656" s="354">
        <f t="shared" si="628"/>
        <v>0.81899819855191869</v>
      </c>
      <c r="T656" s="354">
        <f t="shared" si="629"/>
        <v>3.4949782196235777</v>
      </c>
      <c r="U656" s="374">
        <f t="shared" si="630"/>
        <v>23.209233170547883</v>
      </c>
      <c r="V656" s="354">
        <f t="shared" si="631"/>
        <v>0.6143650233023894</v>
      </c>
      <c r="W656" s="354">
        <f t="shared" si="632"/>
        <v>20.957263390826693</v>
      </c>
      <c r="X656" s="354">
        <f t="shared" si="633"/>
        <v>1.6376047564188032</v>
      </c>
      <c r="Y656" s="374">
        <f t="shared" si="634"/>
        <v>3.4024380897100222</v>
      </c>
      <c r="Z656" s="354">
        <f t="shared" si="635"/>
        <v>1.7551818031167203</v>
      </c>
      <c r="AA656" s="354">
        <f t="shared" si="636"/>
        <v>1.6472562865933016</v>
      </c>
      <c r="AB656" s="374">
        <f t="shared" si="637"/>
        <v>18.588866041780204</v>
      </c>
      <c r="AC656" s="354">
        <f t="shared" si="638"/>
        <v>5.2753822297974038</v>
      </c>
      <c r="AD656" s="354">
        <f t="shared" si="639"/>
        <v>11.483335280109438</v>
      </c>
      <c r="AE656" s="354">
        <f t="shared" si="640"/>
        <v>1.8301485318733612</v>
      </c>
      <c r="AF656" s="374">
        <f t="shared" si="641"/>
        <v>14.87758440312887</v>
      </c>
      <c r="AG656" s="354">
        <f t="shared" si="642"/>
        <v>0.95613328654647667</v>
      </c>
      <c r="AH656" s="354">
        <f t="shared" si="643"/>
        <v>4.8106909329322338</v>
      </c>
      <c r="AI656" s="354">
        <f t="shared" si="644"/>
        <v>0</v>
      </c>
      <c r="AJ656" s="354">
        <f t="shared" si="645"/>
        <v>9.1107601836501608</v>
      </c>
      <c r="AK656" s="374">
        <f t="shared" si="646"/>
        <v>9.8265409617952937</v>
      </c>
      <c r="AL656" s="354">
        <f t="shared" si="647"/>
        <v>2.8153692141696864</v>
      </c>
      <c r="AM656" s="354">
        <f t="shared" si="648"/>
        <v>6.6402238346136633</v>
      </c>
      <c r="AN656" s="354">
        <f t="shared" si="649"/>
        <v>0.37094791301194396</v>
      </c>
      <c r="AO656" s="374">
        <f t="shared" si="650"/>
        <v>5.6978724225277331</v>
      </c>
      <c r="AP656" s="354">
        <f t="shared" si="651"/>
        <v>1.3065820788125497</v>
      </c>
      <c r="AQ656" s="354">
        <f t="shared" si="652"/>
        <v>4.3912903437151831</v>
      </c>
      <c r="AR656" s="374">
        <f t="shared" si="653"/>
        <v>10.39457829425581</v>
      </c>
      <c r="AS656" s="354">
        <f t="shared" si="654"/>
        <v>4.5043236514006022</v>
      </c>
      <c r="AT656" s="354">
        <f t="shared" si="655"/>
        <v>5.8902546428552087</v>
      </c>
      <c r="AU656" s="355" t="s">
        <v>396</v>
      </c>
      <c r="AV656" s="354" t="s">
        <v>404</v>
      </c>
      <c r="AW656" s="355" t="s">
        <v>405</v>
      </c>
      <c r="AX656" s="355">
        <v>0</v>
      </c>
      <c r="AY656" s="350" t="s">
        <v>410</v>
      </c>
      <c r="AZ656" s="351">
        <v>45202</v>
      </c>
      <c r="BA656" s="351">
        <v>45203</v>
      </c>
      <c r="BB656" s="350" t="s">
        <v>407</v>
      </c>
    </row>
    <row r="657" spans="1:54" x14ac:dyDescent="0.25">
      <c r="A657" s="348" t="s">
        <v>1524</v>
      </c>
      <c r="B657" s="349">
        <v>5521</v>
      </c>
      <c r="C657" s="350" t="s">
        <v>1501</v>
      </c>
      <c r="D657" s="351">
        <v>45181</v>
      </c>
      <c r="E657" s="352">
        <v>3350</v>
      </c>
      <c r="F657" s="352">
        <v>5</v>
      </c>
      <c r="G657" s="351"/>
      <c r="H657" s="350" t="s">
        <v>1525</v>
      </c>
      <c r="I657" s="350" t="s">
        <v>393</v>
      </c>
      <c r="J657" s="354">
        <v>254452.5</v>
      </c>
      <c r="K657" s="350" t="s">
        <v>394</v>
      </c>
      <c r="L657" s="354">
        <v>2.7904399999999999E-4</v>
      </c>
      <c r="M657" s="354">
        <v>89.96</v>
      </c>
      <c r="N657" s="350" t="s">
        <v>395</v>
      </c>
      <c r="O657" s="354">
        <v>71</v>
      </c>
      <c r="P657" s="374">
        <f t="shared" si="625"/>
        <v>5.6682118108327098</v>
      </c>
      <c r="Q657" s="354">
        <f t="shared" si="626"/>
        <v>0.53459884357116794</v>
      </c>
      <c r="R657" s="354">
        <f t="shared" si="627"/>
        <v>0.90117816340899337</v>
      </c>
      <c r="S657" s="354">
        <f t="shared" si="628"/>
        <v>0.80275744107355207</v>
      </c>
      <c r="T657" s="354">
        <f t="shared" si="629"/>
        <v>3.4256727025205609</v>
      </c>
      <c r="U657" s="374">
        <f t="shared" si="630"/>
        <v>22.748993419290557</v>
      </c>
      <c r="V657" s="354">
        <f t="shared" si="631"/>
        <v>0.60218214748619459</v>
      </c>
      <c r="W657" s="354">
        <f t="shared" si="632"/>
        <v>20.541680264096414</v>
      </c>
      <c r="X657" s="354">
        <f t="shared" si="633"/>
        <v>1.6051310077079486</v>
      </c>
      <c r="Y657" s="374">
        <f t="shared" si="634"/>
        <v>3.3349676460047242</v>
      </c>
      <c r="Z657" s="354">
        <f t="shared" si="635"/>
        <v>1.7203764982390517</v>
      </c>
      <c r="AA657" s="354">
        <f t="shared" si="636"/>
        <v>1.6145911477656725</v>
      </c>
      <c r="AB657" s="374">
        <f t="shared" si="637"/>
        <v>18.22024830157493</v>
      </c>
      <c r="AC657" s="354">
        <f t="shared" si="638"/>
        <v>5.1707712507362649</v>
      </c>
      <c r="AD657" s="354">
        <f t="shared" si="639"/>
        <v>11.255620416197919</v>
      </c>
      <c r="AE657" s="354">
        <f t="shared" si="640"/>
        <v>1.793856634640745</v>
      </c>
      <c r="AF657" s="374">
        <f t="shared" si="641"/>
        <v>14.582561482953508</v>
      </c>
      <c r="AG657" s="354">
        <f t="shared" si="642"/>
        <v>0.93717313638833111</v>
      </c>
      <c r="AH657" s="354">
        <f t="shared" si="643"/>
        <v>4.7152947954519906</v>
      </c>
      <c r="AI657" s="354">
        <f t="shared" si="644"/>
        <v>0</v>
      </c>
      <c r="AJ657" s="354">
        <f t="shared" si="645"/>
        <v>8.9300935511131883</v>
      </c>
      <c r="AK657" s="374">
        <f t="shared" si="646"/>
        <v>9.6316803761506264</v>
      </c>
      <c r="AL657" s="354">
        <f t="shared" si="647"/>
        <v>2.7595403628971993</v>
      </c>
      <c r="AM657" s="354">
        <f t="shared" si="648"/>
        <v>6.5085480078649498</v>
      </c>
      <c r="AN657" s="354">
        <f t="shared" si="649"/>
        <v>0.36359200538847763</v>
      </c>
      <c r="AO657" s="374">
        <f t="shared" si="650"/>
        <v>5.584883450976192</v>
      </c>
      <c r="AP657" s="354">
        <f t="shared" si="651"/>
        <v>1.2806725191760404</v>
      </c>
      <c r="AQ657" s="354">
        <f t="shared" si="652"/>
        <v>4.304210931800152</v>
      </c>
      <c r="AR657" s="374">
        <f t="shared" si="653"/>
        <v>10.188453512216741</v>
      </c>
      <c r="AS657" s="354">
        <f t="shared" si="654"/>
        <v>4.4150027857920904</v>
      </c>
      <c r="AT657" s="354">
        <f t="shared" si="655"/>
        <v>5.7734507264246506</v>
      </c>
      <c r="AU657" s="355" t="s">
        <v>396</v>
      </c>
      <c r="AV657" s="354" t="s">
        <v>404</v>
      </c>
      <c r="AW657" s="355" t="s">
        <v>405</v>
      </c>
      <c r="AX657" s="355">
        <v>0</v>
      </c>
      <c r="AY657" s="350" t="s">
        <v>410</v>
      </c>
      <c r="AZ657" s="351">
        <v>45202</v>
      </c>
      <c r="BA657" s="351">
        <v>45203</v>
      </c>
      <c r="BB657" s="350" t="s">
        <v>407</v>
      </c>
    </row>
    <row r="658" spans="1:54" x14ac:dyDescent="0.25">
      <c r="A658" s="348" t="s">
        <v>1526</v>
      </c>
      <c r="B658" s="349">
        <v>5480</v>
      </c>
      <c r="C658" s="350" t="s">
        <v>1501</v>
      </c>
      <c r="D658" s="351">
        <v>45199</v>
      </c>
      <c r="E658" s="352">
        <v>3110</v>
      </c>
      <c r="F658" s="352">
        <v>1</v>
      </c>
      <c r="G658" s="351"/>
      <c r="H658" s="350" t="s">
        <v>437</v>
      </c>
      <c r="I658" s="350" t="s">
        <v>393</v>
      </c>
      <c r="J658" s="354">
        <v>2123598.2999999998</v>
      </c>
      <c r="K658" s="350" t="s">
        <v>394</v>
      </c>
      <c r="L658" s="354">
        <v>2.9999999999999997E-4</v>
      </c>
      <c r="M658" s="354">
        <v>750.79</v>
      </c>
      <c r="N658" s="350" t="s">
        <v>395</v>
      </c>
      <c r="O658" s="354">
        <v>637.08000000000004</v>
      </c>
      <c r="P658" s="374">
        <f t="shared" si="625"/>
        <v>47.305877561750663</v>
      </c>
      <c r="Q658" s="354">
        <f t="shared" si="626"/>
        <v>4.4616659155713325</v>
      </c>
      <c r="R658" s="354">
        <f t="shared" si="627"/>
        <v>7.5210710683174531</v>
      </c>
      <c r="S658" s="354">
        <f t="shared" si="628"/>
        <v>6.6996693995510457</v>
      </c>
      <c r="T658" s="354">
        <f t="shared" si="629"/>
        <v>28.590049003172648</v>
      </c>
      <c r="U658" s="374">
        <f t="shared" si="630"/>
        <v>189.8590125530142</v>
      </c>
      <c r="V658" s="354">
        <f t="shared" si="631"/>
        <v>5.0257040296927524</v>
      </c>
      <c r="W658" s="354">
        <f t="shared" si="632"/>
        <v>171.43717347133111</v>
      </c>
      <c r="X658" s="354">
        <f t="shared" si="633"/>
        <v>13.396135051990338</v>
      </c>
      <c r="Y658" s="374">
        <f t="shared" si="634"/>
        <v>27.833040895330001</v>
      </c>
      <c r="Z658" s="354">
        <f t="shared" si="635"/>
        <v>14.357953213793881</v>
      </c>
      <c r="AA658" s="354">
        <f t="shared" si="636"/>
        <v>13.475087681536118</v>
      </c>
      <c r="AB658" s="374">
        <f t="shared" si="637"/>
        <v>152.06291932347091</v>
      </c>
      <c r="AC658" s="354">
        <f t="shared" si="638"/>
        <v>43.154328005116504</v>
      </c>
      <c r="AD658" s="354">
        <f t="shared" si="639"/>
        <v>93.937386085785207</v>
      </c>
      <c r="AE658" s="354">
        <f t="shared" si="640"/>
        <v>14.971205232569197</v>
      </c>
      <c r="AF658" s="374">
        <f t="shared" si="641"/>
        <v>121.70343859255964</v>
      </c>
      <c r="AG658" s="354">
        <f t="shared" si="642"/>
        <v>7.8214786468318716</v>
      </c>
      <c r="AH658" s="354">
        <f t="shared" si="643"/>
        <v>39.353003329006228</v>
      </c>
      <c r="AI658" s="354">
        <f t="shared" si="644"/>
        <v>0</v>
      </c>
      <c r="AJ658" s="354">
        <f t="shared" si="645"/>
        <v>74.528956616721544</v>
      </c>
      <c r="AK658" s="374">
        <f t="shared" si="646"/>
        <v>80.384274228658612</v>
      </c>
      <c r="AL658" s="354">
        <f t="shared" si="647"/>
        <v>23.030628157621035</v>
      </c>
      <c r="AM658" s="354">
        <f t="shared" si="648"/>
        <v>54.319172508058308</v>
      </c>
      <c r="AN658" s="354">
        <f t="shared" si="649"/>
        <v>3.0344735629792696</v>
      </c>
      <c r="AO658" s="374">
        <f t="shared" si="650"/>
        <v>46.610434039110885</v>
      </c>
      <c r="AP658" s="354">
        <f t="shared" si="651"/>
        <v>10.688262790931295</v>
      </c>
      <c r="AQ658" s="354">
        <f t="shared" si="652"/>
        <v>35.922171248179588</v>
      </c>
      <c r="AR658" s="374">
        <f t="shared" si="653"/>
        <v>85.031002806105022</v>
      </c>
      <c r="AS658" s="354">
        <f t="shared" si="654"/>
        <v>36.846820159458026</v>
      </c>
      <c r="AT658" s="354">
        <f t="shared" si="655"/>
        <v>48.184182646647002</v>
      </c>
      <c r="AU658" s="355" t="s">
        <v>396</v>
      </c>
      <c r="AV658" s="354" t="s">
        <v>404</v>
      </c>
      <c r="AW658" s="355" t="s">
        <v>405</v>
      </c>
      <c r="AX658" s="355">
        <v>102955</v>
      </c>
      <c r="AY658" s="350" t="s">
        <v>406</v>
      </c>
      <c r="AZ658" s="351">
        <v>45203</v>
      </c>
      <c r="BA658" s="351">
        <v>45203</v>
      </c>
      <c r="BB658" s="350" t="s">
        <v>407</v>
      </c>
    </row>
    <row r="659" spans="1:54" x14ac:dyDescent="0.25">
      <c r="A659" s="348" t="s">
        <v>1526</v>
      </c>
      <c r="B659" s="349">
        <v>5480</v>
      </c>
      <c r="C659" s="350" t="s">
        <v>1501</v>
      </c>
      <c r="D659" s="351">
        <v>45199</v>
      </c>
      <c r="E659" s="352">
        <v>3110</v>
      </c>
      <c r="F659" s="352">
        <v>1</v>
      </c>
      <c r="G659" s="351"/>
      <c r="H659" s="350" t="s">
        <v>437</v>
      </c>
      <c r="I659" s="350" t="s">
        <v>393</v>
      </c>
      <c r="J659" s="354">
        <v>595528.80000000005</v>
      </c>
      <c r="K659" s="350" t="s">
        <v>394</v>
      </c>
      <c r="L659" s="354">
        <v>3.0000200000000001E-4</v>
      </c>
      <c r="M659" s="354">
        <v>210.55</v>
      </c>
      <c r="N659" s="350" t="s">
        <v>395</v>
      </c>
      <c r="O659" s="354">
        <v>178.66</v>
      </c>
      <c r="P659" s="374">
        <f t="shared" si="625"/>
        <v>13.266362792027868</v>
      </c>
      <c r="Q659" s="354">
        <f t="shared" si="626"/>
        <v>1.2512203925512382</v>
      </c>
      <c r="R659" s="354">
        <f t="shared" si="627"/>
        <v>2.109193667249484</v>
      </c>
      <c r="S659" s="354">
        <f t="shared" si="628"/>
        <v>1.8788414764121431</v>
      </c>
      <c r="T659" s="354">
        <f t="shared" si="629"/>
        <v>8.0177344099122294</v>
      </c>
      <c r="U659" s="374">
        <f t="shared" si="630"/>
        <v>53.243670124851349</v>
      </c>
      <c r="V659" s="354">
        <f t="shared" si="631"/>
        <v>1.4093980786262594</v>
      </c>
      <c r="W659" s="354">
        <f t="shared" si="632"/>
        <v>48.077487545636956</v>
      </c>
      <c r="X659" s="354">
        <f t="shared" si="633"/>
        <v>3.7567845005881351</v>
      </c>
      <c r="Y659" s="374">
        <f t="shared" si="634"/>
        <v>7.8054406165661936</v>
      </c>
      <c r="Z659" s="354">
        <f t="shared" si="635"/>
        <v>4.0265148032929341</v>
      </c>
      <c r="AA659" s="354">
        <f t="shared" si="636"/>
        <v>3.778925813273259</v>
      </c>
      <c r="AB659" s="374">
        <f t="shared" si="637"/>
        <v>42.644211648472677</v>
      </c>
      <c r="AC659" s="354">
        <f t="shared" si="638"/>
        <v>12.102110791935536</v>
      </c>
      <c r="AD659" s="354">
        <f t="shared" si="639"/>
        <v>26.343606921192443</v>
      </c>
      <c r="AE659" s="354">
        <f t="shared" si="640"/>
        <v>4.1984939353446968</v>
      </c>
      <c r="AF659" s="374">
        <f t="shared" si="641"/>
        <v>34.130261452154976</v>
      </c>
      <c r="AG659" s="354">
        <f t="shared" si="642"/>
        <v>2.1934393493392967</v>
      </c>
      <c r="AH659" s="354">
        <f t="shared" si="643"/>
        <v>11.036075135420374</v>
      </c>
      <c r="AI659" s="354">
        <f t="shared" si="644"/>
        <v>0</v>
      </c>
      <c r="AJ659" s="354">
        <f t="shared" si="645"/>
        <v>20.900746967395307</v>
      </c>
      <c r="AK659" s="374">
        <f t="shared" si="646"/>
        <v>22.542800168947473</v>
      </c>
      <c r="AL659" s="354">
        <f t="shared" si="647"/>
        <v>6.4586618875945465</v>
      </c>
      <c r="AM659" s="354">
        <f t="shared" si="648"/>
        <v>15.233156770297525</v>
      </c>
      <c r="AN659" s="354">
        <f t="shared" si="649"/>
        <v>0.8509815110554021</v>
      </c>
      <c r="AO659" s="374">
        <f t="shared" si="650"/>
        <v>13.071334044053327</v>
      </c>
      <c r="AP659" s="354">
        <f t="shared" si="651"/>
        <v>2.9973943854214684</v>
      </c>
      <c r="AQ659" s="354">
        <f t="shared" si="652"/>
        <v>10.073939658631858</v>
      </c>
      <c r="AR659" s="374">
        <f t="shared" si="653"/>
        <v>23.845919152926136</v>
      </c>
      <c r="AS659" s="354">
        <f t="shared" si="654"/>
        <v>10.333246293336202</v>
      </c>
      <c r="AT659" s="354">
        <f t="shared" si="655"/>
        <v>13.512672859589934</v>
      </c>
      <c r="AU659" s="355" t="s">
        <v>396</v>
      </c>
      <c r="AV659" s="354" t="s">
        <v>404</v>
      </c>
      <c r="AW659" s="355" t="s">
        <v>405</v>
      </c>
      <c r="AX659" s="355">
        <v>103265</v>
      </c>
      <c r="AY659" s="350" t="s">
        <v>406</v>
      </c>
      <c r="AZ659" s="351">
        <v>45203</v>
      </c>
      <c r="BA659" s="351">
        <v>45203</v>
      </c>
      <c r="BB659" s="350" t="s">
        <v>407</v>
      </c>
    </row>
    <row r="660" spans="1:54" x14ac:dyDescent="0.25">
      <c r="A660" s="348" t="s">
        <v>1526</v>
      </c>
      <c r="B660" s="349">
        <v>5480</v>
      </c>
      <c r="C660" s="350" t="s">
        <v>1501</v>
      </c>
      <c r="D660" s="351">
        <v>45199</v>
      </c>
      <c r="E660" s="352">
        <v>3110</v>
      </c>
      <c r="F660" s="352">
        <v>1</v>
      </c>
      <c r="G660" s="351"/>
      <c r="H660" s="350" t="s">
        <v>437</v>
      </c>
      <c r="I660" s="350" t="s">
        <v>393</v>
      </c>
      <c r="J660" s="354">
        <v>5592445</v>
      </c>
      <c r="K660" s="350" t="s">
        <v>394</v>
      </c>
      <c r="L660" s="354">
        <v>2.9999900000000001E-4</v>
      </c>
      <c r="M660" s="354">
        <v>1977.2</v>
      </c>
      <c r="N660" s="350" t="s">
        <v>395</v>
      </c>
      <c r="O660" s="354">
        <v>1677.73</v>
      </c>
      <c r="P660" s="374">
        <f t="shared" si="625"/>
        <v>124.57968421941345</v>
      </c>
      <c r="Q660" s="354">
        <f t="shared" si="626"/>
        <v>11.749764712193343</v>
      </c>
      <c r="R660" s="354">
        <f t="shared" si="627"/>
        <v>19.806685912541816</v>
      </c>
      <c r="S660" s="354">
        <f t="shared" si="628"/>
        <v>17.64353059682778</v>
      </c>
      <c r="T660" s="354">
        <f t="shared" si="629"/>
        <v>75.29168594290411</v>
      </c>
      <c r="U660" s="374">
        <f t="shared" si="630"/>
        <v>499.99232757471424</v>
      </c>
      <c r="V660" s="354">
        <f t="shared" si="631"/>
        <v>13.235154980098978</v>
      </c>
      <c r="W660" s="354">
        <f t="shared" si="632"/>
        <v>451.47854844565848</v>
      </c>
      <c r="X660" s="354">
        <f t="shared" si="633"/>
        <v>35.27862414895683</v>
      </c>
      <c r="Y660" s="374">
        <f t="shared" si="634"/>
        <v>73.29811060116208</v>
      </c>
      <c r="Z660" s="354">
        <f t="shared" si="635"/>
        <v>37.811565276992582</v>
      </c>
      <c r="AA660" s="354">
        <f t="shared" si="636"/>
        <v>35.486545324169491</v>
      </c>
      <c r="AB660" s="374">
        <f t="shared" si="637"/>
        <v>400.45659117245395</v>
      </c>
      <c r="AC660" s="354">
        <f t="shared" si="638"/>
        <v>113.64660868114434</v>
      </c>
      <c r="AD660" s="354">
        <f t="shared" si="639"/>
        <v>247.38342248673334</v>
      </c>
      <c r="AE660" s="354">
        <f t="shared" si="640"/>
        <v>39.426560004576274</v>
      </c>
      <c r="AF660" s="374">
        <f t="shared" si="641"/>
        <v>320.50511965424278</v>
      </c>
      <c r="AG660" s="354">
        <f t="shared" si="642"/>
        <v>20.597807083892935</v>
      </c>
      <c r="AH660" s="354">
        <f t="shared" si="643"/>
        <v>103.63584781644816</v>
      </c>
      <c r="AI660" s="354">
        <f t="shared" si="644"/>
        <v>0</v>
      </c>
      <c r="AJ660" s="354">
        <f t="shared" si="645"/>
        <v>196.27146475390168</v>
      </c>
      <c r="AK660" s="374">
        <f t="shared" si="646"/>
        <v>211.69140106408426</v>
      </c>
      <c r="AL660" s="354">
        <f t="shared" si="647"/>
        <v>60.650991613165218</v>
      </c>
      <c r="AM660" s="354">
        <f t="shared" si="648"/>
        <v>143.04914541074456</v>
      </c>
      <c r="AN660" s="354">
        <f t="shared" si="649"/>
        <v>7.9912640401744994</v>
      </c>
      <c r="AO660" s="374">
        <f t="shared" si="650"/>
        <v>122.7482387646746</v>
      </c>
      <c r="AP660" s="354">
        <f t="shared" si="651"/>
        <v>28.147462260058546</v>
      </c>
      <c r="AQ660" s="354">
        <f t="shared" si="652"/>
        <v>94.60077650461605</v>
      </c>
      <c r="AR660" s="374">
        <f t="shared" si="653"/>
        <v>223.9285269492546</v>
      </c>
      <c r="AS660" s="354">
        <f t="shared" si="654"/>
        <v>97.035832681948904</v>
      </c>
      <c r="AT660" s="354">
        <f t="shared" si="655"/>
        <v>126.89269426730571</v>
      </c>
      <c r="AU660" s="355" t="s">
        <v>396</v>
      </c>
      <c r="AV660" s="354" t="s">
        <v>404</v>
      </c>
      <c r="AW660" s="355" t="s">
        <v>405</v>
      </c>
      <c r="AX660" s="355">
        <v>117871</v>
      </c>
      <c r="AY660" s="350" t="s">
        <v>406</v>
      </c>
      <c r="AZ660" s="351">
        <v>45203</v>
      </c>
      <c r="BA660" s="351">
        <v>45203</v>
      </c>
      <c r="BB660" s="350" t="s">
        <v>407</v>
      </c>
    </row>
    <row r="661" spans="1:54" x14ac:dyDescent="0.25">
      <c r="A661" s="348" t="s">
        <v>1526</v>
      </c>
      <c r="B661" s="349">
        <v>5480</v>
      </c>
      <c r="C661" s="350" t="s">
        <v>1501</v>
      </c>
      <c r="D661" s="351">
        <v>45199</v>
      </c>
      <c r="E661" s="352">
        <v>3110</v>
      </c>
      <c r="F661" s="352">
        <v>1</v>
      </c>
      <c r="G661" s="351"/>
      <c r="H661" s="350" t="s">
        <v>437</v>
      </c>
      <c r="I661" s="350" t="s">
        <v>393</v>
      </c>
      <c r="J661" s="354">
        <v>3083644.8</v>
      </c>
      <c r="K661" s="350" t="s">
        <v>394</v>
      </c>
      <c r="L661" s="354">
        <v>2.9999900000000001E-4</v>
      </c>
      <c r="M661" s="354">
        <v>1090.22</v>
      </c>
      <c r="N661" s="350" t="s">
        <v>395</v>
      </c>
      <c r="O661" s="354">
        <v>925.09</v>
      </c>
      <c r="P661" s="374">
        <f t="shared" si="625"/>
        <v>68.69272877285502</v>
      </c>
      <c r="Q661" s="354">
        <f t="shared" si="626"/>
        <v>6.4787722458665931</v>
      </c>
      <c r="R661" s="354">
        <f t="shared" si="627"/>
        <v>10.921325670428557</v>
      </c>
      <c r="S661" s="354">
        <f t="shared" si="628"/>
        <v>9.7285706692664302</v>
      </c>
      <c r="T661" s="354">
        <f t="shared" si="629"/>
        <v>41.515527942885356</v>
      </c>
      <c r="U661" s="374">
        <f t="shared" si="630"/>
        <v>275.69372616250507</v>
      </c>
      <c r="V661" s="354">
        <f t="shared" si="631"/>
        <v>7.2978103694130638</v>
      </c>
      <c r="W661" s="354">
        <f t="shared" si="632"/>
        <v>248.94342660652734</v>
      </c>
      <c r="X661" s="354">
        <f t="shared" si="633"/>
        <v>19.452489186564698</v>
      </c>
      <c r="Y661" s="374">
        <f t="shared" si="634"/>
        <v>40.416278646368063</v>
      </c>
      <c r="Z661" s="354">
        <f t="shared" si="635"/>
        <v>20.849142573479092</v>
      </c>
      <c r="AA661" s="354">
        <f t="shared" si="636"/>
        <v>19.567136072888967</v>
      </c>
      <c r="AB661" s="374">
        <f t="shared" si="637"/>
        <v>220.81012787175436</v>
      </c>
      <c r="AC661" s="354">
        <f t="shared" si="638"/>
        <v>62.664275600018804</v>
      </c>
      <c r="AD661" s="354">
        <f t="shared" si="639"/>
        <v>136.40620820528343</v>
      </c>
      <c r="AE661" s="354">
        <f t="shared" si="640"/>
        <v>21.739644066452126</v>
      </c>
      <c r="AF661" s="374">
        <f t="shared" si="641"/>
        <v>176.72521320526428</v>
      </c>
      <c r="AG661" s="354">
        <f t="shared" si="642"/>
        <v>11.357546651325995</v>
      </c>
      <c r="AH661" s="354">
        <f t="shared" si="643"/>
        <v>57.144382969071472</v>
      </c>
      <c r="AI661" s="354">
        <f t="shared" si="644"/>
        <v>0</v>
      </c>
      <c r="AJ661" s="354">
        <f t="shared" si="645"/>
        <v>108.22328358486683</v>
      </c>
      <c r="AK661" s="374">
        <f t="shared" si="646"/>
        <v>116.7257734513888</v>
      </c>
      <c r="AL661" s="354">
        <f t="shared" si="647"/>
        <v>33.442708919939804</v>
      </c>
      <c r="AM661" s="354">
        <f t="shared" si="648"/>
        <v>78.876714196693271</v>
      </c>
      <c r="AN661" s="354">
        <f t="shared" si="649"/>
        <v>4.4063503347557367</v>
      </c>
      <c r="AO661" s="374">
        <f t="shared" si="650"/>
        <v>67.682877233473363</v>
      </c>
      <c r="AP661" s="354">
        <f t="shared" si="651"/>
        <v>15.520395663140313</v>
      </c>
      <c r="AQ661" s="354">
        <f t="shared" si="652"/>
        <v>52.16248157033305</v>
      </c>
      <c r="AR661" s="374">
        <f t="shared" si="653"/>
        <v>123.47327465639103</v>
      </c>
      <c r="AS661" s="354">
        <f t="shared" si="654"/>
        <v>53.505161595445237</v>
      </c>
      <c r="AT661" s="354">
        <f t="shared" si="655"/>
        <v>69.968113060945797</v>
      </c>
      <c r="AU661" s="355" t="s">
        <v>396</v>
      </c>
      <c r="AV661" s="354" t="s">
        <v>404</v>
      </c>
      <c r="AW661" s="355" t="s">
        <v>405</v>
      </c>
      <c r="AX661" s="355">
        <v>103321</v>
      </c>
      <c r="AY661" s="350" t="s">
        <v>406</v>
      </c>
      <c r="AZ661" s="351">
        <v>45203</v>
      </c>
      <c r="BA661" s="351">
        <v>45203</v>
      </c>
      <c r="BB661" s="350" t="s">
        <v>407</v>
      </c>
    </row>
    <row r="662" spans="1:54" x14ac:dyDescent="0.25">
      <c r="A662" s="348" t="s">
        <v>1526</v>
      </c>
      <c r="B662" s="349">
        <v>5480</v>
      </c>
      <c r="C662" s="350" t="s">
        <v>1501</v>
      </c>
      <c r="D662" s="351">
        <v>45199</v>
      </c>
      <c r="E662" s="352">
        <v>3110</v>
      </c>
      <c r="F662" s="352">
        <v>1</v>
      </c>
      <c r="G662" s="351"/>
      <c r="H662" s="350" t="s">
        <v>437</v>
      </c>
      <c r="I662" s="350" t="s">
        <v>393</v>
      </c>
      <c r="J662" s="354">
        <v>598983.44999999995</v>
      </c>
      <c r="K662" s="350" t="s">
        <v>394</v>
      </c>
      <c r="L662" s="354">
        <v>3.0000799999999999E-4</v>
      </c>
      <c r="M662" s="354">
        <v>211.77</v>
      </c>
      <c r="N662" s="350" t="s">
        <v>395</v>
      </c>
      <c r="O662" s="354">
        <v>179.7</v>
      </c>
      <c r="P662" s="374">
        <f t="shared" si="625"/>
        <v>13.343232716541163</v>
      </c>
      <c r="Q662" s="354">
        <f t="shared" si="626"/>
        <v>1.2584703991003361</v>
      </c>
      <c r="R662" s="354">
        <f t="shared" si="627"/>
        <v>2.1214150696434255</v>
      </c>
      <c r="S662" s="354">
        <f t="shared" si="628"/>
        <v>1.8897281380185207</v>
      </c>
      <c r="T662" s="354">
        <f t="shared" si="629"/>
        <v>8.0641919543439222</v>
      </c>
      <c r="U662" s="374">
        <f t="shared" si="630"/>
        <v>53.552182485584282</v>
      </c>
      <c r="V662" s="354">
        <f t="shared" si="631"/>
        <v>1.4175646217557965</v>
      </c>
      <c r="W662" s="354">
        <f t="shared" si="632"/>
        <v>48.356065245972637</v>
      </c>
      <c r="X662" s="354">
        <f t="shared" si="633"/>
        <v>3.7785526178558508</v>
      </c>
      <c r="Y662" s="374">
        <f t="shared" si="634"/>
        <v>7.8506680568521627</v>
      </c>
      <c r="Z662" s="354">
        <f t="shared" si="635"/>
        <v>4.0498458318373061</v>
      </c>
      <c r="AA662" s="354">
        <f t="shared" si="636"/>
        <v>3.8008222250148567</v>
      </c>
      <c r="AB662" s="374">
        <f t="shared" si="637"/>
        <v>42.891307056742143</v>
      </c>
      <c r="AC662" s="354">
        <f t="shared" si="638"/>
        <v>12.172234635042452</v>
      </c>
      <c r="AD662" s="354">
        <f t="shared" si="639"/>
        <v>26.496250950847415</v>
      </c>
      <c r="AE662" s="354">
        <f t="shared" si="640"/>
        <v>4.2228214708522742</v>
      </c>
      <c r="AF662" s="374">
        <f t="shared" si="641"/>
        <v>34.328024068975822</v>
      </c>
      <c r="AG662" s="354">
        <f t="shared" si="642"/>
        <v>2.2061489005442074</v>
      </c>
      <c r="AH662" s="354">
        <f t="shared" si="643"/>
        <v>11.100021996808229</v>
      </c>
      <c r="AI662" s="354">
        <f t="shared" si="644"/>
        <v>0</v>
      </c>
      <c r="AJ662" s="354">
        <f t="shared" si="645"/>
        <v>21.021853171623388</v>
      </c>
      <c r="AK662" s="374">
        <f t="shared" si="646"/>
        <v>22.673421001082907</v>
      </c>
      <c r="AL662" s="354">
        <f t="shared" si="647"/>
        <v>6.4960856230629167</v>
      </c>
      <c r="AM662" s="354">
        <f t="shared" si="648"/>
        <v>15.321422983832376</v>
      </c>
      <c r="AN662" s="354">
        <f t="shared" si="649"/>
        <v>0.85591239418761578</v>
      </c>
      <c r="AO662" s="374">
        <f t="shared" si="650"/>
        <v>13.14707390410436</v>
      </c>
      <c r="AP662" s="354">
        <f t="shared" si="651"/>
        <v>3.0147623319909966</v>
      </c>
      <c r="AQ662" s="354">
        <f t="shared" si="652"/>
        <v>10.132311572113364</v>
      </c>
      <c r="AR662" s="374">
        <f t="shared" si="653"/>
        <v>23.984090710117158</v>
      </c>
      <c r="AS662" s="354">
        <f t="shared" si="654"/>
        <v>10.393120719733115</v>
      </c>
      <c r="AT662" s="354">
        <f t="shared" si="655"/>
        <v>13.590969990384043</v>
      </c>
      <c r="AU662" s="355" t="s">
        <v>396</v>
      </c>
      <c r="AV662" s="354" t="s">
        <v>404</v>
      </c>
      <c r="AW662" s="355" t="s">
        <v>405</v>
      </c>
      <c r="AX662" s="355">
        <v>117427</v>
      </c>
      <c r="AY662" s="350" t="s">
        <v>406</v>
      </c>
      <c r="AZ662" s="351">
        <v>45203</v>
      </c>
      <c r="BA662" s="351">
        <v>45203</v>
      </c>
      <c r="BB662" s="350" t="s">
        <v>407</v>
      </c>
    </row>
    <row r="663" spans="1:54" x14ac:dyDescent="0.25">
      <c r="A663" s="348" t="s">
        <v>1526</v>
      </c>
      <c r="B663" s="349">
        <v>5480</v>
      </c>
      <c r="C663" s="350" t="s">
        <v>1501</v>
      </c>
      <c r="D663" s="351">
        <v>45199</v>
      </c>
      <c r="E663" s="352">
        <v>3110</v>
      </c>
      <c r="F663" s="352">
        <v>1</v>
      </c>
      <c r="G663" s="351"/>
      <c r="H663" s="350" t="s">
        <v>437</v>
      </c>
      <c r="I663" s="350" t="s">
        <v>393</v>
      </c>
      <c r="J663" s="354">
        <v>3194579.2</v>
      </c>
      <c r="K663" s="350" t="s">
        <v>394</v>
      </c>
      <c r="L663" s="354">
        <v>2.9999900000000001E-4</v>
      </c>
      <c r="M663" s="354">
        <v>1129.44</v>
      </c>
      <c r="N663" s="350" t="s">
        <v>395</v>
      </c>
      <c r="O663" s="354">
        <v>958.37</v>
      </c>
      <c r="P663" s="374">
        <f t="shared" si="625"/>
        <v>71.163907821552868</v>
      </c>
      <c r="Q663" s="354">
        <f t="shared" si="626"/>
        <v>6.7118421285351255</v>
      </c>
      <c r="R663" s="354">
        <f t="shared" si="627"/>
        <v>11.314213704764935</v>
      </c>
      <c r="S663" s="354">
        <f t="shared" si="628"/>
        <v>10.078550069432112</v>
      </c>
      <c r="T663" s="354">
        <f t="shared" si="629"/>
        <v>43.009023756500916</v>
      </c>
      <c r="U663" s="374">
        <f t="shared" si="630"/>
        <v>285.61163992311617</v>
      </c>
      <c r="V663" s="354">
        <f t="shared" si="631"/>
        <v>7.5603446493642483</v>
      </c>
      <c r="W663" s="354">
        <f t="shared" si="632"/>
        <v>257.89901464518738</v>
      </c>
      <c r="X663" s="354">
        <f t="shared" si="633"/>
        <v>20.152280628564537</v>
      </c>
      <c r="Y663" s="374">
        <f t="shared" si="634"/>
        <v>41.870229636544863</v>
      </c>
      <c r="Z663" s="354">
        <f t="shared" si="635"/>
        <v>21.59917776979896</v>
      </c>
      <c r="AA663" s="354">
        <f t="shared" si="636"/>
        <v>20.2710518667459</v>
      </c>
      <c r="AB663" s="374">
        <f t="shared" si="637"/>
        <v>228.75363763595811</v>
      </c>
      <c r="AC663" s="354">
        <f t="shared" si="638"/>
        <v>64.91858472022642</v>
      </c>
      <c r="AD663" s="354">
        <f t="shared" si="639"/>
        <v>141.31333840451956</v>
      </c>
      <c r="AE663" s="354">
        <f t="shared" si="640"/>
        <v>22.521714511212132</v>
      </c>
      <c r="AF663" s="374">
        <f t="shared" si="641"/>
        <v>183.0827950345377</v>
      </c>
      <c r="AG663" s="354">
        <f t="shared" si="642"/>
        <v>11.766127469569106</v>
      </c>
      <c r="AH663" s="354">
        <f t="shared" si="643"/>
        <v>59.200117316310546</v>
      </c>
      <c r="AI663" s="354">
        <f t="shared" si="644"/>
        <v>0</v>
      </c>
      <c r="AJ663" s="354">
        <f t="shared" si="645"/>
        <v>112.11655024865806</v>
      </c>
      <c r="AK663" s="374">
        <f t="shared" si="646"/>
        <v>120.92491200577551</v>
      </c>
      <c r="AL663" s="354">
        <f t="shared" si="647"/>
        <v>34.645789989668891</v>
      </c>
      <c r="AM663" s="354">
        <f t="shared" si="648"/>
        <v>81.714255913772675</v>
      </c>
      <c r="AN663" s="354">
        <f t="shared" si="649"/>
        <v>4.5648661023339505</v>
      </c>
      <c r="AO663" s="374">
        <f t="shared" si="650"/>
        <v>70.117727488556582</v>
      </c>
      <c r="AP663" s="354">
        <f t="shared" si="651"/>
        <v>16.078732437285314</v>
      </c>
      <c r="AQ663" s="354">
        <f t="shared" si="652"/>
        <v>54.038995051271272</v>
      </c>
      <c r="AR663" s="374">
        <f t="shared" si="653"/>
        <v>127.91515045395818</v>
      </c>
      <c r="AS663" s="354">
        <f t="shared" si="654"/>
        <v>55.429977171909954</v>
      </c>
      <c r="AT663" s="354">
        <f t="shared" si="655"/>
        <v>72.485173282048237</v>
      </c>
      <c r="AU663" s="355" t="s">
        <v>396</v>
      </c>
      <c r="AV663" s="354" t="s">
        <v>404</v>
      </c>
      <c r="AW663" s="355" t="s">
        <v>405</v>
      </c>
      <c r="AX663" s="355">
        <v>117872</v>
      </c>
      <c r="AY663" s="350" t="s">
        <v>406</v>
      </c>
      <c r="AZ663" s="351">
        <v>45203</v>
      </c>
      <c r="BA663" s="351">
        <v>45203</v>
      </c>
      <c r="BB663" s="350" t="s">
        <v>407</v>
      </c>
    </row>
    <row r="664" spans="1:54" x14ac:dyDescent="0.25">
      <c r="A664" s="348" t="s">
        <v>1526</v>
      </c>
      <c r="B664" s="349">
        <v>5480</v>
      </c>
      <c r="C664" s="350" t="s">
        <v>1501</v>
      </c>
      <c r="D664" s="351">
        <v>45199</v>
      </c>
      <c r="E664" s="352">
        <v>3110</v>
      </c>
      <c r="F664" s="352">
        <v>1</v>
      </c>
      <c r="G664" s="351"/>
      <c r="H664" s="350" t="s">
        <v>437</v>
      </c>
      <c r="I664" s="350" t="s">
        <v>393</v>
      </c>
      <c r="J664" s="354">
        <v>802216.5</v>
      </c>
      <c r="K664" s="350" t="s">
        <v>394</v>
      </c>
      <c r="L664" s="354">
        <v>2.9999399999999999E-4</v>
      </c>
      <c r="M664" s="354">
        <v>283.62</v>
      </c>
      <c r="N664" s="350" t="s">
        <v>395</v>
      </c>
      <c r="O664" s="354">
        <v>240.66</v>
      </c>
      <c r="P664" s="374">
        <f t="shared" si="625"/>
        <v>17.870367205295388</v>
      </c>
      <c r="Q664" s="354">
        <f t="shared" si="626"/>
        <v>1.6854482438156362</v>
      </c>
      <c r="R664" s="354">
        <f t="shared" si="627"/>
        <v>2.8411755303030093</v>
      </c>
      <c r="S664" s="354">
        <f t="shared" si="628"/>
        <v>2.5308811186892042</v>
      </c>
      <c r="T664" s="354">
        <f t="shared" si="629"/>
        <v>10.80023668173501</v>
      </c>
      <c r="U664" s="374">
        <f t="shared" si="630"/>
        <v>71.72153750088026</v>
      </c>
      <c r="V664" s="354">
        <f t="shared" si="631"/>
        <v>1.8985204609830428</v>
      </c>
      <c r="W664" s="354">
        <f t="shared" si="632"/>
        <v>64.762465056725489</v>
      </c>
      <c r="X664" s="354">
        <f t="shared" si="633"/>
        <v>5.0605519831717256</v>
      </c>
      <c r="Y664" s="374">
        <f t="shared" si="634"/>
        <v>10.514267716316807</v>
      </c>
      <c r="Z664" s="354">
        <f t="shared" si="635"/>
        <v>5.4238904227496647</v>
      </c>
      <c r="AA664" s="354">
        <f t="shared" si="636"/>
        <v>5.0903772935671414</v>
      </c>
      <c r="AB664" s="374">
        <f t="shared" si="637"/>
        <v>57.443606306054718</v>
      </c>
      <c r="AC664" s="354">
        <f t="shared" si="638"/>
        <v>16.302069165560468</v>
      </c>
      <c r="AD664" s="354">
        <f t="shared" si="639"/>
        <v>35.485983353068633</v>
      </c>
      <c r="AE664" s="354">
        <f t="shared" si="640"/>
        <v>5.655553787425613</v>
      </c>
      <c r="AF664" s="374">
        <f t="shared" si="641"/>
        <v>45.974945395678908</v>
      </c>
      <c r="AG664" s="354">
        <f t="shared" si="642"/>
        <v>2.9546581251940696</v>
      </c>
      <c r="AH664" s="354">
        <f t="shared" si="643"/>
        <v>14.866072808871651</v>
      </c>
      <c r="AI664" s="354">
        <f t="shared" si="644"/>
        <v>0</v>
      </c>
      <c r="AJ664" s="354">
        <f t="shared" si="645"/>
        <v>28.15421446161319</v>
      </c>
      <c r="AK664" s="374">
        <f t="shared" si="646"/>
        <v>30.366131483813263</v>
      </c>
      <c r="AL664" s="354">
        <f t="shared" si="647"/>
        <v>8.7000982406058665</v>
      </c>
      <c r="AM664" s="354">
        <f t="shared" si="648"/>
        <v>20.51972416619228</v>
      </c>
      <c r="AN664" s="354">
        <f t="shared" si="649"/>
        <v>1.1463090770151183</v>
      </c>
      <c r="AO664" s="374">
        <f t="shared" si="650"/>
        <v>17.607655006290212</v>
      </c>
      <c r="AP664" s="354">
        <f t="shared" si="651"/>
        <v>4.0376204967619893</v>
      </c>
      <c r="AQ664" s="354">
        <f t="shared" si="652"/>
        <v>13.570034509528224</v>
      </c>
      <c r="AR664" s="374">
        <f t="shared" si="653"/>
        <v>32.121489385670436</v>
      </c>
      <c r="AS664" s="354">
        <f t="shared" si="654"/>
        <v>13.919331815321842</v>
      </c>
      <c r="AT664" s="354">
        <f t="shared" si="655"/>
        <v>18.202157570348596</v>
      </c>
      <c r="AU664" s="355" t="s">
        <v>396</v>
      </c>
      <c r="AV664" s="354" t="s">
        <v>404</v>
      </c>
      <c r="AW664" s="355" t="s">
        <v>405</v>
      </c>
      <c r="AX664" s="355">
        <v>103328</v>
      </c>
      <c r="AY664" s="350" t="s">
        <v>406</v>
      </c>
      <c r="AZ664" s="351">
        <v>45203</v>
      </c>
      <c r="BA664" s="351">
        <v>45203</v>
      </c>
      <c r="BB664" s="350" t="s">
        <v>407</v>
      </c>
    </row>
    <row r="665" spans="1:54" x14ac:dyDescent="0.25">
      <c r="A665" s="348" t="s">
        <v>1526</v>
      </c>
      <c r="B665" s="349">
        <v>5480</v>
      </c>
      <c r="C665" s="350" t="s">
        <v>1501</v>
      </c>
      <c r="D665" s="351">
        <v>45199</v>
      </c>
      <c r="E665" s="352">
        <v>3110</v>
      </c>
      <c r="F665" s="352">
        <v>1</v>
      </c>
      <c r="G665" s="351"/>
      <c r="H665" s="350" t="s">
        <v>437</v>
      </c>
      <c r="I665" s="350" t="s">
        <v>393</v>
      </c>
      <c r="J665" s="354">
        <v>684495.7</v>
      </c>
      <c r="K665" s="350" t="s">
        <v>394</v>
      </c>
      <c r="L665" s="354">
        <v>3.0000200000000001E-4</v>
      </c>
      <c r="M665" s="354">
        <v>242</v>
      </c>
      <c r="N665" s="350" t="s">
        <v>395</v>
      </c>
      <c r="O665" s="354">
        <v>205.35</v>
      </c>
      <c r="P665" s="374">
        <f t="shared" si="625"/>
        <v>15.247968632964826</v>
      </c>
      <c r="Q665" s="354">
        <f t="shared" si="626"/>
        <v>1.4381160531816655</v>
      </c>
      <c r="R665" s="354">
        <f t="shared" si="627"/>
        <v>2.4242453928965806</v>
      </c>
      <c r="S665" s="354">
        <f t="shared" si="628"/>
        <v>2.1594853350355669</v>
      </c>
      <c r="T665" s="354">
        <f t="shared" si="629"/>
        <v>9.2153489774341448</v>
      </c>
      <c r="U665" s="374">
        <f t="shared" si="630"/>
        <v>61.196714178171582</v>
      </c>
      <c r="V665" s="354">
        <f t="shared" si="631"/>
        <v>1.619920850285228</v>
      </c>
      <c r="W665" s="354">
        <f t="shared" si="632"/>
        <v>55.258855312487029</v>
      </c>
      <c r="X665" s="354">
        <f t="shared" si="633"/>
        <v>4.3179380153993288</v>
      </c>
      <c r="Y665" s="374">
        <f t="shared" si="634"/>
        <v>8.9713447124626864</v>
      </c>
      <c r="Z665" s="354">
        <f t="shared" si="635"/>
        <v>4.6279581210966043</v>
      </c>
      <c r="AA665" s="354">
        <f t="shared" si="636"/>
        <v>4.3433865913660821</v>
      </c>
      <c r="AB665" s="374">
        <f t="shared" si="637"/>
        <v>49.01400721410775</v>
      </c>
      <c r="AC665" s="354">
        <f t="shared" si="638"/>
        <v>13.909811501535973</v>
      </c>
      <c r="AD665" s="354">
        <f t="shared" si="639"/>
        <v>30.278569816806321</v>
      </c>
      <c r="AE665" s="354">
        <f t="shared" si="640"/>
        <v>4.8256258957654543</v>
      </c>
      <c r="AF665" s="374">
        <f t="shared" si="641"/>
        <v>39.228322352987426</v>
      </c>
      <c r="AG665" s="354">
        <f t="shared" si="642"/>
        <v>2.5210749111380184</v>
      </c>
      <c r="AH665" s="354">
        <f t="shared" si="643"/>
        <v>12.684541357263024</v>
      </c>
      <c r="AI665" s="354">
        <f t="shared" si="644"/>
        <v>0</v>
      </c>
      <c r="AJ665" s="354">
        <f t="shared" si="645"/>
        <v>24.022706084586385</v>
      </c>
      <c r="AK665" s="374">
        <f t="shared" si="646"/>
        <v>25.910033915389636</v>
      </c>
      <c r="AL665" s="354">
        <f t="shared" si="647"/>
        <v>7.4233967076603191</v>
      </c>
      <c r="AM665" s="354">
        <f t="shared" si="648"/>
        <v>17.508543996257423</v>
      </c>
      <c r="AN665" s="354">
        <f t="shared" si="649"/>
        <v>0.97809321147189399</v>
      </c>
      <c r="AO665" s="374">
        <f t="shared" si="650"/>
        <v>15.023808305204962</v>
      </c>
      <c r="AP665" s="354">
        <f t="shared" si="651"/>
        <v>3.4451172703490633</v>
      </c>
      <c r="AQ665" s="354">
        <f t="shared" si="652"/>
        <v>11.578691034855899</v>
      </c>
      <c r="AR665" s="374">
        <f t="shared" si="653"/>
        <v>27.407800688711113</v>
      </c>
      <c r="AS665" s="354">
        <f t="shared" si="654"/>
        <v>11.876730482010739</v>
      </c>
      <c r="AT665" s="354">
        <f t="shared" si="655"/>
        <v>15.531070206700376</v>
      </c>
      <c r="AU665" s="355" t="s">
        <v>396</v>
      </c>
      <c r="AV665" s="354" t="s">
        <v>404</v>
      </c>
      <c r="AW665" s="355" t="s">
        <v>405</v>
      </c>
      <c r="AX665" s="355">
        <v>117293</v>
      </c>
      <c r="AY665" s="350" t="s">
        <v>406</v>
      </c>
      <c r="AZ665" s="351">
        <v>45203</v>
      </c>
      <c r="BA665" s="351">
        <v>45203</v>
      </c>
      <c r="BB665" s="350" t="s">
        <v>407</v>
      </c>
    </row>
    <row r="666" spans="1:54" x14ac:dyDescent="0.25">
      <c r="A666" s="348" t="s">
        <v>1526</v>
      </c>
      <c r="B666" s="349">
        <v>5480</v>
      </c>
      <c r="C666" s="350" t="s">
        <v>1501</v>
      </c>
      <c r="D666" s="351">
        <v>45199</v>
      </c>
      <c r="E666" s="352">
        <v>3120</v>
      </c>
      <c r="F666" s="352">
        <v>1</v>
      </c>
      <c r="G666" s="351"/>
      <c r="H666" s="350" t="s">
        <v>438</v>
      </c>
      <c r="I666" s="350" t="s">
        <v>393</v>
      </c>
      <c r="J666" s="354">
        <v>4410</v>
      </c>
      <c r="K666" s="350" t="s">
        <v>394</v>
      </c>
      <c r="L666" s="354">
        <v>2.9932E-4</v>
      </c>
      <c r="M666" s="354">
        <v>1.56</v>
      </c>
      <c r="N666" s="350" t="s">
        <v>395</v>
      </c>
      <c r="O666" s="354">
        <v>1.32</v>
      </c>
      <c r="P666" s="374">
        <f t="shared" si="625"/>
        <v>9.829269036126087E-2</v>
      </c>
      <c r="Q666" s="354">
        <f t="shared" si="626"/>
        <v>9.2705001775347032E-3</v>
      </c>
      <c r="R666" s="354">
        <f t="shared" si="627"/>
        <v>1.5627366995531678E-2</v>
      </c>
      <c r="S666" s="354">
        <f t="shared" si="628"/>
        <v>1.3920649267171424E-2</v>
      </c>
      <c r="T666" s="354">
        <f t="shared" si="629"/>
        <v>5.9404728945443255E-2</v>
      </c>
      <c r="U666" s="374">
        <f t="shared" si="630"/>
        <v>0.39449121536342013</v>
      </c>
      <c r="V666" s="354">
        <f t="shared" si="631"/>
        <v>1.0442464985309735E-2</v>
      </c>
      <c r="W666" s="354">
        <f t="shared" si="632"/>
        <v>0.35621410862594943</v>
      </c>
      <c r="X666" s="354">
        <f t="shared" si="633"/>
        <v>2.7834641752160966E-2</v>
      </c>
      <c r="Y666" s="374">
        <f t="shared" si="634"/>
        <v>5.783180889025534E-2</v>
      </c>
      <c r="Z666" s="354">
        <f t="shared" si="635"/>
        <v>2.9833118466573154E-2</v>
      </c>
      <c r="AA666" s="354">
        <f t="shared" si="636"/>
        <v>2.7998690423682183E-2</v>
      </c>
      <c r="AB666" s="374">
        <f t="shared" si="637"/>
        <v>0.31595806303309132</v>
      </c>
      <c r="AC666" s="354">
        <f t="shared" si="638"/>
        <v>8.9666553480975714E-2</v>
      </c>
      <c r="AD666" s="354">
        <f t="shared" si="639"/>
        <v>0.19518416906701597</v>
      </c>
      <c r="AE666" s="354">
        <f t="shared" si="640"/>
        <v>3.1107340485099628E-2</v>
      </c>
      <c r="AF666" s="374">
        <f t="shared" si="641"/>
        <v>0.25287678872173713</v>
      </c>
      <c r="AG666" s="354">
        <f t="shared" si="642"/>
        <v>1.6251557278410367E-2</v>
      </c>
      <c r="AH666" s="354">
        <f t="shared" si="643"/>
        <v>8.1768117840207932E-2</v>
      </c>
      <c r="AI666" s="354">
        <f t="shared" si="644"/>
        <v>0</v>
      </c>
      <c r="AJ666" s="354">
        <f t="shared" si="645"/>
        <v>0.15485711360311885</v>
      </c>
      <c r="AK666" s="374">
        <f t="shared" si="646"/>
        <v>0.16702335912399932</v>
      </c>
      <c r="AL666" s="354">
        <f t="shared" si="647"/>
        <v>4.7853301090702884E-2</v>
      </c>
      <c r="AM666" s="354">
        <f t="shared" si="648"/>
        <v>0.1128649943560396</v>
      </c>
      <c r="AN666" s="354">
        <f t="shared" si="649"/>
        <v>6.3050636772568379E-3</v>
      </c>
      <c r="AO666" s="374">
        <f t="shared" si="650"/>
        <v>9.6847689901321254E-2</v>
      </c>
      <c r="AP666" s="354">
        <f t="shared" si="651"/>
        <v>2.220819397415099E-2</v>
      </c>
      <c r="AQ666" s="354">
        <f t="shared" si="652"/>
        <v>7.4639495927170271E-2</v>
      </c>
      <c r="AR666" s="374">
        <f t="shared" si="653"/>
        <v>0.17667838460491461</v>
      </c>
      <c r="AS666" s="354">
        <f t="shared" si="654"/>
        <v>7.6560741950151875E-2</v>
      </c>
      <c r="AT666" s="354">
        <f t="shared" si="655"/>
        <v>0.10011764265476275</v>
      </c>
      <c r="AU666" s="355" t="s">
        <v>396</v>
      </c>
      <c r="AV666" s="354" t="s">
        <v>404</v>
      </c>
      <c r="AW666" s="355" t="s">
        <v>405</v>
      </c>
      <c r="AX666" s="355">
        <v>103265</v>
      </c>
      <c r="AY666" s="350" t="s">
        <v>406</v>
      </c>
      <c r="AZ666" s="351">
        <v>45203</v>
      </c>
      <c r="BA666" s="351">
        <v>45203</v>
      </c>
      <c r="BB666" s="350" t="s">
        <v>407</v>
      </c>
    </row>
    <row r="667" spans="1:54" x14ac:dyDescent="0.25">
      <c r="A667" s="348" t="s">
        <v>1526</v>
      </c>
      <c r="B667" s="349">
        <v>5480</v>
      </c>
      <c r="C667" s="350" t="s">
        <v>1501</v>
      </c>
      <c r="D667" s="351">
        <v>45199</v>
      </c>
      <c r="E667" s="352">
        <v>3120</v>
      </c>
      <c r="F667" s="352">
        <v>1</v>
      </c>
      <c r="G667" s="351"/>
      <c r="H667" s="350" t="s">
        <v>438</v>
      </c>
      <c r="I667" s="350" t="s">
        <v>393</v>
      </c>
      <c r="J667" s="354">
        <v>29400</v>
      </c>
      <c r="K667" s="350" t="s">
        <v>394</v>
      </c>
      <c r="L667" s="354">
        <v>2.9999999999999997E-4</v>
      </c>
      <c r="M667" s="354">
        <v>10.39</v>
      </c>
      <c r="N667" s="350" t="s">
        <v>395</v>
      </c>
      <c r="O667" s="354">
        <v>8.82</v>
      </c>
      <c r="P667" s="374">
        <f t="shared" si="625"/>
        <v>0.65465452105993616</v>
      </c>
      <c r="Q667" s="354">
        <f t="shared" si="626"/>
        <v>6.1743908233708698E-2</v>
      </c>
      <c r="R667" s="354">
        <f t="shared" si="627"/>
        <v>0.10408227120741932</v>
      </c>
      <c r="S667" s="354">
        <f t="shared" si="628"/>
        <v>9.271509351660967E-2</v>
      </c>
      <c r="T667" s="354">
        <f t="shared" si="629"/>
        <v>0.39565072675843294</v>
      </c>
      <c r="U667" s="374">
        <f t="shared" si="630"/>
        <v>2.627412645914061</v>
      </c>
      <c r="V667" s="354">
        <f t="shared" si="631"/>
        <v>6.9549494357287273E-2</v>
      </c>
      <c r="W667" s="354">
        <f t="shared" si="632"/>
        <v>2.372477300399753</v>
      </c>
      <c r="X667" s="354">
        <f t="shared" si="633"/>
        <v>0.18538585115702078</v>
      </c>
      <c r="Y667" s="374">
        <f t="shared" si="634"/>
        <v>0.38517467587804677</v>
      </c>
      <c r="Z667" s="354">
        <f t="shared" si="635"/>
        <v>0.19869621850493271</v>
      </c>
      <c r="AA667" s="354">
        <f t="shared" si="636"/>
        <v>0.18647845737311403</v>
      </c>
      <c r="AB667" s="374">
        <f t="shared" si="637"/>
        <v>2.1043617146883453</v>
      </c>
      <c r="AC667" s="354">
        <f t="shared" si="638"/>
        <v>0.59720223760726765</v>
      </c>
      <c r="AD667" s="354">
        <f t="shared" si="639"/>
        <v>1.2999766132091641</v>
      </c>
      <c r="AE667" s="354">
        <f t="shared" si="640"/>
        <v>0.20718286387191354</v>
      </c>
      <c r="AF667" s="374">
        <f t="shared" si="641"/>
        <v>1.6842242530890059</v>
      </c>
      <c r="AG667" s="354">
        <f t="shared" si="642"/>
        <v>0.10823953854018188</v>
      </c>
      <c r="AH667" s="354">
        <f t="shared" si="643"/>
        <v>0.54459663099984645</v>
      </c>
      <c r="AI667" s="354">
        <f t="shared" si="644"/>
        <v>0</v>
      </c>
      <c r="AJ667" s="354">
        <f t="shared" si="645"/>
        <v>1.0313880835489777</v>
      </c>
      <c r="AK667" s="374">
        <f t="shared" si="646"/>
        <v>1.112418398268175</v>
      </c>
      <c r="AL667" s="354">
        <f t="shared" si="647"/>
        <v>0.31871525534128398</v>
      </c>
      <c r="AM667" s="354">
        <f t="shared" si="648"/>
        <v>0.75170980215336636</v>
      </c>
      <c r="AN667" s="354">
        <f t="shared" si="649"/>
        <v>4.1993340773524714E-2</v>
      </c>
      <c r="AO667" s="374">
        <f t="shared" si="650"/>
        <v>0.6450304474837999</v>
      </c>
      <c r="AP667" s="354">
        <f t="shared" si="651"/>
        <v>0.1479122662765569</v>
      </c>
      <c r="AQ667" s="354">
        <f t="shared" si="652"/>
        <v>0.49711818120724299</v>
      </c>
      <c r="AR667" s="374">
        <f t="shared" si="653"/>
        <v>1.17672334361863</v>
      </c>
      <c r="AS667" s="354">
        <f t="shared" si="654"/>
        <v>0.50991417234748582</v>
      </c>
      <c r="AT667" s="354">
        <f t="shared" si="655"/>
        <v>0.66680917127114414</v>
      </c>
      <c r="AU667" s="355" t="s">
        <v>396</v>
      </c>
      <c r="AV667" s="354" t="s">
        <v>404</v>
      </c>
      <c r="AW667" s="355" t="s">
        <v>405</v>
      </c>
      <c r="AX667" s="355">
        <v>117871</v>
      </c>
      <c r="AY667" s="350" t="s">
        <v>406</v>
      </c>
      <c r="AZ667" s="351">
        <v>45203</v>
      </c>
      <c r="BA667" s="351">
        <v>45203</v>
      </c>
      <c r="BB667" s="350" t="s">
        <v>407</v>
      </c>
    </row>
    <row r="668" spans="1:54" x14ac:dyDescent="0.25">
      <c r="A668" s="348" t="s">
        <v>1526</v>
      </c>
      <c r="B668" s="349">
        <v>5480</v>
      </c>
      <c r="C668" s="350" t="s">
        <v>1501</v>
      </c>
      <c r="D668" s="351">
        <v>45199</v>
      </c>
      <c r="E668" s="352">
        <v>3120</v>
      </c>
      <c r="F668" s="352">
        <v>1</v>
      </c>
      <c r="G668" s="351"/>
      <c r="H668" s="350" t="s">
        <v>438</v>
      </c>
      <c r="I668" s="350" t="s">
        <v>393</v>
      </c>
      <c r="J668" s="354">
        <v>23520</v>
      </c>
      <c r="K668" s="350" t="s">
        <v>394</v>
      </c>
      <c r="L668" s="354">
        <v>3.0016999999999999E-4</v>
      </c>
      <c r="M668" s="354">
        <v>8.32</v>
      </c>
      <c r="N668" s="350" t="s">
        <v>395</v>
      </c>
      <c r="O668" s="354">
        <v>7.06</v>
      </c>
      <c r="P668" s="374">
        <f t="shared" si="625"/>
        <v>0.52422768192672464</v>
      </c>
      <c r="Q668" s="354">
        <f t="shared" si="626"/>
        <v>4.9442667613518419E-2</v>
      </c>
      <c r="R668" s="354">
        <f t="shared" si="627"/>
        <v>8.3345957309502283E-2</v>
      </c>
      <c r="S668" s="354">
        <f t="shared" si="628"/>
        <v>7.42434627582476E-2</v>
      </c>
      <c r="T668" s="354">
        <f t="shared" si="629"/>
        <v>0.31682522104236405</v>
      </c>
      <c r="U668" s="374">
        <f t="shared" si="630"/>
        <v>2.1039531486049072</v>
      </c>
      <c r="V668" s="354">
        <f t="shared" si="631"/>
        <v>5.569314658831858E-2</v>
      </c>
      <c r="W668" s="354">
        <f t="shared" si="632"/>
        <v>1.899808579338397</v>
      </c>
      <c r="X668" s="354">
        <f t="shared" si="633"/>
        <v>0.14845142267819181</v>
      </c>
      <c r="Y668" s="374">
        <f t="shared" si="634"/>
        <v>0.3084363140813618</v>
      </c>
      <c r="Z668" s="354">
        <f t="shared" si="635"/>
        <v>0.15910996515505679</v>
      </c>
      <c r="AA668" s="354">
        <f t="shared" si="636"/>
        <v>0.14932634892630497</v>
      </c>
      <c r="AB668" s="374">
        <f t="shared" si="637"/>
        <v>1.6851096695098202</v>
      </c>
      <c r="AC668" s="354">
        <f t="shared" si="638"/>
        <v>0.47822161856520373</v>
      </c>
      <c r="AD668" s="354">
        <f t="shared" si="639"/>
        <v>1.0409822350240852</v>
      </c>
      <c r="AE668" s="354">
        <f t="shared" si="640"/>
        <v>0.16590581592053133</v>
      </c>
      <c r="AF668" s="374">
        <f t="shared" si="641"/>
        <v>1.3486762065159315</v>
      </c>
      <c r="AG668" s="354">
        <f t="shared" si="642"/>
        <v>8.6674972151521965E-2</v>
      </c>
      <c r="AH668" s="354">
        <f t="shared" si="643"/>
        <v>0.43609662848110897</v>
      </c>
      <c r="AI668" s="354">
        <f t="shared" si="644"/>
        <v>0</v>
      </c>
      <c r="AJ668" s="354">
        <f t="shared" si="645"/>
        <v>0.82590460588330061</v>
      </c>
      <c r="AK668" s="374">
        <f t="shared" si="646"/>
        <v>0.89079124866132975</v>
      </c>
      <c r="AL668" s="354">
        <f t="shared" si="647"/>
        <v>0.25521760581708208</v>
      </c>
      <c r="AM668" s="354">
        <f t="shared" si="648"/>
        <v>0.60194663656554459</v>
      </c>
      <c r="AN668" s="354">
        <f t="shared" si="649"/>
        <v>3.3627006278703138E-2</v>
      </c>
      <c r="AO668" s="374">
        <f t="shared" si="650"/>
        <v>0.51652101280704665</v>
      </c>
      <c r="AP668" s="354">
        <f t="shared" si="651"/>
        <v>0.11844370119547194</v>
      </c>
      <c r="AQ668" s="354">
        <f t="shared" si="652"/>
        <v>0.39807731161157472</v>
      </c>
      <c r="AR668" s="374">
        <f t="shared" si="653"/>
        <v>0.94228471789287793</v>
      </c>
      <c r="AS668" s="354">
        <f t="shared" si="654"/>
        <v>0.40832395706747665</v>
      </c>
      <c r="AT668" s="354">
        <f t="shared" si="655"/>
        <v>0.53396076082540134</v>
      </c>
      <c r="AU668" s="355" t="s">
        <v>396</v>
      </c>
      <c r="AV668" s="354" t="s">
        <v>404</v>
      </c>
      <c r="AW668" s="355" t="s">
        <v>405</v>
      </c>
      <c r="AX668" s="355">
        <v>103321</v>
      </c>
      <c r="AY668" s="350" t="s">
        <v>406</v>
      </c>
      <c r="AZ668" s="351">
        <v>45203</v>
      </c>
      <c r="BA668" s="351">
        <v>45203</v>
      </c>
      <c r="BB668" s="350" t="s">
        <v>407</v>
      </c>
    </row>
    <row r="669" spans="1:54" x14ac:dyDescent="0.25">
      <c r="A669" s="348" t="s">
        <v>1526</v>
      </c>
      <c r="B669" s="349">
        <v>5480</v>
      </c>
      <c r="C669" s="350" t="s">
        <v>1501</v>
      </c>
      <c r="D669" s="351">
        <v>45199</v>
      </c>
      <c r="E669" s="352">
        <v>3120</v>
      </c>
      <c r="F669" s="352">
        <v>1</v>
      </c>
      <c r="G669" s="351"/>
      <c r="H669" s="350" t="s">
        <v>438</v>
      </c>
      <c r="I669" s="350" t="s">
        <v>393</v>
      </c>
      <c r="J669" s="354">
        <v>4410</v>
      </c>
      <c r="K669" s="350" t="s">
        <v>394</v>
      </c>
      <c r="L669" s="354">
        <v>2.9932E-4</v>
      </c>
      <c r="M669" s="354">
        <v>1.56</v>
      </c>
      <c r="N669" s="350" t="s">
        <v>395</v>
      </c>
      <c r="O669" s="354">
        <v>1.32</v>
      </c>
      <c r="P669" s="374">
        <f t="shared" si="625"/>
        <v>9.829269036126087E-2</v>
      </c>
      <c r="Q669" s="354">
        <f t="shared" si="626"/>
        <v>9.2705001775347032E-3</v>
      </c>
      <c r="R669" s="354">
        <f t="shared" si="627"/>
        <v>1.5627366995531678E-2</v>
      </c>
      <c r="S669" s="354">
        <f t="shared" si="628"/>
        <v>1.3920649267171424E-2</v>
      </c>
      <c r="T669" s="354">
        <f t="shared" si="629"/>
        <v>5.9404728945443255E-2</v>
      </c>
      <c r="U669" s="374">
        <f t="shared" si="630"/>
        <v>0.39449121536342013</v>
      </c>
      <c r="V669" s="354">
        <f t="shared" si="631"/>
        <v>1.0442464985309735E-2</v>
      </c>
      <c r="W669" s="354">
        <f t="shared" si="632"/>
        <v>0.35621410862594943</v>
      </c>
      <c r="X669" s="354">
        <f t="shared" si="633"/>
        <v>2.7834641752160966E-2</v>
      </c>
      <c r="Y669" s="374">
        <f t="shared" si="634"/>
        <v>5.783180889025534E-2</v>
      </c>
      <c r="Z669" s="354">
        <f t="shared" si="635"/>
        <v>2.9833118466573154E-2</v>
      </c>
      <c r="AA669" s="354">
        <f t="shared" si="636"/>
        <v>2.7998690423682183E-2</v>
      </c>
      <c r="AB669" s="374">
        <f t="shared" si="637"/>
        <v>0.31595806303309132</v>
      </c>
      <c r="AC669" s="354">
        <f t="shared" si="638"/>
        <v>8.9666553480975714E-2</v>
      </c>
      <c r="AD669" s="354">
        <f t="shared" si="639"/>
        <v>0.19518416906701597</v>
      </c>
      <c r="AE669" s="354">
        <f t="shared" si="640"/>
        <v>3.1107340485099628E-2</v>
      </c>
      <c r="AF669" s="374">
        <f t="shared" si="641"/>
        <v>0.25287678872173713</v>
      </c>
      <c r="AG669" s="354">
        <f t="shared" si="642"/>
        <v>1.6251557278410367E-2</v>
      </c>
      <c r="AH669" s="354">
        <f t="shared" si="643"/>
        <v>8.1768117840207932E-2</v>
      </c>
      <c r="AI669" s="354">
        <f t="shared" si="644"/>
        <v>0</v>
      </c>
      <c r="AJ669" s="354">
        <f t="shared" si="645"/>
        <v>0.15485711360311885</v>
      </c>
      <c r="AK669" s="374">
        <f t="shared" si="646"/>
        <v>0.16702335912399932</v>
      </c>
      <c r="AL669" s="354">
        <f t="shared" si="647"/>
        <v>4.7853301090702884E-2</v>
      </c>
      <c r="AM669" s="354">
        <f t="shared" si="648"/>
        <v>0.1128649943560396</v>
      </c>
      <c r="AN669" s="354">
        <f t="shared" si="649"/>
        <v>6.3050636772568379E-3</v>
      </c>
      <c r="AO669" s="374">
        <f t="shared" si="650"/>
        <v>9.6847689901321254E-2</v>
      </c>
      <c r="AP669" s="354">
        <f t="shared" si="651"/>
        <v>2.220819397415099E-2</v>
      </c>
      <c r="AQ669" s="354">
        <f t="shared" si="652"/>
        <v>7.4639495927170271E-2</v>
      </c>
      <c r="AR669" s="374">
        <f t="shared" si="653"/>
        <v>0.17667838460491461</v>
      </c>
      <c r="AS669" s="354">
        <f t="shared" si="654"/>
        <v>7.6560741950151875E-2</v>
      </c>
      <c r="AT669" s="354">
        <f t="shared" si="655"/>
        <v>0.10011764265476275</v>
      </c>
      <c r="AU669" s="355" t="s">
        <v>396</v>
      </c>
      <c r="AV669" s="354" t="s">
        <v>404</v>
      </c>
      <c r="AW669" s="355" t="s">
        <v>405</v>
      </c>
      <c r="AX669" s="355">
        <v>117427</v>
      </c>
      <c r="AY669" s="350" t="s">
        <v>406</v>
      </c>
      <c r="AZ669" s="351">
        <v>45203</v>
      </c>
      <c r="BA669" s="351">
        <v>45203</v>
      </c>
      <c r="BB669" s="350" t="s">
        <v>407</v>
      </c>
    </row>
    <row r="670" spans="1:54" x14ac:dyDescent="0.25">
      <c r="A670" s="348" t="s">
        <v>1526</v>
      </c>
      <c r="B670" s="349">
        <v>5480</v>
      </c>
      <c r="C670" s="350" t="s">
        <v>1501</v>
      </c>
      <c r="D670" s="351">
        <v>45199</v>
      </c>
      <c r="E670" s="352">
        <v>3120</v>
      </c>
      <c r="F670" s="352">
        <v>1</v>
      </c>
      <c r="G670" s="351"/>
      <c r="H670" s="350" t="s">
        <v>438</v>
      </c>
      <c r="I670" s="350" t="s">
        <v>393</v>
      </c>
      <c r="J670" s="354">
        <v>23520</v>
      </c>
      <c r="K670" s="350" t="s">
        <v>394</v>
      </c>
      <c r="L670" s="354">
        <v>3.0016999999999999E-4</v>
      </c>
      <c r="M670" s="354">
        <v>8.32</v>
      </c>
      <c r="N670" s="350" t="s">
        <v>395</v>
      </c>
      <c r="O670" s="354">
        <v>7.06</v>
      </c>
      <c r="P670" s="374">
        <f t="shared" si="625"/>
        <v>0.52422768192672464</v>
      </c>
      <c r="Q670" s="354">
        <f t="shared" si="626"/>
        <v>4.9442667613518419E-2</v>
      </c>
      <c r="R670" s="354">
        <f t="shared" si="627"/>
        <v>8.3345957309502283E-2</v>
      </c>
      <c r="S670" s="354">
        <f t="shared" si="628"/>
        <v>7.42434627582476E-2</v>
      </c>
      <c r="T670" s="354">
        <f t="shared" si="629"/>
        <v>0.31682522104236405</v>
      </c>
      <c r="U670" s="374">
        <f t="shared" si="630"/>
        <v>2.1039531486049072</v>
      </c>
      <c r="V670" s="354">
        <f t="shared" si="631"/>
        <v>5.569314658831858E-2</v>
      </c>
      <c r="W670" s="354">
        <f t="shared" si="632"/>
        <v>1.899808579338397</v>
      </c>
      <c r="X670" s="354">
        <f t="shared" si="633"/>
        <v>0.14845142267819181</v>
      </c>
      <c r="Y670" s="374">
        <f t="shared" si="634"/>
        <v>0.3084363140813618</v>
      </c>
      <c r="Z670" s="354">
        <f t="shared" si="635"/>
        <v>0.15910996515505679</v>
      </c>
      <c r="AA670" s="354">
        <f t="shared" si="636"/>
        <v>0.14932634892630497</v>
      </c>
      <c r="AB670" s="374">
        <f t="shared" si="637"/>
        <v>1.6851096695098202</v>
      </c>
      <c r="AC670" s="354">
        <f t="shared" si="638"/>
        <v>0.47822161856520373</v>
      </c>
      <c r="AD670" s="354">
        <f t="shared" si="639"/>
        <v>1.0409822350240852</v>
      </c>
      <c r="AE670" s="354">
        <f t="shared" si="640"/>
        <v>0.16590581592053133</v>
      </c>
      <c r="AF670" s="374">
        <f t="shared" si="641"/>
        <v>1.3486762065159315</v>
      </c>
      <c r="AG670" s="354">
        <f t="shared" si="642"/>
        <v>8.6674972151521965E-2</v>
      </c>
      <c r="AH670" s="354">
        <f t="shared" si="643"/>
        <v>0.43609662848110897</v>
      </c>
      <c r="AI670" s="354">
        <f t="shared" si="644"/>
        <v>0</v>
      </c>
      <c r="AJ670" s="354">
        <f t="shared" si="645"/>
        <v>0.82590460588330061</v>
      </c>
      <c r="AK670" s="374">
        <f t="shared" si="646"/>
        <v>0.89079124866132975</v>
      </c>
      <c r="AL670" s="354">
        <f t="shared" si="647"/>
        <v>0.25521760581708208</v>
      </c>
      <c r="AM670" s="354">
        <f t="shared" si="648"/>
        <v>0.60194663656554459</v>
      </c>
      <c r="AN670" s="354">
        <f t="shared" si="649"/>
        <v>3.3627006278703138E-2</v>
      </c>
      <c r="AO670" s="374">
        <f t="shared" si="650"/>
        <v>0.51652101280704665</v>
      </c>
      <c r="AP670" s="354">
        <f t="shared" si="651"/>
        <v>0.11844370119547194</v>
      </c>
      <c r="AQ670" s="354">
        <f t="shared" si="652"/>
        <v>0.39807731161157472</v>
      </c>
      <c r="AR670" s="374">
        <f t="shared" si="653"/>
        <v>0.94228471789287793</v>
      </c>
      <c r="AS670" s="354">
        <f t="shared" si="654"/>
        <v>0.40832395706747665</v>
      </c>
      <c r="AT670" s="354">
        <f t="shared" si="655"/>
        <v>0.53396076082540134</v>
      </c>
      <c r="AU670" s="355" t="s">
        <v>396</v>
      </c>
      <c r="AV670" s="354" t="s">
        <v>404</v>
      </c>
      <c r="AW670" s="355" t="s">
        <v>405</v>
      </c>
      <c r="AX670" s="355">
        <v>117872</v>
      </c>
      <c r="AY670" s="350" t="s">
        <v>406</v>
      </c>
      <c r="AZ670" s="351">
        <v>45203</v>
      </c>
      <c r="BA670" s="351">
        <v>45203</v>
      </c>
      <c r="BB670" s="350" t="s">
        <v>407</v>
      </c>
    </row>
    <row r="671" spans="1:54" x14ac:dyDescent="0.25">
      <c r="A671" s="348" t="s">
        <v>1526</v>
      </c>
      <c r="B671" s="349">
        <v>5480</v>
      </c>
      <c r="C671" s="350" t="s">
        <v>1501</v>
      </c>
      <c r="D671" s="351">
        <v>45199</v>
      </c>
      <c r="E671" s="352">
        <v>3120</v>
      </c>
      <c r="F671" s="352">
        <v>1</v>
      </c>
      <c r="G671" s="351"/>
      <c r="H671" s="350" t="s">
        <v>438</v>
      </c>
      <c r="I671" s="350" t="s">
        <v>393</v>
      </c>
      <c r="J671" s="354">
        <v>14700</v>
      </c>
      <c r="K671" s="350" t="s">
        <v>394</v>
      </c>
      <c r="L671" s="354">
        <v>2.9999999999999997E-4</v>
      </c>
      <c r="M671" s="354">
        <v>5.2</v>
      </c>
      <c r="N671" s="350" t="s">
        <v>395</v>
      </c>
      <c r="O671" s="354">
        <v>4.41</v>
      </c>
      <c r="P671" s="374">
        <f t="shared" si="625"/>
        <v>0.3276423012042029</v>
      </c>
      <c r="Q671" s="354">
        <f t="shared" si="626"/>
        <v>3.0901667258449013E-2</v>
      </c>
      <c r="R671" s="354">
        <f t="shared" si="627"/>
        <v>5.2091223318438927E-2</v>
      </c>
      <c r="S671" s="354">
        <f t="shared" si="628"/>
        <v>4.6402164223904745E-2</v>
      </c>
      <c r="T671" s="354">
        <f t="shared" si="629"/>
        <v>0.19801576315147754</v>
      </c>
      <c r="U671" s="374">
        <f t="shared" si="630"/>
        <v>1.314970717878067</v>
      </c>
      <c r="V671" s="354">
        <f t="shared" si="631"/>
        <v>3.480821661769911E-2</v>
      </c>
      <c r="W671" s="354">
        <f t="shared" si="632"/>
        <v>1.187380362086498</v>
      </c>
      <c r="X671" s="354">
        <f t="shared" si="633"/>
        <v>9.2782139173869876E-2</v>
      </c>
      <c r="Y671" s="374">
        <f t="shared" si="634"/>
        <v>0.19277269630085114</v>
      </c>
      <c r="Z671" s="354">
        <f t="shared" si="635"/>
        <v>9.9443728221910513E-2</v>
      </c>
      <c r="AA671" s="354">
        <f t="shared" si="636"/>
        <v>9.3328968078940616E-2</v>
      </c>
      <c r="AB671" s="374">
        <f t="shared" si="637"/>
        <v>1.0531935434436377</v>
      </c>
      <c r="AC671" s="354">
        <f t="shared" si="638"/>
        <v>0.29888851160325236</v>
      </c>
      <c r="AD671" s="354">
        <f t="shared" si="639"/>
        <v>0.65061389689005322</v>
      </c>
      <c r="AE671" s="354">
        <f t="shared" si="640"/>
        <v>0.1036911349503321</v>
      </c>
      <c r="AF671" s="374">
        <f t="shared" si="641"/>
        <v>0.84292262907245719</v>
      </c>
      <c r="AG671" s="354">
        <f t="shared" si="642"/>
        <v>5.4171857594701223E-2</v>
      </c>
      <c r="AH671" s="354">
        <f t="shared" si="643"/>
        <v>0.27256039280069311</v>
      </c>
      <c r="AI671" s="354">
        <f t="shared" si="644"/>
        <v>0</v>
      </c>
      <c r="AJ671" s="354">
        <f t="shared" si="645"/>
        <v>0.51619037867706286</v>
      </c>
      <c r="AK671" s="374">
        <f t="shared" si="646"/>
        <v>0.55674453041333105</v>
      </c>
      <c r="AL671" s="354">
        <f t="shared" si="647"/>
        <v>0.15951100363567627</v>
      </c>
      <c r="AM671" s="354">
        <f t="shared" si="648"/>
        <v>0.37621664785346531</v>
      </c>
      <c r="AN671" s="354">
        <f t="shared" si="649"/>
        <v>2.101687892418946E-2</v>
      </c>
      <c r="AO671" s="374">
        <f t="shared" si="650"/>
        <v>0.32282563300440414</v>
      </c>
      <c r="AP671" s="354">
        <f t="shared" si="651"/>
        <v>7.4027313247169962E-2</v>
      </c>
      <c r="AQ671" s="354">
        <f t="shared" si="652"/>
        <v>0.24879831975723418</v>
      </c>
      <c r="AR671" s="374">
        <f t="shared" si="653"/>
        <v>0.58892794868304876</v>
      </c>
      <c r="AS671" s="354">
        <f t="shared" si="654"/>
        <v>0.25520247316717293</v>
      </c>
      <c r="AT671" s="354">
        <f t="shared" si="655"/>
        <v>0.33372547551587589</v>
      </c>
      <c r="AU671" s="355" t="s">
        <v>396</v>
      </c>
      <c r="AV671" s="354" t="s">
        <v>404</v>
      </c>
      <c r="AW671" s="355" t="s">
        <v>405</v>
      </c>
      <c r="AX671" s="355">
        <v>103328</v>
      </c>
      <c r="AY671" s="350" t="s">
        <v>406</v>
      </c>
      <c r="AZ671" s="351">
        <v>45203</v>
      </c>
      <c r="BA671" s="351">
        <v>45203</v>
      </c>
      <c r="BB671" s="350" t="s">
        <v>407</v>
      </c>
    </row>
    <row r="672" spans="1:54" x14ac:dyDescent="0.25">
      <c r="A672" s="348" t="s">
        <v>1526</v>
      </c>
      <c r="B672" s="349">
        <v>5480</v>
      </c>
      <c r="C672" s="350" t="s">
        <v>1501</v>
      </c>
      <c r="D672" s="351">
        <v>45199</v>
      </c>
      <c r="E672" s="352">
        <v>3120</v>
      </c>
      <c r="F672" s="352">
        <v>1</v>
      </c>
      <c r="G672" s="351"/>
      <c r="H672" s="350" t="s">
        <v>438</v>
      </c>
      <c r="I672" s="350" t="s">
        <v>393</v>
      </c>
      <c r="J672" s="354">
        <v>2940</v>
      </c>
      <c r="K672" s="350" t="s">
        <v>394</v>
      </c>
      <c r="L672" s="354">
        <v>2.9932E-4</v>
      </c>
      <c r="M672" s="354">
        <v>1.04</v>
      </c>
      <c r="N672" s="350" t="s">
        <v>395</v>
      </c>
      <c r="O672" s="354">
        <v>0.88</v>
      </c>
      <c r="P672" s="374">
        <f t="shared" si="625"/>
        <v>6.552846024084058E-2</v>
      </c>
      <c r="Q672" s="354">
        <f t="shared" si="626"/>
        <v>6.1803334516898024E-3</v>
      </c>
      <c r="R672" s="354">
        <f t="shared" si="627"/>
        <v>1.0418244663687785E-2</v>
      </c>
      <c r="S672" s="354">
        <f t="shared" si="628"/>
        <v>9.28043284478095E-3</v>
      </c>
      <c r="T672" s="354">
        <f t="shared" si="629"/>
        <v>3.9603152630295506E-2</v>
      </c>
      <c r="U672" s="374">
        <f t="shared" si="630"/>
        <v>0.2629941435756134</v>
      </c>
      <c r="V672" s="354">
        <f t="shared" si="631"/>
        <v>6.9616433235398225E-3</v>
      </c>
      <c r="W672" s="354">
        <f t="shared" si="632"/>
        <v>0.23747607241729962</v>
      </c>
      <c r="X672" s="354">
        <f t="shared" si="633"/>
        <v>1.8556427834773976E-2</v>
      </c>
      <c r="Y672" s="374">
        <f t="shared" si="634"/>
        <v>3.8554539260170224E-2</v>
      </c>
      <c r="Z672" s="354">
        <f t="shared" si="635"/>
        <v>1.9888745644382099E-2</v>
      </c>
      <c r="AA672" s="354">
        <f t="shared" si="636"/>
        <v>1.8665793615788122E-2</v>
      </c>
      <c r="AB672" s="374">
        <f t="shared" si="637"/>
        <v>0.21063870868872753</v>
      </c>
      <c r="AC672" s="354">
        <f t="shared" si="638"/>
        <v>5.9777702320650467E-2</v>
      </c>
      <c r="AD672" s="354">
        <f t="shared" si="639"/>
        <v>0.13012277937801064</v>
      </c>
      <c r="AE672" s="354">
        <f t="shared" si="640"/>
        <v>2.0738226990066416E-2</v>
      </c>
      <c r="AF672" s="374">
        <f t="shared" si="641"/>
        <v>0.16858452581449143</v>
      </c>
      <c r="AG672" s="354">
        <f t="shared" si="642"/>
        <v>1.0834371518940246E-2</v>
      </c>
      <c r="AH672" s="354">
        <f t="shared" si="643"/>
        <v>5.4512078560138622E-2</v>
      </c>
      <c r="AI672" s="354">
        <f t="shared" si="644"/>
        <v>0</v>
      </c>
      <c r="AJ672" s="354">
        <f t="shared" si="645"/>
        <v>0.10323807573541258</v>
      </c>
      <c r="AK672" s="374">
        <f t="shared" si="646"/>
        <v>0.11134890608266622</v>
      </c>
      <c r="AL672" s="354">
        <f t="shared" si="647"/>
        <v>3.190220072713526E-2</v>
      </c>
      <c r="AM672" s="354">
        <f t="shared" si="648"/>
        <v>7.5243329570693074E-2</v>
      </c>
      <c r="AN672" s="354">
        <f t="shared" si="649"/>
        <v>4.2033757848378922E-3</v>
      </c>
      <c r="AO672" s="374">
        <f t="shared" si="650"/>
        <v>6.4565126600880832E-2</v>
      </c>
      <c r="AP672" s="354">
        <f t="shared" si="651"/>
        <v>1.4805462649433993E-2</v>
      </c>
      <c r="AQ672" s="354">
        <f t="shared" si="652"/>
        <v>4.9759663951446841E-2</v>
      </c>
      <c r="AR672" s="374">
        <f t="shared" si="653"/>
        <v>0.11778558973660974</v>
      </c>
      <c r="AS672" s="354">
        <f t="shared" si="654"/>
        <v>5.1040494633434581E-2</v>
      </c>
      <c r="AT672" s="354">
        <f t="shared" si="655"/>
        <v>6.6745095103175167E-2</v>
      </c>
      <c r="AU672" s="355" t="s">
        <v>396</v>
      </c>
      <c r="AV672" s="354" t="s">
        <v>404</v>
      </c>
      <c r="AW672" s="355" t="s">
        <v>405</v>
      </c>
      <c r="AX672" s="355">
        <v>117293</v>
      </c>
      <c r="AY672" s="350" t="s">
        <v>406</v>
      </c>
      <c r="AZ672" s="351">
        <v>45203</v>
      </c>
      <c r="BA672" s="351">
        <v>45203</v>
      </c>
      <c r="BB672" s="350" t="s">
        <v>407</v>
      </c>
    </row>
    <row r="673" spans="1:54" x14ac:dyDescent="0.25">
      <c r="A673" s="348" t="s">
        <v>1526</v>
      </c>
      <c r="B673" s="349">
        <v>5480</v>
      </c>
      <c r="C673" s="350" t="s">
        <v>1501</v>
      </c>
      <c r="D673" s="351">
        <v>45199</v>
      </c>
      <c r="E673" s="352">
        <v>3130</v>
      </c>
      <c r="F673" s="352">
        <v>1</v>
      </c>
      <c r="G673" s="351"/>
      <c r="H673" s="350" t="s">
        <v>439</v>
      </c>
      <c r="I673" s="350" t="s">
        <v>393</v>
      </c>
      <c r="J673" s="354">
        <v>212359.8</v>
      </c>
      <c r="K673" s="350" t="s">
        <v>394</v>
      </c>
      <c r="L673" s="354">
        <v>3.0001000000000002E-4</v>
      </c>
      <c r="M673" s="354">
        <v>75.08</v>
      </c>
      <c r="N673" s="350" t="s">
        <v>395</v>
      </c>
      <c r="O673" s="354">
        <v>63.71</v>
      </c>
      <c r="P673" s="374">
        <f t="shared" si="625"/>
        <v>4.7306507643099138</v>
      </c>
      <c r="Q673" s="354">
        <f t="shared" si="626"/>
        <v>0.44617253418545227</v>
      </c>
      <c r="R673" s="354">
        <f t="shared" si="627"/>
        <v>0.75211712437469125</v>
      </c>
      <c r="S673" s="354">
        <f t="shared" si="628"/>
        <v>0.66997586344822468</v>
      </c>
      <c r="T673" s="354">
        <f t="shared" si="629"/>
        <v>2.8590429802717177</v>
      </c>
      <c r="U673" s="374">
        <f t="shared" si="630"/>
        <v>18.986154134285627</v>
      </c>
      <c r="V673" s="354">
        <f t="shared" si="631"/>
        <v>0.5025770968570864</v>
      </c>
      <c r="W673" s="354">
        <f t="shared" si="632"/>
        <v>17.143945689510435</v>
      </c>
      <c r="X673" s="354">
        <f t="shared" si="633"/>
        <v>1.3396313479181057</v>
      </c>
      <c r="Y673" s="374">
        <f t="shared" si="634"/>
        <v>2.7833411612053656</v>
      </c>
      <c r="Z673" s="354">
        <f t="shared" si="635"/>
        <v>1.4358144451732768</v>
      </c>
      <c r="AA673" s="354">
        <f t="shared" si="636"/>
        <v>1.3475267160320885</v>
      </c>
      <c r="AB673" s="374">
        <f t="shared" si="637"/>
        <v>15.206494469566984</v>
      </c>
      <c r="AC673" s="354">
        <f t="shared" si="638"/>
        <v>4.3154902790715743</v>
      </c>
      <c r="AD673" s="354">
        <f t="shared" si="639"/>
        <v>9.3938637266356135</v>
      </c>
      <c r="AE673" s="354">
        <f t="shared" si="640"/>
        <v>1.4971404638597949</v>
      </c>
      <c r="AF673" s="374">
        <f t="shared" si="641"/>
        <v>12.170505959761554</v>
      </c>
      <c r="AG673" s="354">
        <f t="shared" si="642"/>
        <v>0.78215828234810914</v>
      </c>
      <c r="AH673" s="354">
        <f t="shared" si="643"/>
        <v>3.9353527483607764</v>
      </c>
      <c r="AI673" s="354">
        <f t="shared" si="644"/>
        <v>0</v>
      </c>
      <c r="AJ673" s="354">
        <f t="shared" si="645"/>
        <v>7.4529949290526689</v>
      </c>
      <c r="AK673" s="374">
        <f t="shared" si="646"/>
        <v>8.0385344891217105</v>
      </c>
      <c r="AL673" s="354">
        <f t="shared" si="647"/>
        <v>2.3030934909551104</v>
      </c>
      <c r="AM673" s="354">
        <f t="shared" si="648"/>
        <v>5.431989600161188</v>
      </c>
      <c r="AN673" s="354">
        <f t="shared" si="649"/>
        <v>0.30345139800541243</v>
      </c>
      <c r="AO673" s="374">
        <f t="shared" si="650"/>
        <v>4.6611054857635894</v>
      </c>
      <c r="AP673" s="354">
        <f t="shared" si="651"/>
        <v>1.0688405151149079</v>
      </c>
      <c r="AQ673" s="354">
        <f t="shared" si="652"/>
        <v>3.5922649706486816</v>
      </c>
      <c r="AR673" s="374">
        <f t="shared" si="653"/>
        <v>8.5032135359852496</v>
      </c>
      <c r="AS673" s="354">
        <f t="shared" si="654"/>
        <v>3.6847310933444888</v>
      </c>
      <c r="AT673" s="354">
        <f t="shared" si="655"/>
        <v>4.8184824426407609</v>
      </c>
      <c r="AU673" s="355" t="s">
        <v>396</v>
      </c>
      <c r="AV673" s="354" t="s">
        <v>404</v>
      </c>
      <c r="AW673" s="355" t="s">
        <v>405</v>
      </c>
      <c r="AX673" s="355">
        <v>102955</v>
      </c>
      <c r="AY673" s="350" t="s">
        <v>406</v>
      </c>
      <c r="AZ673" s="351">
        <v>45203</v>
      </c>
      <c r="BA673" s="351">
        <v>45203</v>
      </c>
      <c r="BB673" s="350" t="s">
        <v>407</v>
      </c>
    </row>
    <row r="674" spans="1:54" x14ac:dyDescent="0.25">
      <c r="A674" s="348" t="s">
        <v>1526</v>
      </c>
      <c r="B674" s="349">
        <v>5480</v>
      </c>
      <c r="C674" s="350" t="s">
        <v>1501</v>
      </c>
      <c r="D674" s="351">
        <v>45199</v>
      </c>
      <c r="E674" s="352">
        <v>3130</v>
      </c>
      <c r="F674" s="352">
        <v>1</v>
      </c>
      <c r="G674" s="351"/>
      <c r="H674" s="350" t="s">
        <v>439</v>
      </c>
      <c r="I674" s="350" t="s">
        <v>393</v>
      </c>
      <c r="J674" s="354">
        <v>55502.85</v>
      </c>
      <c r="K674" s="350" t="s">
        <v>394</v>
      </c>
      <c r="L674" s="354">
        <v>2.9998500000000001E-4</v>
      </c>
      <c r="M674" s="354">
        <v>19.62</v>
      </c>
      <c r="N674" s="350" t="s">
        <v>395</v>
      </c>
      <c r="O674" s="354">
        <v>16.649999999999999</v>
      </c>
      <c r="P674" s="374">
        <f t="shared" si="625"/>
        <v>1.2362196056973962</v>
      </c>
      <c r="Q674" s="354">
        <f t="shared" si="626"/>
        <v>0.11659436761745569</v>
      </c>
      <c r="R674" s="354">
        <f t="shared" si="627"/>
        <v>0.19654419259764841</v>
      </c>
      <c r="S674" s="354">
        <f t="shared" si="628"/>
        <v>0.17507893501404059</v>
      </c>
      <c r="T674" s="354">
        <f t="shared" si="629"/>
        <v>0.74712870635230555</v>
      </c>
      <c r="U674" s="374">
        <f t="shared" si="630"/>
        <v>4.9614856701476304</v>
      </c>
      <c r="V674" s="354">
        <f t="shared" si="631"/>
        <v>0.13133407885370321</v>
      </c>
      <c r="W674" s="354">
        <f t="shared" si="632"/>
        <v>4.4800774431032879</v>
      </c>
      <c r="X674" s="354">
        <f t="shared" si="633"/>
        <v>0.35007414819063987</v>
      </c>
      <c r="Y674" s="374">
        <f t="shared" si="634"/>
        <v>0.7273462118120575</v>
      </c>
      <c r="Z674" s="354">
        <f t="shared" si="635"/>
        <v>0.37520883609882388</v>
      </c>
      <c r="AA674" s="354">
        <f t="shared" si="636"/>
        <v>0.35213737571323361</v>
      </c>
      <c r="AB674" s="374">
        <f t="shared" si="637"/>
        <v>3.9737802543008023</v>
      </c>
      <c r="AC674" s="354">
        <f t="shared" si="638"/>
        <v>1.1277293457030406</v>
      </c>
      <c r="AD674" s="354">
        <f t="shared" si="639"/>
        <v>2.4548162801890085</v>
      </c>
      <c r="AE674" s="354">
        <f t="shared" si="640"/>
        <v>0.391234628408753</v>
      </c>
      <c r="AF674" s="374">
        <f t="shared" si="641"/>
        <v>3.1804119196926175</v>
      </c>
      <c r="AG674" s="354">
        <f t="shared" si="642"/>
        <v>0.20439458577077657</v>
      </c>
      <c r="AH674" s="354">
        <f t="shared" si="643"/>
        <v>1.0283913282210768</v>
      </c>
      <c r="AI674" s="354">
        <f t="shared" si="644"/>
        <v>0</v>
      </c>
      <c r="AJ674" s="354">
        <f t="shared" si="645"/>
        <v>1.9476260057007644</v>
      </c>
      <c r="AK674" s="374">
        <f t="shared" si="646"/>
        <v>2.1006399397518378</v>
      </c>
      <c r="AL674" s="354">
        <f t="shared" si="647"/>
        <v>0.60184728679460942</v>
      </c>
      <c r="AM674" s="354">
        <f t="shared" si="648"/>
        <v>1.4194943520932675</v>
      </c>
      <c r="AN674" s="354">
        <f t="shared" si="649"/>
        <v>7.9298300863961016E-2</v>
      </c>
      <c r="AO674" s="374">
        <f t="shared" si="650"/>
        <v>1.2180459460666173</v>
      </c>
      <c r="AP674" s="354">
        <f t="shared" si="651"/>
        <v>0.2793107472902836</v>
      </c>
      <c r="AQ674" s="354">
        <f t="shared" si="652"/>
        <v>0.93873519877633371</v>
      </c>
      <c r="AR674" s="374">
        <f t="shared" si="653"/>
        <v>2.2220704525310415</v>
      </c>
      <c r="AS674" s="354">
        <f t="shared" si="654"/>
        <v>0.96289856221921777</v>
      </c>
      <c r="AT674" s="354">
        <f t="shared" si="655"/>
        <v>1.2591718903118239</v>
      </c>
      <c r="AU674" s="355" t="s">
        <v>396</v>
      </c>
      <c r="AV674" s="354" t="s">
        <v>404</v>
      </c>
      <c r="AW674" s="355" t="s">
        <v>405</v>
      </c>
      <c r="AX674" s="355">
        <v>103265</v>
      </c>
      <c r="AY674" s="350" t="s">
        <v>406</v>
      </c>
      <c r="AZ674" s="351">
        <v>45203</v>
      </c>
      <c r="BA674" s="351">
        <v>45203</v>
      </c>
      <c r="BB674" s="350" t="s">
        <v>407</v>
      </c>
    </row>
    <row r="675" spans="1:54" x14ac:dyDescent="0.25">
      <c r="A675" s="348" t="s">
        <v>1526</v>
      </c>
      <c r="B675" s="349">
        <v>5480</v>
      </c>
      <c r="C675" s="350" t="s">
        <v>1501</v>
      </c>
      <c r="D675" s="351">
        <v>45199</v>
      </c>
      <c r="E675" s="352">
        <v>3130</v>
      </c>
      <c r="F675" s="352">
        <v>1</v>
      </c>
      <c r="G675" s="351"/>
      <c r="H675" s="350" t="s">
        <v>439</v>
      </c>
      <c r="I675" s="350" t="s">
        <v>393</v>
      </c>
      <c r="J675" s="354">
        <v>532244</v>
      </c>
      <c r="K675" s="350" t="s">
        <v>394</v>
      </c>
      <c r="L675" s="354">
        <v>2.9999399999999999E-4</v>
      </c>
      <c r="M675" s="354">
        <v>188.17</v>
      </c>
      <c r="N675" s="350" t="s">
        <v>395</v>
      </c>
      <c r="O675" s="354">
        <v>159.66999999999999</v>
      </c>
      <c r="P675" s="374">
        <f t="shared" si="625"/>
        <v>11.856240734152856</v>
      </c>
      <c r="Q675" s="354">
        <f t="shared" si="626"/>
        <v>1.1182243707735289</v>
      </c>
      <c r="R675" s="354">
        <f t="shared" si="627"/>
        <v>1.8850010561212791</v>
      </c>
      <c r="S675" s="354">
        <f t="shared" si="628"/>
        <v>1.6791337003869529</v>
      </c>
      <c r="T675" s="354">
        <f t="shared" si="629"/>
        <v>7.1655050292718308</v>
      </c>
      <c r="U675" s="374">
        <f t="shared" si="630"/>
        <v>47.584238458291509</v>
      </c>
      <c r="V675" s="354">
        <f t="shared" si="631"/>
        <v>1.259588869413931</v>
      </c>
      <c r="W675" s="354">
        <f t="shared" si="632"/>
        <v>42.967185141118527</v>
      </c>
      <c r="X675" s="354">
        <f t="shared" si="633"/>
        <v>3.3574644477590563</v>
      </c>
      <c r="Y675" s="374">
        <f t="shared" si="634"/>
        <v>6.9757765890252221</v>
      </c>
      <c r="Z675" s="354">
        <f t="shared" si="635"/>
        <v>3.5985242960609423</v>
      </c>
      <c r="AA675" s="354">
        <f t="shared" si="636"/>
        <v>3.3772522929642794</v>
      </c>
      <c r="AB675" s="374">
        <f t="shared" si="637"/>
        <v>38.11142866726717</v>
      </c>
      <c r="AC675" s="354">
        <f t="shared" si="638"/>
        <v>10.815740620843075</v>
      </c>
      <c r="AD675" s="354">
        <f t="shared" si="639"/>
        <v>23.543464803423326</v>
      </c>
      <c r="AE675" s="354">
        <f t="shared" si="640"/>
        <v>3.7522232430007669</v>
      </c>
      <c r="AF675" s="374">
        <f t="shared" si="641"/>
        <v>30.502452137031586</v>
      </c>
      <c r="AG675" s="354">
        <f t="shared" si="642"/>
        <v>1.9602920083836401</v>
      </c>
      <c r="AH675" s="354">
        <f t="shared" si="643"/>
        <v>9.8630171371743103</v>
      </c>
      <c r="AI675" s="354">
        <f t="shared" si="644"/>
        <v>0</v>
      </c>
      <c r="AJ675" s="354">
        <f t="shared" si="645"/>
        <v>18.679142991473636</v>
      </c>
      <c r="AK675" s="374">
        <f t="shared" si="646"/>
        <v>20.146657363053173</v>
      </c>
      <c r="AL675" s="354">
        <f t="shared" si="647"/>
        <v>5.7721510681010004</v>
      </c>
      <c r="AM675" s="354">
        <f t="shared" si="648"/>
        <v>13.613978197420494</v>
      </c>
      <c r="AN675" s="354">
        <f t="shared" si="649"/>
        <v>0.76052809753167894</v>
      </c>
      <c r="AO675" s="374">
        <f t="shared" si="650"/>
        <v>11.68194218508437</v>
      </c>
      <c r="AP675" s="354">
        <f t="shared" si="651"/>
        <v>2.6787922180230712</v>
      </c>
      <c r="AQ675" s="354">
        <f t="shared" si="652"/>
        <v>9.0031499670612991</v>
      </c>
      <c r="AR675" s="374">
        <f t="shared" si="653"/>
        <v>21.311263866094091</v>
      </c>
      <c r="AS675" s="354">
        <f t="shared" si="654"/>
        <v>9.2348941107436389</v>
      </c>
      <c r="AT675" s="354">
        <f t="shared" si="655"/>
        <v>12.076369755350452</v>
      </c>
      <c r="AU675" s="355" t="s">
        <v>396</v>
      </c>
      <c r="AV675" s="354" t="s">
        <v>404</v>
      </c>
      <c r="AW675" s="355" t="s">
        <v>405</v>
      </c>
      <c r="AX675" s="355">
        <v>117871</v>
      </c>
      <c r="AY675" s="350" t="s">
        <v>406</v>
      </c>
      <c r="AZ675" s="351">
        <v>45203</v>
      </c>
      <c r="BA675" s="351">
        <v>45203</v>
      </c>
      <c r="BB675" s="350" t="s">
        <v>407</v>
      </c>
    </row>
    <row r="676" spans="1:54" x14ac:dyDescent="0.25">
      <c r="A676" s="348" t="s">
        <v>1526</v>
      </c>
      <c r="B676" s="349">
        <v>5480</v>
      </c>
      <c r="C676" s="350" t="s">
        <v>1501</v>
      </c>
      <c r="D676" s="351">
        <v>45199</v>
      </c>
      <c r="E676" s="352">
        <v>3130</v>
      </c>
      <c r="F676" s="352">
        <v>1</v>
      </c>
      <c r="G676" s="351"/>
      <c r="H676" s="350" t="s">
        <v>439</v>
      </c>
      <c r="I676" s="350" t="s">
        <v>393</v>
      </c>
      <c r="J676" s="354">
        <v>286764.79999999999</v>
      </c>
      <c r="K676" s="350" t="s">
        <v>394</v>
      </c>
      <c r="L676" s="354">
        <v>3.0000200000000001E-4</v>
      </c>
      <c r="M676" s="354">
        <v>101.39</v>
      </c>
      <c r="N676" s="350" t="s">
        <v>395</v>
      </c>
      <c r="O676" s="354">
        <v>86.03</v>
      </c>
      <c r="P676" s="374">
        <f t="shared" si="625"/>
        <v>6.3883947921334867</v>
      </c>
      <c r="Q676" s="354">
        <f t="shared" si="626"/>
        <v>0.60252308525656639</v>
      </c>
      <c r="R676" s="354">
        <f t="shared" si="627"/>
        <v>1.0156786792801005</v>
      </c>
      <c r="S676" s="354">
        <f t="shared" si="628"/>
        <v>0.90475296743494271</v>
      </c>
      <c r="T676" s="354">
        <f t="shared" si="629"/>
        <v>3.8609265819092893</v>
      </c>
      <c r="U676" s="374">
        <f t="shared" si="630"/>
        <v>25.639400208780234</v>
      </c>
      <c r="V676" s="354">
        <f t="shared" si="631"/>
        <v>0.67869328516702176</v>
      </c>
      <c r="W676" s="354">
        <f t="shared" si="632"/>
        <v>23.15163363691347</v>
      </c>
      <c r="X676" s="354">
        <f t="shared" si="633"/>
        <v>1.8090732866997437</v>
      </c>
      <c r="Y676" s="374">
        <f t="shared" si="634"/>
        <v>3.7586968611429414</v>
      </c>
      <c r="Z676" s="354">
        <f t="shared" si="635"/>
        <v>1.9389614623883666</v>
      </c>
      <c r="AA676" s="354">
        <f t="shared" si="636"/>
        <v>1.8197353987545746</v>
      </c>
      <c r="AB676" s="374">
        <f t="shared" si="637"/>
        <v>20.535248724952005</v>
      </c>
      <c r="AC676" s="354">
        <f t="shared" si="638"/>
        <v>5.8277511906641841</v>
      </c>
      <c r="AD676" s="354">
        <f t="shared" si="639"/>
        <v>12.685719808785096</v>
      </c>
      <c r="AE676" s="354">
        <f t="shared" si="640"/>
        <v>2.0217777255027252</v>
      </c>
      <c r="AF676" s="374">
        <f t="shared" si="641"/>
        <v>16.435370261857006</v>
      </c>
      <c r="AG676" s="354">
        <f t="shared" si="642"/>
        <v>1.0562470464474534</v>
      </c>
      <c r="AH676" s="354">
        <f t="shared" si="643"/>
        <v>5.3144035050119758</v>
      </c>
      <c r="AI676" s="354">
        <f t="shared" si="644"/>
        <v>0</v>
      </c>
      <c r="AJ676" s="354">
        <f t="shared" si="645"/>
        <v>10.064719710397577</v>
      </c>
      <c r="AK676" s="374">
        <f t="shared" si="646"/>
        <v>10.855447680501468</v>
      </c>
      <c r="AL676" s="354">
        <f t="shared" si="647"/>
        <v>3.1101578189656189</v>
      </c>
      <c r="AM676" s="354">
        <f t="shared" si="648"/>
        <v>7.3355011395890095</v>
      </c>
      <c r="AN676" s="354">
        <f t="shared" si="649"/>
        <v>0.40978872194684024</v>
      </c>
      <c r="AO676" s="374">
        <f t="shared" si="650"/>
        <v>6.2944790250608724</v>
      </c>
      <c r="AP676" s="354">
        <f t="shared" si="651"/>
        <v>1.4433902481020311</v>
      </c>
      <c r="AQ676" s="354">
        <f t="shared" si="652"/>
        <v>4.8510887769588411</v>
      </c>
      <c r="AR676" s="374">
        <f t="shared" si="653"/>
        <v>11.482962445571982</v>
      </c>
      <c r="AS676" s="354">
        <f t="shared" si="654"/>
        <v>4.9759574527730113</v>
      </c>
      <c r="AT676" s="354">
        <f t="shared" si="655"/>
        <v>6.5070049927989713</v>
      </c>
      <c r="AU676" s="355" t="s">
        <v>396</v>
      </c>
      <c r="AV676" s="354" t="s">
        <v>404</v>
      </c>
      <c r="AW676" s="355" t="s">
        <v>405</v>
      </c>
      <c r="AX676" s="355">
        <v>103321</v>
      </c>
      <c r="AY676" s="350" t="s">
        <v>406</v>
      </c>
      <c r="AZ676" s="351">
        <v>45203</v>
      </c>
      <c r="BA676" s="351">
        <v>45203</v>
      </c>
      <c r="BB676" s="350" t="s">
        <v>407</v>
      </c>
    </row>
    <row r="677" spans="1:54" x14ac:dyDescent="0.25">
      <c r="A677" s="348" t="s">
        <v>1526</v>
      </c>
      <c r="B677" s="349">
        <v>5480</v>
      </c>
      <c r="C677" s="350" t="s">
        <v>1501</v>
      </c>
      <c r="D677" s="351">
        <v>45199</v>
      </c>
      <c r="E677" s="352">
        <v>3130</v>
      </c>
      <c r="F677" s="352">
        <v>1</v>
      </c>
      <c r="G677" s="351"/>
      <c r="H677" s="350" t="s">
        <v>439</v>
      </c>
      <c r="I677" s="350" t="s">
        <v>393</v>
      </c>
      <c r="J677" s="354">
        <v>55848.3</v>
      </c>
      <c r="K677" s="350" t="s">
        <v>394</v>
      </c>
      <c r="L677" s="354">
        <v>2.9992000000000002E-4</v>
      </c>
      <c r="M677" s="354">
        <v>19.75</v>
      </c>
      <c r="N677" s="350" t="s">
        <v>395</v>
      </c>
      <c r="O677" s="354">
        <v>16.75</v>
      </c>
      <c r="P677" s="374">
        <f t="shared" si="625"/>
        <v>1.2444106632275014</v>
      </c>
      <c r="Q677" s="354">
        <f t="shared" si="626"/>
        <v>0.11736690929891692</v>
      </c>
      <c r="R677" s="354">
        <f t="shared" si="627"/>
        <v>0.19784647318060938</v>
      </c>
      <c r="S677" s="354">
        <f t="shared" si="628"/>
        <v>0.17623898911963823</v>
      </c>
      <c r="T677" s="354">
        <f t="shared" si="629"/>
        <v>0.7520791004310925</v>
      </c>
      <c r="U677" s="374">
        <f t="shared" si="630"/>
        <v>4.9943599380945818</v>
      </c>
      <c r="V677" s="354">
        <f t="shared" si="631"/>
        <v>0.13220428426914568</v>
      </c>
      <c r="W677" s="354">
        <f t="shared" si="632"/>
        <v>4.5097619521554497</v>
      </c>
      <c r="X677" s="354">
        <f t="shared" si="633"/>
        <v>0.35239370166998657</v>
      </c>
      <c r="Y677" s="374">
        <f t="shared" si="634"/>
        <v>0.73216552921957878</v>
      </c>
      <c r="Z677" s="354">
        <f t="shared" si="635"/>
        <v>0.37769492930437165</v>
      </c>
      <c r="AA677" s="354">
        <f t="shared" si="636"/>
        <v>0.35447059991520713</v>
      </c>
      <c r="AB677" s="374">
        <f t="shared" si="637"/>
        <v>4.0001100928868931</v>
      </c>
      <c r="AC677" s="354">
        <f t="shared" si="638"/>
        <v>1.1352015584931219</v>
      </c>
      <c r="AD677" s="354">
        <f t="shared" si="639"/>
        <v>2.4710816276112597</v>
      </c>
      <c r="AE677" s="354">
        <f t="shared" si="640"/>
        <v>0.39382690678251131</v>
      </c>
      <c r="AF677" s="374">
        <f t="shared" si="641"/>
        <v>3.2014849854194285</v>
      </c>
      <c r="AG677" s="354">
        <f t="shared" si="642"/>
        <v>0.20574888221064405</v>
      </c>
      <c r="AH677" s="354">
        <f t="shared" si="643"/>
        <v>1.0352053380410939</v>
      </c>
      <c r="AI677" s="354">
        <f t="shared" si="644"/>
        <v>0</v>
      </c>
      <c r="AJ677" s="354">
        <f t="shared" si="645"/>
        <v>1.9605307651676906</v>
      </c>
      <c r="AK677" s="374">
        <f t="shared" si="646"/>
        <v>2.1145585530121709</v>
      </c>
      <c r="AL677" s="354">
        <f t="shared" si="647"/>
        <v>0.60583506188550129</v>
      </c>
      <c r="AM677" s="354">
        <f t="shared" si="648"/>
        <v>1.4288997682896039</v>
      </c>
      <c r="AN677" s="354">
        <f t="shared" si="649"/>
        <v>7.9823722837065736E-2</v>
      </c>
      <c r="AO677" s="374">
        <f t="shared" si="650"/>
        <v>1.2261165868917274</v>
      </c>
      <c r="AP677" s="354">
        <f t="shared" si="651"/>
        <v>0.28116143012146283</v>
      </c>
      <c r="AQ677" s="354">
        <f t="shared" si="652"/>
        <v>0.94495515677026465</v>
      </c>
      <c r="AR677" s="374">
        <f t="shared" si="653"/>
        <v>2.2367936512481177</v>
      </c>
      <c r="AS677" s="354">
        <f t="shared" si="654"/>
        <v>0.96927862404839704</v>
      </c>
      <c r="AT677" s="354">
        <f t="shared" si="655"/>
        <v>1.2675150271997206</v>
      </c>
      <c r="AU677" s="355" t="s">
        <v>396</v>
      </c>
      <c r="AV677" s="354" t="s">
        <v>404</v>
      </c>
      <c r="AW677" s="355" t="s">
        <v>405</v>
      </c>
      <c r="AX677" s="355">
        <v>117427</v>
      </c>
      <c r="AY677" s="350" t="s">
        <v>406</v>
      </c>
      <c r="AZ677" s="351">
        <v>45203</v>
      </c>
      <c r="BA677" s="351">
        <v>45203</v>
      </c>
      <c r="BB677" s="350" t="s">
        <v>407</v>
      </c>
    </row>
    <row r="678" spans="1:54" x14ac:dyDescent="0.25">
      <c r="A678" s="348" t="s">
        <v>1526</v>
      </c>
      <c r="B678" s="349">
        <v>5480</v>
      </c>
      <c r="C678" s="350" t="s">
        <v>1501</v>
      </c>
      <c r="D678" s="351">
        <v>45199</v>
      </c>
      <c r="E678" s="352">
        <v>3130</v>
      </c>
      <c r="F678" s="352">
        <v>1</v>
      </c>
      <c r="G678" s="351"/>
      <c r="H678" s="350" t="s">
        <v>439</v>
      </c>
      <c r="I678" s="350" t="s">
        <v>393</v>
      </c>
      <c r="J678" s="354">
        <v>297857.59999999998</v>
      </c>
      <c r="K678" s="350" t="s">
        <v>394</v>
      </c>
      <c r="L678" s="354">
        <v>3.0000900000000001E-4</v>
      </c>
      <c r="M678" s="354">
        <v>105.31</v>
      </c>
      <c r="N678" s="350" t="s">
        <v>395</v>
      </c>
      <c r="O678" s="354">
        <v>89.36</v>
      </c>
      <c r="P678" s="374">
        <f t="shared" si="625"/>
        <v>6.6353866807335775</v>
      </c>
      <c r="Q678" s="354">
        <f t="shared" si="626"/>
        <v>0.62581818826678171</v>
      </c>
      <c r="R678" s="354">
        <f t="shared" si="627"/>
        <v>1.0549474476278466</v>
      </c>
      <c r="S678" s="354">
        <f t="shared" si="628"/>
        <v>0.93973306046527083</v>
      </c>
      <c r="T678" s="354">
        <f t="shared" si="629"/>
        <v>4.0102000033619412</v>
      </c>
      <c r="U678" s="374">
        <f t="shared" si="630"/>
        <v>26.630685826872931</v>
      </c>
      <c r="V678" s="354">
        <f t="shared" si="631"/>
        <v>0.70493332538651798</v>
      </c>
      <c r="W678" s="354">
        <f t="shared" si="632"/>
        <v>24.04673575602483</v>
      </c>
      <c r="X678" s="354">
        <f t="shared" si="633"/>
        <v>1.879016745461584</v>
      </c>
      <c r="Y678" s="374">
        <f t="shared" si="634"/>
        <v>3.904017816815891</v>
      </c>
      <c r="Z678" s="354">
        <f t="shared" si="635"/>
        <v>2.0139267344325762</v>
      </c>
      <c r="AA678" s="354">
        <f t="shared" si="636"/>
        <v>1.8900910823833146</v>
      </c>
      <c r="AB678" s="374">
        <f t="shared" si="637"/>
        <v>21.329194626932594</v>
      </c>
      <c r="AC678" s="354">
        <f t="shared" si="638"/>
        <v>6.0530671455650973</v>
      </c>
      <c r="AD678" s="354">
        <f t="shared" si="639"/>
        <v>13.17618259259452</v>
      </c>
      <c r="AE678" s="354">
        <f t="shared" si="640"/>
        <v>2.0999448887729755</v>
      </c>
      <c r="AF678" s="374">
        <f t="shared" si="641"/>
        <v>17.070804243773168</v>
      </c>
      <c r="AG678" s="354">
        <f t="shared" si="642"/>
        <v>1.0970842929419204</v>
      </c>
      <c r="AH678" s="354">
        <f t="shared" si="643"/>
        <v>5.5198721088155756</v>
      </c>
      <c r="AI678" s="354">
        <f t="shared" si="644"/>
        <v>0</v>
      </c>
      <c r="AJ678" s="354">
        <f t="shared" si="645"/>
        <v>10.453847842015673</v>
      </c>
      <c r="AK678" s="374">
        <f t="shared" si="646"/>
        <v>11.275147403428441</v>
      </c>
      <c r="AL678" s="354">
        <f t="shared" si="647"/>
        <v>3.2304045755525133</v>
      </c>
      <c r="AM678" s="354">
        <f t="shared" si="648"/>
        <v>7.6191106125862378</v>
      </c>
      <c r="AN678" s="354">
        <f t="shared" si="649"/>
        <v>0.42563221528969075</v>
      </c>
      <c r="AO678" s="374">
        <f t="shared" si="650"/>
        <v>6.5378398868641927</v>
      </c>
      <c r="AP678" s="354">
        <f t="shared" si="651"/>
        <v>1.4991954534729748</v>
      </c>
      <c r="AQ678" s="354">
        <f t="shared" si="652"/>
        <v>5.0386444333912177</v>
      </c>
      <c r="AR678" s="374">
        <f t="shared" si="653"/>
        <v>11.926923514579205</v>
      </c>
      <c r="AS678" s="354">
        <f t="shared" si="654"/>
        <v>5.1683408556221115</v>
      </c>
      <c r="AT678" s="354">
        <f t="shared" si="655"/>
        <v>6.7585826589570939</v>
      </c>
      <c r="AU678" s="355" t="s">
        <v>396</v>
      </c>
      <c r="AV678" s="354" t="s">
        <v>404</v>
      </c>
      <c r="AW678" s="355" t="s">
        <v>405</v>
      </c>
      <c r="AX678" s="355">
        <v>117872</v>
      </c>
      <c r="AY678" s="350" t="s">
        <v>406</v>
      </c>
      <c r="AZ678" s="351">
        <v>45203</v>
      </c>
      <c r="BA678" s="351">
        <v>45203</v>
      </c>
      <c r="BB678" s="350" t="s">
        <v>407</v>
      </c>
    </row>
    <row r="679" spans="1:54" x14ac:dyDescent="0.25">
      <c r="A679" s="348" t="s">
        <v>1526</v>
      </c>
      <c r="B679" s="349">
        <v>5480</v>
      </c>
      <c r="C679" s="350" t="s">
        <v>1501</v>
      </c>
      <c r="D679" s="351">
        <v>45199</v>
      </c>
      <c r="E679" s="352">
        <v>3130</v>
      </c>
      <c r="F679" s="352">
        <v>1</v>
      </c>
      <c r="G679" s="351"/>
      <c r="H679" s="350" t="s">
        <v>439</v>
      </c>
      <c r="I679" s="350" t="s">
        <v>393</v>
      </c>
      <c r="J679" s="354">
        <v>66721.5</v>
      </c>
      <c r="K679" s="350" t="s">
        <v>394</v>
      </c>
      <c r="L679" s="354">
        <v>3.00053E-4</v>
      </c>
      <c r="M679" s="354">
        <v>23.59</v>
      </c>
      <c r="N679" s="350" t="s">
        <v>395</v>
      </c>
      <c r="O679" s="354">
        <v>20.02</v>
      </c>
      <c r="P679" s="374">
        <f t="shared" si="625"/>
        <v>1.4863619010398357</v>
      </c>
      <c r="Q679" s="354">
        <f t="shared" si="626"/>
        <v>0.14018660204361771</v>
      </c>
      <c r="R679" s="354">
        <f t="shared" si="627"/>
        <v>0.23631383809268736</v>
      </c>
      <c r="S679" s="354">
        <f t="shared" si="628"/>
        <v>0.21050520270036785</v>
      </c>
      <c r="T679" s="354">
        <f t="shared" si="629"/>
        <v>0.89830612552756817</v>
      </c>
      <c r="U679" s="374">
        <f t="shared" si="630"/>
        <v>5.9654152374506921</v>
      </c>
      <c r="V679" s="354">
        <f t="shared" si="631"/>
        <v>0.15790881346375424</v>
      </c>
      <c r="W679" s="354">
        <f t="shared" si="632"/>
        <v>5.3865966810808628</v>
      </c>
      <c r="X679" s="354">
        <f t="shared" si="633"/>
        <v>0.42090974290607502</v>
      </c>
      <c r="Y679" s="374">
        <f t="shared" si="634"/>
        <v>0.8745207511032842</v>
      </c>
      <c r="Z679" s="354">
        <f t="shared" si="635"/>
        <v>0.45113029783747477</v>
      </c>
      <c r="AA679" s="354">
        <f t="shared" si="636"/>
        <v>0.42339045326580937</v>
      </c>
      <c r="AB679" s="374">
        <f t="shared" si="637"/>
        <v>4.7778530172760405</v>
      </c>
      <c r="AC679" s="354">
        <f t="shared" si="638"/>
        <v>1.3559192286001389</v>
      </c>
      <c r="AD679" s="354">
        <f t="shared" si="639"/>
        <v>2.9515349668531452</v>
      </c>
      <c r="AE679" s="354">
        <f t="shared" si="640"/>
        <v>0.4703988218227565</v>
      </c>
      <c r="AF679" s="374">
        <f t="shared" si="641"/>
        <v>3.8239509268883203</v>
      </c>
      <c r="AG679" s="354">
        <f t="shared" si="642"/>
        <v>0.24575271551134653</v>
      </c>
      <c r="AH679" s="354">
        <f t="shared" si="643"/>
        <v>1.2364807050323752</v>
      </c>
      <c r="AI679" s="354">
        <f t="shared" si="644"/>
        <v>0</v>
      </c>
      <c r="AJ679" s="354">
        <f t="shared" si="645"/>
        <v>2.3417175063445987</v>
      </c>
      <c r="AK679" s="374">
        <f t="shared" si="646"/>
        <v>2.5256929754712463</v>
      </c>
      <c r="AL679" s="354">
        <f t="shared" si="647"/>
        <v>0.72362780303184682</v>
      </c>
      <c r="AM679" s="354">
        <f t="shared" si="648"/>
        <v>1.7067212928583169</v>
      </c>
      <c r="AN679" s="354">
        <f t="shared" si="649"/>
        <v>9.5343879581082577E-2</v>
      </c>
      <c r="AO679" s="374">
        <f t="shared" si="650"/>
        <v>1.4645109004949797</v>
      </c>
      <c r="AP679" s="354">
        <f t="shared" si="651"/>
        <v>0.33582775375014218</v>
      </c>
      <c r="AQ679" s="354">
        <f t="shared" si="652"/>
        <v>1.1286831467448375</v>
      </c>
      <c r="AR679" s="374">
        <f t="shared" si="653"/>
        <v>2.6716942902755996</v>
      </c>
      <c r="AS679" s="354">
        <f t="shared" si="654"/>
        <v>1.157735835002617</v>
      </c>
      <c r="AT679" s="354">
        <f t="shared" si="655"/>
        <v>1.5139584552729828</v>
      </c>
      <c r="AU679" s="355" t="s">
        <v>396</v>
      </c>
      <c r="AV679" s="354" t="s">
        <v>404</v>
      </c>
      <c r="AW679" s="355" t="s">
        <v>405</v>
      </c>
      <c r="AX679" s="355">
        <v>103328</v>
      </c>
      <c r="AY679" s="350" t="s">
        <v>406</v>
      </c>
      <c r="AZ679" s="351">
        <v>45203</v>
      </c>
      <c r="BA679" s="351">
        <v>45203</v>
      </c>
      <c r="BB679" s="350" t="s">
        <v>407</v>
      </c>
    </row>
    <row r="680" spans="1:54" x14ac:dyDescent="0.25">
      <c r="A680" s="348" t="s">
        <v>1526</v>
      </c>
      <c r="B680" s="349">
        <v>5480</v>
      </c>
      <c r="C680" s="350" t="s">
        <v>1501</v>
      </c>
      <c r="D680" s="351">
        <v>45199</v>
      </c>
      <c r="E680" s="352">
        <v>3130</v>
      </c>
      <c r="F680" s="352">
        <v>1</v>
      </c>
      <c r="G680" s="351"/>
      <c r="H680" s="350" t="s">
        <v>439</v>
      </c>
      <c r="I680" s="350" t="s">
        <v>393</v>
      </c>
      <c r="J680" s="354">
        <v>65749.600000000006</v>
      </c>
      <c r="K680" s="350" t="s">
        <v>394</v>
      </c>
      <c r="L680" s="354">
        <v>2.99926E-4</v>
      </c>
      <c r="M680" s="354">
        <v>23.25</v>
      </c>
      <c r="N680" s="350" t="s">
        <v>395</v>
      </c>
      <c r="O680" s="354">
        <v>19.72</v>
      </c>
      <c r="P680" s="374">
        <f t="shared" si="625"/>
        <v>1.4649391351918686</v>
      </c>
      <c r="Q680" s="354">
        <f t="shared" si="626"/>
        <v>0.13816610841518068</v>
      </c>
      <c r="R680" s="354">
        <f t="shared" si="627"/>
        <v>0.23290787349109712</v>
      </c>
      <c r="S680" s="354">
        <f t="shared" si="628"/>
        <v>0.20747121503957408</v>
      </c>
      <c r="T680" s="354">
        <f t="shared" si="629"/>
        <v>0.88535894101381762</v>
      </c>
      <c r="U680" s="374">
        <f t="shared" si="630"/>
        <v>5.8794363828202032</v>
      </c>
      <c r="V680" s="354">
        <f t="shared" si="631"/>
        <v>0.1556328916079816</v>
      </c>
      <c r="W680" s="354">
        <f t="shared" si="632"/>
        <v>5.3089602727905918</v>
      </c>
      <c r="X680" s="354">
        <f t="shared" si="633"/>
        <v>0.41484321842162969</v>
      </c>
      <c r="Y680" s="374">
        <f t="shared" si="634"/>
        <v>0.86191638249899782</v>
      </c>
      <c r="Z680" s="354">
        <f t="shared" si="635"/>
        <v>0.44462820791527291</v>
      </c>
      <c r="AA680" s="354">
        <f t="shared" si="636"/>
        <v>0.41728817458372486</v>
      </c>
      <c r="AB680" s="374">
        <f t="shared" si="637"/>
        <v>4.7089903625124183</v>
      </c>
      <c r="AC680" s="354">
        <f t="shared" si="638"/>
        <v>1.3363765182260803</v>
      </c>
      <c r="AD680" s="354">
        <f t="shared" si="639"/>
        <v>2.908994827441103</v>
      </c>
      <c r="AE680" s="354">
        <f t="shared" si="640"/>
        <v>0.46361901684523482</v>
      </c>
      <c r="AF680" s="374">
        <f t="shared" si="641"/>
        <v>3.7688367549874289</v>
      </c>
      <c r="AG680" s="354">
        <f t="shared" si="642"/>
        <v>0.24221070943784684</v>
      </c>
      <c r="AH680" s="354">
        <f t="shared" si="643"/>
        <v>1.2186594485800222</v>
      </c>
      <c r="AI680" s="354">
        <f t="shared" si="644"/>
        <v>0</v>
      </c>
      <c r="AJ680" s="354">
        <f t="shared" si="645"/>
        <v>2.30796659696956</v>
      </c>
      <c r="AK680" s="374">
        <f t="shared" si="646"/>
        <v>2.4892904484826821</v>
      </c>
      <c r="AL680" s="354">
        <f t="shared" si="647"/>
        <v>0.71319823740951416</v>
      </c>
      <c r="AM680" s="354">
        <f t="shared" si="648"/>
        <v>1.6821225120371286</v>
      </c>
      <c r="AN680" s="354">
        <f t="shared" si="649"/>
        <v>9.3969699036039411E-2</v>
      </c>
      <c r="AO680" s="374">
        <f t="shared" si="650"/>
        <v>1.4434030706446916</v>
      </c>
      <c r="AP680" s="354">
        <f t="shared" si="651"/>
        <v>0.33098750634551954</v>
      </c>
      <c r="AQ680" s="354">
        <f t="shared" si="652"/>
        <v>1.1124155642991722</v>
      </c>
      <c r="AR680" s="374">
        <f t="shared" si="653"/>
        <v>2.633187462861708</v>
      </c>
      <c r="AS680" s="354">
        <f t="shared" si="654"/>
        <v>1.1410495194493788</v>
      </c>
      <c r="AT680" s="354">
        <f t="shared" si="655"/>
        <v>1.4921379434123294</v>
      </c>
      <c r="AU680" s="355" t="s">
        <v>396</v>
      </c>
      <c r="AV680" s="354" t="s">
        <v>404</v>
      </c>
      <c r="AW680" s="355" t="s">
        <v>405</v>
      </c>
      <c r="AX680" s="355">
        <v>117293</v>
      </c>
      <c r="AY680" s="350" t="s">
        <v>406</v>
      </c>
      <c r="AZ680" s="351">
        <v>45203</v>
      </c>
      <c r="BA680" s="351">
        <v>45203</v>
      </c>
      <c r="BB680" s="350" t="s">
        <v>407</v>
      </c>
    </row>
    <row r="681" spans="1:54" x14ac:dyDescent="0.25">
      <c r="A681" s="348" t="s">
        <v>1527</v>
      </c>
      <c r="B681" s="349">
        <v>5538</v>
      </c>
      <c r="C681" s="350" t="s">
        <v>1501</v>
      </c>
      <c r="D681" s="351">
        <v>45199</v>
      </c>
      <c r="E681" s="352">
        <v>3600</v>
      </c>
      <c r="F681" s="352">
        <v>7</v>
      </c>
      <c r="G681" s="351"/>
      <c r="H681" s="350" t="s">
        <v>1528</v>
      </c>
      <c r="I681" s="350" t="s">
        <v>393</v>
      </c>
      <c r="J681" s="354">
        <v>30000</v>
      </c>
      <c r="K681" s="350" t="s">
        <v>394</v>
      </c>
      <c r="L681" s="354">
        <v>2.7904399999999999E-4</v>
      </c>
      <c r="M681" s="354">
        <v>10.61</v>
      </c>
      <c r="N681" s="350" t="s">
        <v>395</v>
      </c>
      <c r="O681" s="354">
        <v>8.3699999999999992</v>
      </c>
      <c r="P681" s="374">
        <f t="shared" si="625"/>
        <v>0.66851631072626772</v>
      </c>
      <c r="Q681" s="354">
        <f t="shared" si="626"/>
        <v>6.305128646387384E-2</v>
      </c>
      <c r="R681" s="354">
        <f t="shared" si="627"/>
        <v>0.1062861306555071</v>
      </c>
      <c r="S681" s="354">
        <f t="shared" si="628"/>
        <v>9.4678262003005623E-2</v>
      </c>
      <c r="T681" s="354">
        <f t="shared" si="629"/>
        <v>0.4040283167379185</v>
      </c>
      <c r="U681" s="374">
        <f t="shared" si="630"/>
        <v>2.6830460224396711</v>
      </c>
      <c r="V681" s="354">
        <f t="shared" si="631"/>
        <v>7.1022149675728383E-2</v>
      </c>
      <c r="W681" s="354">
        <f t="shared" si="632"/>
        <v>2.4227126234111047</v>
      </c>
      <c r="X681" s="354">
        <f t="shared" si="633"/>
        <v>0.18931124935283833</v>
      </c>
      <c r="Y681" s="374">
        <f t="shared" si="634"/>
        <v>0.39333044379846738</v>
      </c>
      <c r="Z681" s="354">
        <f t="shared" si="635"/>
        <v>0.20290345316047509</v>
      </c>
      <c r="AA681" s="354">
        <f t="shared" si="636"/>
        <v>0.19042699063799229</v>
      </c>
      <c r="AB681" s="374">
        <f t="shared" si="637"/>
        <v>2.1489199030648067</v>
      </c>
      <c r="AC681" s="354">
        <f t="shared" si="638"/>
        <v>0.60984752079048221</v>
      </c>
      <c r="AD681" s="354">
        <f t="shared" si="639"/>
        <v>1.327502585769897</v>
      </c>
      <c r="AE681" s="354">
        <f t="shared" si="640"/>
        <v>0.21156979650442759</v>
      </c>
      <c r="AF681" s="374">
        <f t="shared" si="641"/>
        <v>1.7198863643189943</v>
      </c>
      <c r="AG681" s="354">
        <f t="shared" si="642"/>
        <v>0.11053142482303462</v>
      </c>
      <c r="AH681" s="354">
        <f t="shared" si="643"/>
        <v>0.55612803223372187</v>
      </c>
      <c r="AI681" s="354">
        <f t="shared" si="644"/>
        <v>0</v>
      </c>
      <c r="AJ681" s="354">
        <f t="shared" si="645"/>
        <v>1.053226907262238</v>
      </c>
      <c r="AK681" s="374">
        <f t="shared" si="646"/>
        <v>1.1359729745548928</v>
      </c>
      <c r="AL681" s="354">
        <f t="shared" si="647"/>
        <v>0.32546379780279333</v>
      </c>
      <c r="AM681" s="354">
        <f t="shared" si="648"/>
        <v>0.76762666033178217</v>
      </c>
      <c r="AN681" s="354">
        <f t="shared" si="649"/>
        <v>4.2882516420317339E-2</v>
      </c>
      <c r="AO681" s="374">
        <f t="shared" si="650"/>
        <v>0.6586884550339861</v>
      </c>
      <c r="AP681" s="354">
        <f t="shared" si="651"/>
        <v>0.1510441910677833</v>
      </c>
      <c r="AQ681" s="354">
        <f t="shared" si="652"/>
        <v>0.50764426396620277</v>
      </c>
      <c r="AR681" s="374">
        <f t="shared" si="653"/>
        <v>1.2016395260629127</v>
      </c>
      <c r="AS681" s="354">
        <f t="shared" si="654"/>
        <v>0.52071120005840466</v>
      </c>
      <c r="AT681" s="354">
        <f t="shared" si="655"/>
        <v>0.68092832600450814</v>
      </c>
      <c r="AU681" s="355" t="s">
        <v>396</v>
      </c>
      <c r="AV681" s="354" t="s">
        <v>404</v>
      </c>
      <c r="AW681" s="355" t="s">
        <v>405</v>
      </c>
      <c r="AX681" s="355">
        <v>0</v>
      </c>
      <c r="AY681" s="350" t="s">
        <v>410</v>
      </c>
      <c r="AZ681" s="351">
        <v>45202</v>
      </c>
      <c r="BA681" s="351">
        <v>45203</v>
      </c>
      <c r="BB681" s="350" t="s">
        <v>407</v>
      </c>
    </row>
    <row r="682" spans="1:54" ht="30" x14ac:dyDescent="0.25">
      <c r="A682" s="348" t="s">
        <v>1548</v>
      </c>
      <c r="B682" s="349">
        <v>159</v>
      </c>
      <c r="C682" s="423">
        <v>45200</v>
      </c>
      <c r="D682" s="351">
        <v>45229</v>
      </c>
      <c r="E682" s="352"/>
      <c r="F682" s="352">
        <v>6</v>
      </c>
      <c r="G682" s="352" t="s">
        <v>312</v>
      </c>
      <c r="H682" s="424" t="s">
        <v>1555</v>
      </c>
      <c r="I682" s="350" t="s">
        <v>393</v>
      </c>
      <c r="J682" s="560">
        <v>382766.2</v>
      </c>
      <c r="K682" s="350" t="s">
        <v>394</v>
      </c>
      <c r="L682" s="354">
        <v>2802.3999950000002</v>
      </c>
      <c r="M682" s="354">
        <f>J682/L682</f>
        <v>136.58514155114392</v>
      </c>
      <c r="N682" s="350" t="s">
        <v>395</v>
      </c>
      <c r="O682" s="354">
        <v>0</v>
      </c>
      <c r="P682" s="374">
        <f t="shared" ref="P682:P699" si="656">M682*$P$2</f>
        <v>8.6059750169458802</v>
      </c>
      <c r="Q682" s="354">
        <f t="shared" ref="Q682:Q699" si="657">P682*$Q$2</f>
        <v>0.81167473012723212</v>
      </c>
      <c r="R682" s="354">
        <f t="shared" ref="R682:R699" si="658">P682*$R$2</f>
        <v>1.3682475212540826</v>
      </c>
      <c r="S682" s="354">
        <f t="shared" ref="S682:S699" si="659">P682*$S$2</f>
        <v>1.2188165709233567</v>
      </c>
      <c r="T682" s="354">
        <f t="shared" ref="T682:T699" si="660">P682*$T$2</f>
        <v>5.2011559691158347</v>
      </c>
      <c r="U682" s="374">
        <f t="shared" ref="U682:U699" si="661">M682*$U$2</f>
        <v>34.539511853266369</v>
      </c>
      <c r="V682" s="354">
        <f t="shared" ref="V682:V699" si="662">U682*$V$2</f>
        <v>0.91428561420602183</v>
      </c>
      <c r="W682" s="354">
        <f t="shared" ref="W682:W699" si="663">U682*$W$2</f>
        <v>31.188175928967858</v>
      </c>
      <c r="X682" s="354">
        <f t="shared" ref="X682:X699" si="664">U682*$X$2</f>
        <v>2.437050310092491</v>
      </c>
      <c r="Y682" s="374">
        <f t="shared" ref="Y682:Y699" si="665">M682*$Y$2</f>
        <v>5.0634396175860443</v>
      </c>
      <c r="Z682" s="354">
        <f t="shared" ref="Z682:Z699" si="666">Y682*$Z$2</f>
        <v>2.6120260953006023</v>
      </c>
      <c r="AA682" s="354">
        <f t="shared" ref="AA682:AA699" si="667">Y682*$AA$2</f>
        <v>2.4514135222854416</v>
      </c>
      <c r="AB682" s="374">
        <f t="shared" ref="AB682:AB699" si="668">M682*$AB$2</f>
        <v>27.663574848461558</v>
      </c>
      <c r="AC682" s="354">
        <f t="shared" ref="AC682:AC699" si="669">AB682*$AC$2</f>
        <v>7.8507172433347971</v>
      </c>
      <c r="AD682" s="354">
        <f t="shared" ref="AD682:AD699" si="670">AB682*$AD$2</f>
        <v>17.089267538821016</v>
      </c>
      <c r="AE682" s="354">
        <f t="shared" ref="AE682:AE699" si="671">AB682*$AE$2</f>
        <v>2.7235900663057455</v>
      </c>
      <c r="AF682" s="374">
        <f t="shared" ref="AF682:AF699" si="672">M682*$AF$2</f>
        <v>22.140520501639219</v>
      </c>
      <c r="AG682" s="354">
        <f t="shared" ref="AG682:AG699" si="673">AF682*$AG$2</f>
        <v>1.4228982380116688</v>
      </c>
      <c r="AH682" s="354">
        <f t="shared" ref="AH682:AH699" si="674">AF682*$AH$2</f>
        <v>7.1591730445996262</v>
      </c>
      <c r="AI682" s="354">
        <f t="shared" ref="AI682:AI699" si="675">AF682*$AI$2</f>
        <v>0</v>
      </c>
      <c r="AJ682" s="354">
        <f t="shared" ref="AJ682:AJ699" si="676">AF682*$AJ$2</f>
        <v>13.558449219027926</v>
      </c>
      <c r="AK682" s="374">
        <f t="shared" ref="AK682:AK699" si="677">M682*$AK$2</f>
        <v>14.623659710448072</v>
      </c>
      <c r="AL682" s="354">
        <f t="shared" ref="AL682:AL699" si="678">AK682*$AL$2</f>
        <v>4.1897755789507451</v>
      </c>
      <c r="AM682" s="354">
        <f t="shared" ref="AM682:AM699" si="679">AK682*$AM$2</f>
        <v>9.8818469424927748</v>
      </c>
      <c r="AN682" s="354">
        <f t="shared" ref="AN682:AN699" si="680">AK682*$AN$2</f>
        <v>0.55203718900455201</v>
      </c>
      <c r="AO682" s="374">
        <f t="shared" ref="AO682:AO699" si="681">M682*$AO$2</f>
        <v>8.4794586115854198</v>
      </c>
      <c r="AP682" s="354">
        <f t="shared" ref="AP682:AP699" si="682">AO682*$AP$2</f>
        <v>1.9444290497145349</v>
      </c>
      <c r="AQ682" s="354">
        <f t="shared" ref="AQ682:AQ699" si="683">AO682*$AQ$2</f>
        <v>6.5350295618708856</v>
      </c>
      <c r="AR682" s="374">
        <f t="shared" ref="AR682:AR699" si="684">M682*$AR$2</f>
        <v>15.469001391211352</v>
      </c>
      <c r="AS682" s="354">
        <f t="shared" ref="AS682:AS699" si="685">AR682*$AS$2</f>
        <v>6.7032434464885231</v>
      </c>
      <c r="AT682" s="354">
        <f t="shared" ref="AT682:AT699" si="686">AR682*$AT$2</f>
        <v>8.7657579447228304</v>
      </c>
      <c r="AU682" s="355" t="s">
        <v>396</v>
      </c>
      <c r="AV682" s="354" t="s">
        <v>397</v>
      </c>
      <c r="AW682" s="377">
        <v>0</v>
      </c>
      <c r="AX682" s="377">
        <v>0</v>
      </c>
      <c r="AY682" s="377">
        <v>0</v>
      </c>
      <c r="AZ682" s="377">
        <v>0</v>
      </c>
      <c r="BA682" s="377">
        <v>0</v>
      </c>
      <c r="BB682" s="377">
        <v>0</v>
      </c>
    </row>
    <row r="683" spans="1:54" ht="30" x14ac:dyDescent="0.25">
      <c r="A683" s="348" t="s">
        <v>1548</v>
      </c>
      <c r="B683" s="349">
        <v>159</v>
      </c>
      <c r="C683" s="423">
        <v>45200</v>
      </c>
      <c r="D683" s="351">
        <v>45229</v>
      </c>
      <c r="E683" s="352"/>
      <c r="F683" s="352">
        <v>6</v>
      </c>
      <c r="G683" s="352" t="s">
        <v>313</v>
      </c>
      <c r="H683" s="424" t="s">
        <v>1332</v>
      </c>
      <c r="I683" s="350" t="s">
        <v>393</v>
      </c>
      <c r="J683" s="560">
        <v>113992.3</v>
      </c>
      <c r="K683" s="350" t="s">
        <v>394</v>
      </c>
      <c r="L683" s="354">
        <v>2802.3999950000002</v>
      </c>
      <c r="M683" s="354">
        <f t="shared" ref="M683:M699" si="687">J683/L683</f>
        <v>40.676670069720004</v>
      </c>
      <c r="N683" s="350" t="s">
        <v>395</v>
      </c>
      <c r="O683" s="354">
        <v>0</v>
      </c>
      <c r="P683" s="374">
        <f t="shared" si="656"/>
        <v>2.562961112878305</v>
      </c>
      <c r="Q683" s="354">
        <f t="shared" si="657"/>
        <v>0.24172633147619221</v>
      </c>
      <c r="R683" s="354">
        <f t="shared" si="658"/>
        <v>0.4074802893177395</v>
      </c>
      <c r="S683" s="354">
        <f t="shared" si="659"/>
        <v>0.36297798551091126</v>
      </c>
      <c r="T683" s="354">
        <f t="shared" si="660"/>
        <v>1.5489657435223982</v>
      </c>
      <c r="U683" s="374">
        <f t="shared" si="661"/>
        <v>10.286275008167115</v>
      </c>
      <c r="V683" s="354">
        <f t="shared" si="662"/>
        <v>0.27228506597567154</v>
      </c>
      <c r="W683" s="354">
        <f t="shared" si="663"/>
        <v>9.288207545357146</v>
      </c>
      <c r="X683" s="354">
        <f t="shared" si="664"/>
        <v>0.72578239683429779</v>
      </c>
      <c r="Y683" s="374">
        <f t="shared" si="665"/>
        <v>1.5079521857461644</v>
      </c>
      <c r="Z683" s="354">
        <f t="shared" si="666"/>
        <v>0.77789225449722255</v>
      </c>
      <c r="AA683" s="354">
        <f t="shared" si="667"/>
        <v>0.73005993124894175</v>
      </c>
      <c r="AB683" s="374">
        <f t="shared" si="668"/>
        <v>8.2385396704261868</v>
      </c>
      <c r="AC683" s="354">
        <f t="shared" si="669"/>
        <v>2.338036418099072</v>
      </c>
      <c r="AD683" s="354">
        <f t="shared" si="670"/>
        <v>5.0893859281868314</v>
      </c>
      <c r="AE683" s="354">
        <f t="shared" si="671"/>
        <v>0.81111732414028292</v>
      </c>
      <c r="AF683" s="374">
        <f t="shared" si="672"/>
        <v>6.5937087840540993</v>
      </c>
      <c r="AG683" s="354">
        <f t="shared" si="673"/>
        <v>0.42375591893144571</v>
      </c>
      <c r="AH683" s="354">
        <f t="shared" si="674"/>
        <v>2.1320863792359774</v>
      </c>
      <c r="AI683" s="354">
        <f t="shared" si="675"/>
        <v>0</v>
      </c>
      <c r="AJ683" s="354">
        <f t="shared" si="676"/>
        <v>4.0378664858866768</v>
      </c>
      <c r="AK683" s="374">
        <f t="shared" si="677"/>
        <v>4.3550987647585115</v>
      </c>
      <c r="AL683" s="354">
        <f t="shared" si="678"/>
        <v>1.2477647052650598</v>
      </c>
      <c r="AM683" s="354">
        <f t="shared" si="679"/>
        <v>2.9429308575906621</v>
      </c>
      <c r="AN683" s="354">
        <f t="shared" si="680"/>
        <v>0.1644032019027897</v>
      </c>
      <c r="AO683" s="374">
        <f t="shared" si="681"/>
        <v>2.5252830314939732</v>
      </c>
      <c r="AP683" s="354">
        <f t="shared" si="682"/>
        <v>0.57907396098133568</v>
      </c>
      <c r="AQ683" s="354">
        <f t="shared" si="683"/>
        <v>1.9462090705126376</v>
      </c>
      <c r="AR683" s="374">
        <f t="shared" si="684"/>
        <v>4.6068515121956475</v>
      </c>
      <c r="AS683" s="354">
        <f t="shared" si="685"/>
        <v>1.9963051542303203</v>
      </c>
      <c r="AT683" s="354">
        <f t="shared" si="686"/>
        <v>2.6105463579653274</v>
      </c>
      <c r="AU683" s="355" t="s">
        <v>396</v>
      </c>
      <c r="AV683" s="354" t="s">
        <v>397</v>
      </c>
      <c r="AW683" s="377">
        <v>0</v>
      </c>
      <c r="AX683" s="377">
        <v>0</v>
      </c>
      <c r="AY683" s="377">
        <v>0</v>
      </c>
      <c r="AZ683" s="377">
        <v>0</v>
      </c>
      <c r="BA683" s="377">
        <v>0</v>
      </c>
      <c r="BB683" s="377">
        <v>0</v>
      </c>
    </row>
    <row r="684" spans="1:54" ht="30" x14ac:dyDescent="0.25">
      <c r="A684" s="348" t="s">
        <v>1548</v>
      </c>
      <c r="B684" s="349">
        <v>159</v>
      </c>
      <c r="C684" s="423">
        <v>45200</v>
      </c>
      <c r="D684" s="351">
        <v>45229</v>
      </c>
      <c r="E684" s="352"/>
      <c r="F684" s="352">
        <v>6</v>
      </c>
      <c r="G684" s="352" t="s">
        <v>314</v>
      </c>
      <c r="H684" s="424" t="s">
        <v>1333</v>
      </c>
      <c r="I684" s="350" t="s">
        <v>393</v>
      </c>
      <c r="J684" s="560">
        <v>183146.6</v>
      </c>
      <c r="K684" s="350" t="s">
        <v>394</v>
      </c>
      <c r="L684" s="354">
        <v>2802.3999950000002</v>
      </c>
      <c r="M684" s="354">
        <f t="shared" si="687"/>
        <v>65.353482845692056</v>
      </c>
      <c r="N684" s="350" t="s">
        <v>395</v>
      </c>
      <c r="O684" s="354">
        <v>0</v>
      </c>
      <c r="P684" s="374">
        <f t="shared" si="656"/>
        <v>4.117801059859989</v>
      </c>
      <c r="Q684" s="354">
        <f t="shared" si="657"/>
        <v>0.38837145789967908</v>
      </c>
      <c r="R684" s="354">
        <f t="shared" si="658"/>
        <v>0.65468132106782928</v>
      </c>
      <c r="S684" s="354">
        <f t="shared" si="659"/>
        <v>0.5831813545403739</v>
      </c>
      <c r="T684" s="354">
        <f t="shared" si="660"/>
        <v>2.4886576500570592</v>
      </c>
      <c r="U684" s="374">
        <f t="shared" si="661"/>
        <v>16.526522356429158</v>
      </c>
      <c r="V684" s="354">
        <f t="shared" si="662"/>
        <v>0.43746888223344849</v>
      </c>
      <c r="W684" s="354">
        <f t="shared" si="663"/>
        <v>14.922969639409919</v>
      </c>
      <c r="X684" s="354">
        <f t="shared" si="664"/>
        <v>1.166083834785792</v>
      </c>
      <c r="Y684" s="374">
        <f t="shared" si="665"/>
        <v>2.4227629040029766</v>
      </c>
      <c r="Z684" s="354">
        <f t="shared" si="666"/>
        <v>1.2498065358581329</v>
      </c>
      <c r="AA684" s="354">
        <f t="shared" si="667"/>
        <v>1.1729563681448436</v>
      </c>
      <c r="AB684" s="374">
        <f t="shared" si="668"/>
        <v>13.236512725891808</v>
      </c>
      <c r="AC684" s="354">
        <f t="shared" si="669"/>
        <v>3.7564240799687658</v>
      </c>
      <c r="AD684" s="354">
        <f t="shared" si="670"/>
        <v>8.176900797994799</v>
      </c>
      <c r="AE684" s="354">
        <f t="shared" si="671"/>
        <v>1.3031878479282439</v>
      </c>
      <c r="AF684" s="374">
        <f t="shared" si="672"/>
        <v>10.593832611410091</v>
      </c>
      <c r="AG684" s="354">
        <f t="shared" si="673"/>
        <v>0.68083068577588057</v>
      </c>
      <c r="AH684" s="354">
        <f t="shared" si="674"/>
        <v>3.4255328760221508</v>
      </c>
      <c r="AI684" s="354">
        <f t="shared" si="675"/>
        <v>0</v>
      </c>
      <c r="AJ684" s="354">
        <f t="shared" si="676"/>
        <v>6.4874690496120602</v>
      </c>
      <c r="AK684" s="374">
        <f t="shared" si="677"/>
        <v>6.9971527149616364</v>
      </c>
      <c r="AL684" s="354">
        <f t="shared" si="678"/>
        <v>2.0047306999621717</v>
      </c>
      <c r="AM684" s="354">
        <f t="shared" si="679"/>
        <v>4.7282823541836949</v>
      </c>
      <c r="AN684" s="354">
        <f t="shared" si="680"/>
        <v>0.26413966081576973</v>
      </c>
      <c r="AO684" s="374">
        <f t="shared" si="681"/>
        <v>4.0572652824428861</v>
      </c>
      <c r="AP684" s="354">
        <f t="shared" si="682"/>
        <v>0.93037360507915279</v>
      </c>
      <c r="AQ684" s="354">
        <f t="shared" si="683"/>
        <v>3.1268916773637332</v>
      </c>
      <c r="AR684" s="374">
        <f t="shared" si="684"/>
        <v>7.4016331906935067</v>
      </c>
      <c r="AS684" s="354">
        <f t="shared" si="685"/>
        <v>3.2073789331363503</v>
      </c>
      <c r="AT684" s="354">
        <f t="shared" si="686"/>
        <v>4.1942542575571569</v>
      </c>
      <c r="AU684" s="355" t="s">
        <v>396</v>
      </c>
      <c r="AV684" s="354" t="s">
        <v>397</v>
      </c>
      <c r="AW684" s="377">
        <v>0</v>
      </c>
      <c r="AX684" s="377">
        <v>0</v>
      </c>
      <c r="AY684" s="377">
        <v>0</v>
      </c>
      <c r="AZ684" s="377">
        <v>0</v>
      </c>
      <c r="BA684" s="377">
        <v>0</v>
      </c>
      <c r="BB684" s="377">
        <v>0</v>
      </c>
    </row>
    <row r="685" spans="1:54" ht="30" x14ac:dyDescent="0.25">
      <c r="A685" s="348" t="s">
        <v>1548</v>
      </c>
      <c r="B685" s="349">
        <v>159</v>
      </c>
      <c r="C685" s="423">
        <v>45200</v>
      </c>
      <c r="D685" s="351">
        <v>45229</v>
      </c>
      <c r="E685" s="352"/>
      <c r="F685" s="352">
        <v>6</v>
      </c>
      <c r="G685" s="352" t="s">
        <v>315</v>
      </c>
      <c r="H685" s="424" t="s">
        <v>1334</v>
      </c>
      <c r="I685" s="350" t="s">
        <v>393</v>
      </c>
      <c r="J685" s="560">
        <v>133403.6</v>
      </c>
      <c r="K685" s="350" t="s">
        <v>394</v>
      </c>
      <c r="L685" s="354">
        <v>2802.3999950000002</v>
      </c>
      <c r="M685" s="354">
        <f t="shared" si="687"/>
        <v>47.60334007922377</v>
      </c>
      <c r="N685" s="350" t="s">
        <v>395</v>
      </c>
      <c r="O685" s="354">
        <v>0</v>
      </c>
      <c r="P685" s="374">
        <f t="shared" si="656"/>
        <v>2.9993976708775265</v>
      </c>
      <c r="Q685" s="354">
        <f t="shared" si="657"/>
        <v>0.28288895683056975</v>
      </c>
      <c r="R685" s="354">
        <f t="shared" si="658"/>
        <v>0.47686850360969996</v>
      </c>
      <c r="S685" s="354">
        <f t="shared" si="659"/>
        <v>0.42478807768510157</v>
      </c>
      <c r="T685" s="354">
        <f t="shared" si="660"/>
        <v>1.8127330219897713</v>
      </c>
      <c r="U685" s="374">
        <f t="shared" si="661"/>
        <v>12.037884284109738</v>
      </c>
      <c r="V685" s="354">
        <f t="shared" si="662"/>
        <v>0.31865141792377288</v>
      </c>
      <c r="W685" s="354">
        <f t="shared" si="663"/>
        <v>10.869859842268351</v>
      </c>
      <c r="X685" s="354">
        <f t="shared" si="664"/>
        <v>0.84937302391761493</v>
      </c>
      <c r="Y685" s="374">
        <f t="shared" si="665"/>
        <v>1.7647354269227573</v>
      </c>
      <c r="Z685" s="354">
        <f t="shared" si="666"/>
        <v>0.91035646409490545</v>
      </c>
      <c r="AA685" s="354">
        <f t="shared" si="667"/>
        <v>0.85437896282785175</v>
      </c>
      <c r="AB685" s="374">
        <f t="shared" si="668"/>
        <v>9.6414481572673498</v>
      </c>
      <c r="AC685" s="354">
        <f t="shared" si="669"/>
        <v>2.7361714353120465</v>
      </c>
      <c r="AD685" s="354">
        <f t="shared" si="670"/>
        <v>5.9560374219088912</v>
      </c>
      <c r="AE685" s="354">
        <f t="shared" si="671"/>
        <v>0.94923930004641233</v>
      </c>
      <c r="AF685" s="374">
        <f t="shared" si="672"/>
        <v>7.7165254946556869</v>
      </c>
      <c r="AG685" s="354">
        <f t="shared" si="673"/>
        <v>0.49591564611612371</v>
      </c>
      <c r="AH685" s="354">
        <f t="shared" si="674"/>
        <v>2.4951509751188863</v>
      </c>
      <c r="AI685" s="354">
        <f t="shared" si="675"/>
        <v>0</v>
      </c>
      <c r="AJ685" s="354">
        <f t="shared" si="676"/>
        <v>4.7254588734206777</v>
      </c>
      <c r="AK685" s="374">
        <f t="shared" si="677"/>
        <v>5.0967113881756809</v>
      </c>
      <c r="AL685" s="354">
        <f t="shared" si="678"/>
        <v>1.4602416447014226</v>
      </c>
      <c r="AM685" s="354">
        <f t="shared" si="679"/>
        <v>3.4440709675450161</v>
      </c>
      <c r="AN685" s="354">
        <f t="shared" si="680"/>
        <v>0.19239877592924259</v>
      </c>
      <c r="AO685" s="374">
        <f t="shared" si="681"/>
        <v>2.9553035373460261</v>
      </c>
      <c r="AP685" s="354">
        <f t="shared" si="682"/>
        <v>0.677682186087742</v>
      </c>
      <c r="AQ685" s="354">
        <f t="shared" si="683"/>
        <v>2.2776213512582841</v>
      </c>
      <c r="AR685" s="374">
        <f t="shared" si="684"/>
        <v>5.3913341198690024</v>
      </c>
      <c r="AS685" s="354">
        <f t="shared" si="685"/>
        <v>2.3362480998530599</v>
      </c>
      <c r="AT685" s="354">
        <f t="shared" si="686"/>
        <v>3.0550860200159429</v>
      </c>
      <c r="AU685" s="355" t="s">
        <v>396</v>
      </c>
      <c r="AV685" s="354" t="s">
        <v>397</v>
      </c>
      <c r="AW685" s="377">
        <v>0</v>
      </c>
      <c r="AX685" s="377">
        <v>0</v>
      </c>
      <c r="AY685" s="377">
        <v>0</v>
      </c>
      <c r="AZ685" s="377">
        <v>0</v>
      </c>
      <c r="BA685" s="377">
        <v>0</v>
      </c>
      <c r="BB685" s="377">
        <v>0</v>
      </c>
    </row>
    <row r="686" spans="1:54" x14ac:dyDescent="0.25">
      <c r="A686" s="348" t="s">
        <v>1548</v>
      </c>
      <c r="B686" s="349">
        <v>159</v>
      </c>
      <c r="C686" s="423">
        <v>45200</v>
      </c>
      <c r="D686" s="351">
        <v>45229</v>
      </c>
      <c r="E686" s="352"/>
      <c r="F686" s="352">
        <v>6</v>
      </c>
      <c r="G686" s="352" t="s">
        <v>316</v>
      </c>
      <c r="H686" s="424" t="s">
        <v>1335</v>
      </c>
      <c r="I686" s="350" t="s">
        <v>393</v>
      </c>
      <c r="J686" s="560">
        <v>345468.5</v>
      </c>
      <c r="K686" s="350" t="s">
        <v>394</v>
      </c>
      <c r="L686" s="354">
        <v>2802.3999950000002</v>
      </c>
      <c r="M686" s="354">
        <f t="shared" si="687"/>
        <v>123.27594226961878</v>
      </c>
      <c r="N686" s="350" t="s">
        <v>395</v>
      </c>
      <c r="O686" s="354">
        <v>0</v>
      </c>
      <c r="P686" s="374">
        <f t="shared" si="656"/>
        <v>7.7673871939104542</v>
      </c>
      <c r="Q686" s="354">
        <f t="shared" si="657"/>
        <v>0.73258310557452477</v>
      </c>
      <c r="R686" s="354">
        <f t="shared" si="658"/>
        <v>1.2349220458764802</v>
      </c>
      <c r="S686" s="354">
        <f t="shared" si="659"/>
        <v>1.1000520227022021</v>
      </c>
      <c r="T686" s="354">
        <f t="shared" si="660"/>
        <v>4.6943422666800094</v>
      </c>
      <c r="U686" s="374">
        <f t="shared" si="661"/>
        <v>31.17389505834149</v>
      </c>
      <c r="V686" s="354">
        <f t="shared" si="662"/>
        <v>0.82519532735997325</v>
      </c>
      <c r="W686" s="354">
        <f t="shared" si="663"/>
        <v>28.149121724741189</v>
      </c>
      <c r="X686" s="354">
        <f t="shared" si="664"/>
        <v>2.1995780062403303</v>
      </c>
      <c r="Y686" s="374">
        <f t="shared" si="665"/>
        <v>4.570045342373553</v>
      </c>
      <c r="Z686" s="354">
        <f t="shared" si="666"/>
        <v>2.3575037114153652</v>
      </c>
      <c r="AA686" s="354">
        <f t="shared" si="667"/>
        <v>2.2125416309581878</v>
      </c>
      <c r="AB686" s="374">
        <f t="shared" si="668"/>
        <v>24.967966626979447</v>
      </c>
      <c r="AC686" s="354">
        <f t="shared" si="669"/>
        <v>7.0857236348951584</v>
      </c>
      <c r="AD686" s="354">
        <f t="shared" si="670"/>
        <v>15.42404638323652</v>
      </c>
      <c r="AE686" s="354">
        <f t="shared" si="671"/>
        <v>2.4581966088477674</v>
      </c>
      <c r="AF686" s="374">
        <f t="shared" si="672"/>
        <v>19.983092569094524</v>
      </c>
      <c r="AG686" s="354">
        <f t="shared" si="673"/>
        <v>1.2842474595158457</v>
      </c>
      <c r="AH686" s="354">
        <f t="shared" si="674"/>
        <v>6.4615652399774737</v>
      </c>
      <c r="AI686" s="354">
        <f t="shared" si="675"/>
        <v>0</v>
      </c>
      <c r="AJ686" s="354">
        <f t="shared" si="676"/>
        <v>12.237279869601204</v>
      </c>
      <c r="AK686" s="374">
        <f t="shared" si="677"/>
        <v>13.198693575030735</v>
      </c>
      <c r="AL686" s="354">
        <f t="shared" si="678"/>
        <v>3.7815133222231885</v>
      </c>
      <c r="AM686" s="354">
        <f t="shared" si="679"/>
        <v>8.9189349541640954</v>
      </c>
      <c r="AN686" s="354">
        <f t="shared" si="680"/>
        <v>0.49824529864345146</v>
      </c>
      <c r="AO686" s="374">
        <f t="shared" si="681"/>
        <v>7.6531988648853977</v>
      </c>
      <c r="AP686" s="354">
        <f t="shared" si="682"/>
        <v>1.7549589988909826</v>
      </c>
      <c r="AQ686" s="354">
        <f t="shared" si="683"/>
        <v>5.8982398659944151</v>
      </c>
      <c r="AR686" s="374">
        <f t="shared" si="684"/>
        <v>13.961663039003177</v>
      </c>
      <c r="AS686" s="354">
        <f t="shared" si="685"/>
        <v>6.0500625671577577</v>
      </c>
      <c r="AT686" s="354">
        <f t="shared" si="686"/>
        <v>7.9116004718454196</v>
      </c>
      <c r="AU686" s="355" t="s">
        <v>396</v>
      </c>
      <c r="AV686" s="354" t="s">
        <v>397</v>
      </c>
      <c r="AW686" s="377">
        <v>0</v>
      </c>
      <c r="AX686" s="377">
        <v>0</v>
      </c>
      <c r="AY686" s="377">
        <v>0</v>
      </c>
      <c r="AZ686" s="377">
        <v>0</v>
      </c>
      <c r="BA686" s="377">
        <v>0</v>
      </c>
      <c r="BB686" s="377">
        <v>0</v>
      </c>
    </row>
    <row r="687" spans="1:54" x14ac:dyDescent="0.25">
      <c r="A687" s="348" t="s">
        <v>1548</v>
      </c>
      <c r="B687" s="349">
        <v>159</v>
      </c>
      <c r="C687" s="423">
        <v>45200</v>
      </c>
      <c r="D687" s="351">
        <v>45229</v>
      </c>
      <c r="E687" s="352"/>
      <c r="F687" s="352">
        <v>6</v>
      </c>
      <c r="G687" s="352" t="s">
        <v>317</v>
      </c>
      <c r="H687" s="424" t="s">
        <v>1336</v>
      </c>
      <c r="I687" s="350" t="s">
        <v>393</v>
      </c>
      <c r="J687" s="560">
        <f>1251994+169809+29400+18000+40000</f>
        <v>1509203</v>
      </c>
      <c r="K687" s="350" t="s">
        <v>394</v>
      </c>
      <c r="L687" s="354">
        <v>2802.3999950000002</v>
      </c>
      <c r="M687" s="354">
        <f t="shared" si="687"/>
        <v>538.5394671327067</v>
      </c>
      <c r="N687" s="350" t="s">
        <v>395</v>
      </c>
      <c r="O687" s="354">
        <v>0</v>
      </c>
      <c r="P687" s="374">
        <f t="shared" si="656"/>
        <v>33.932367365508696</v>
      </c>
      <c r="Q687" s="354">
        <f t="shared" si="657"/>
        <v>3.2003398882456424</v>
      </c>
      <c r="R687" s="354">
        <f t="shared" si="658"/>
        <v>5.3948422400390248</v>
      </c>
      <c r="S687" s="354">
        <f t="shared" si="659"/>
        <v>4.8056532297973096</v>
      </c>
      <c r="T687" s="354">
        <f t="shared" si="660"/>
        <v>20.507558379129417</v>
      </c>
      <c r="U687" s="374">
        <f t="shared" si="661"/>
        <v>136.18531340407057</v>
      </c>
      <c r="V687" s="354">
        <f t="shared" si="662"/>
        <v>3.6049227748337511</v>
      </c>
      <c r="W687" s="354">
        <f t="shared" si="663"/>
        <v>122.97138220805827</v>
      </c>
      <c r="X687" s="354">
        <f t="shared" si="664"/>
        <v>9.6090084211785598</v>
      </c>
      <c r="Y687" s="374">
        <f t="shared" si="665"/>
        <v>19.964558681460666</v>
      </c>
      <c r="Z687" s="354">
        <f t="shared" si="666"/>
        <v>10.298917770445652</v>
      </c>
      <c r="AA687" s="354">
        <f t="shared" si="667"/>
        <v>9.6656409110150125</v>
      </c>
      <c r="AB687" s="374">
        <f t="shared" si="668"/>
        <v>109.07428647571996</v>
      </c>
      <c r="AC687" s="354">
        <f t="shared" si="669"/>
        <v>30.954473032866026</v>
      </c>
      <c r="AD687" s="354">
        <f t="shared" si="670"/>
        <v>67.381011796212121</v>
      </c>
      <c r="AE687" s="354">
        <f t="shared" si="671"/>
        <v>10.738801646641811</v>
      </c>
      <c r="AF687" s="374">
        <f t="shared" si="672"/>
        <v>87.297519902842552</v>
      </c>
      <c r="AG687" s="354">
        <f t="shared" si="673"/>
        <v>5.6103237158921671</v>
      </c>
      <c r="AH687" s="354">
        <f t="shared" si="674"/>
        <v>28.22779398083971</v>
      </c>
      <c r="AI687" s="354">
        <f t="shared" si="675"/>
        <v>0</v>
      </c>
      <c r="AJ687" s="354">
        <f t="shared" si="676"/>
        <v>53.459402206110681</v>
      </c>
      <c r="AK687" s="374">
        <f t="shared" si="677"/>
        <v>57.659404372662372</v>
      </c>
      <c r="AL687" s="354">
        <f t="shared" si="678"/>
        <v>16.51980209610776</v>
      </c>
      <c r="AM687" s="354">
        <f t="shared" si="679"/>
        <v>38.962983281049688</v>
      </c>
      <c r="AN687" s="354">
        <f t="shared" si="680"/>
        <v>2.1766189955049242</v>
      </c>
      <c r="AO687" s="374">
        <f t="shared" si="681"/>
        <v>33.433527764417413</v>
      </c>
      <c r="AP687" s="354">
        <f t="shared" si="682"/>
        <v>7.6666595825763215</v>
      </c>
      <c r="AQ687" s="354">
        <f t="shared" si="683"/>
        <v>25.766868181841094</v>
      </c>
      <c r="AR687" s="374">
        <f t="shared" si="684"/>
        <v>60.992489166024441</v>
      </c>
      <c r="AS687" s="354">
        <f t="shared" si="685"/>
        <v>26.430116136615034</v>
      </c>
      <c r="AT687" s="354">
        <f t="shared" si="686"/>
        <v>34.562373029409407</v>
      </c>
      <c r="AU687" s="355" t="s">
        <v>396</v>
      </c>
      <c r="AV687" s="354" t="s">
        <v>397</v>
      </c>
      <c r="AW687" s="377">
        <v>0</v>
      </c>
      <c r="AX687" s="377">
        <v>0</v>
      </c>
      <c r="AY687" s="377">
        <v>0</v>
      </c>
      <c r="AZ687" s="377">
        <v>0</v>
      </c>
      <c r="BA687" s="377">
        <v>0</v>
      </c>
      <c r="BB687" s="377">
        <v>0</v>
      </c>
    </row>
    <row r="688" spans="1:54" x14ac:dyDescent="0.25">
      <c r="A688" s="348" t="s">
        <v>1549</v>
      </c>
      <c r="B688" s="349">
        <v>160</v>
      </c>
      <c r="C688" s="423">
        <v>45200</v>
      </c>
      <c r="D688" s="351">
        <v>45217</v>
      </c>
      <c r="E688" s="352"/>
      <c r="F688" s="352">
        <v>6</v>
      </c>
      <c r="G688" s="352" t="s">
        <v>335</v>
      </c>
      <c r="H688" s="424" t="s">
        <v>1556</v>
      </c>
      <c r="I688" s="350" t="s">
        <v>393</v>
      </c>
      <c r="J688" s="375">
        <v>200000</v>
      </c>
      <c r="K688" s="350" t="s">
        <v>394</v>
      </c>
      <c r="L688" s="354">
        <v>2802.3999950000002</v>
      </c>
      <c r="M688" s="354">
        <f t="shared" si="687"/>
        <v>71.367399499299523</v>
      </c>
      <c r="N688" s="350" t="s">
        <v>395</v>
      </c>
      <c r="O688" s="354">
        <v>0</v>
      </c>
      <c r="P688" s="374">
        <f t="shared" si="656"/>
        <v>4.496726731328879</v>
      </c>
      <c r="Q688" s="354">
        <f t="shared" si="657"/>
        <v>0.42410992931310659</v>
      </c>
      <c r="R688" s="354">
        <f t="shared" si="658"/>
        <v>0.71492598941812646</v>
      </c>
      <c r="S688" s="354">
        <f t="shared" si="659"/>
        <v>0.63684649842298335</v>
      </c>
      <c r="T688" s="354">
        <f t="shared" si="660"/>
        <v>2.7176673223058017</v>
      </c>
      <c r="U688" s="374">
        <f t="shared" si="661"/>
        <v>18.047315490900903</v>
      </c>
      <c r="V688" s="354">
        <f t="shared" si="662"/>
        <v>0.47772536561797868</v>
      </c>
      <c r="W688" s="354">
        <f t="shared" si="663"/>
        <v>16.296201665125007</v>
      </c>
      <c r="X688" s="354">
        <f t="shared" si="664"/>
        <v>1.2733884601579193</v>
      </c>
      <c r="Y688" s="374">
        <f t="shared" si="665"/>
        <v>2.6457088518192271</v>
      </c>
      <c r="Z688" s="354">
        <f t="shared" si="666"/>
        <v>1.364815438406318</v>
      </c>
      <c r="AA688" s="354">
        <f t="shared" si="667"/>
        <v>1.2808934134129091</v>
      </c>
      <c r="AB688" s="374">
        <f t="shared" si="668"/>
        <v>14.454554685581723</v>
      </c>
      <c r="AC688" s="354">
        <f t="shared" si="669"/>
        <v>4.1020953487192946</v>
      </c>
      <c r="AD688" s="354">
        <f t="shared" si="670"/>
        <v>8.9293503652208646</v>
      </c>
      <c r="AE688" s="354">
        <f t="shared" si="671"/>
        <v>1.4231089716415635</v>
      </c>
      <c r="AF688" s="374">
        <f t="shared" si="672"/>
        <v>11.568691541541138</v>
      </c>
      <c r="AG688" s="354">
        <f t="shared" si="673"/>
        <v>0.74348165434234714</v>
      </c>
      <c r="AH688" s="354">
        <f t="shared" si="674"/>
        <v>3.7407550847486668</v>
      </c>
      <c r="AI688" s="354">
        <f t="shared" si="675"/>
        <v>0</v>
      </c>
      <c r="AJ688" s="354">
        <f t="shared" si="676"/>
        <v>7.084454802450125</v>
      </c>
      <c r="AK688" s="374">
        <f t="shared" si="677"/>
        <v>7.6410402540496367</v>
      </c>
      <c r="AL688" s="354">
        <f t="shared" si="678"/>
        <v>2.1892087540387553</v>
      </c>
      <c r="AM688" s="354">
        <f t="shared" si="679"/>
        <v>5.1633853472395286</v>
      </c>
      <c r="AN688" s="354">
        <f t="shared" si="680"/>
        <v>0.28844615277135338</v>
      </c>
      <c r="AO688" s="374">
        <f t="shared" si="681"/>
        <v>4.4306203690845321</v>
      </c>
      <c r="AP688" s="354">
        <f t="shared" si="682"/>
        <v>1.0159878535328013</v>
      </c>
      <c r="AQ688" s="354">
        <f t="shared" si="683"/>
        <v>3.4146325155517308</v>
      </c>
      <c r="AR688" s="374">
        <f t="shared" si="684"/>
        <v>8.0827415749934826</v>
      </c>
      <c r="AS688" s="354">
        <f t="shared" si="685"/>
        <v>3.5025263184097879</v>
      </c>
      <c r="AT688" s="354">
        <f t="shared" si="686"/>
        <v>4.5802152565836947</v>
      </c>
      <c r="AU688" s="355" t="s">
        <v>396</v>
      </c>
      <c r="AV688" s="354" t="s">
        <v>397</v>
      </c>
      <c r="AW688" s="377">
        <v>0</v>
      </c>
      <c r="AX688" s="377">
        <v>0</v>
      </c>
      <c r="AY688" s="377">
        <v>0</v>
      </c>
      <c r="AZ688" s="377">
        <v>0</v>
      </c>
      <c r="BA688" s="377">
        <v>0</v>
      </c>
      <c r="BB688" s="377">
        <v>0</v>
      </c>
    </row>
    <row r="689" spans="1:54" x14ac:dyDescent="0.25">
      <c r="A689" s="348" t="s">
        <v>1549</v>
      </c>
      <c r="B689" s="349">
        <v>160</v>
      </c>
      <c r="C689" s="423">
        <v>45200</v>
      </c>
      <c r="D689" s="351">
        <v>45217</v>
      </c>
      <c r="E689" s="352"/>
      <c r="F689" s="352">
        <v>6</v>
      </c>
      <c r="G689" s="352" t="s">
        <v>337</v>
      </c>
      <c r="H689" s="424" t="s">
        <v>1557</v>
      </c>
      <c r="I689" s="350" t="s">
        <v>393</v>
      </c>
      <c r="J689" s="375">
        <v>30000</v>
      </c>
      <c r="K689" s="350" t="s">
        <v>394</v>
      </c>
      <c r="L689" s="354">
        <v>2802.3999950000002</v>
      </c>
      <c r="M689" s="354">
        <f t="shared" si="687"/>
        <v>10.705109924894929</v>
      </c>
      <c r="N689" s="350" t="s">
        <v>395</v>
      </c>
      <c r="O689" s="354">
        <v>0</v>
      </c>
      <c r="P689" s="374">
        <f t="shared" si="656"/>
        <v>0.67450900969933192</v>
      </c>
      <c r="Q689" s="354">
        <f t="shared" si="657"/>
        <v>6.3616489396966E-2</v>
      </c>
      <c r="R689" s="354">
        <f t="shared" si="658"/>
        <v>0.10723889841271898</v>
      </c>
      <c r="S689" s="354">
        <f t="shared" si="659"/>
        <v>9.5526974763447514E-2</v>
      </c>
      <c r="T689" s="354">
        <f t="shared" si="660"/>
        <v>0.40765009834587029</v>
      </c>
      <c r="U689" s="374">
        <f t="shared" si="661"/>
        <v>2.7070973236351357</v>
      </c>
      <c r="V689" s="354">
        <f t="shared" si="662"/>
        <v>7.1658804842696808E-2</v>
      </c>
      <c r="W689" s="354">
        <f t="shared" si="663"/>
        <v>2.4444302497687511</v>
      </c>
      <c r="X689" s="354">
        <f t="shared" si="664"/>
        <v>0.19100826902368789</v>
      </c>
      <c r="Y689" s="374">
        <f t="shared" si="665"/>
        <v>0.3968563277728841</v>
      </c>
      <c r="Z689" s="354">
        <f t="shared" si="666"/>
        <v>0.20472231576094771</v>
      </c>
      <c r="AA689" s="354">
        <f t="shared" si="667"/>
        <v>0.19213401201193636</v>
      </c>
      <c r="AB689" s="374">
        <f t="shared" si="668"/>
        <v>2.1681832028372585</v>
      </c>
      <c r="AC689" s="354">
        <f t="shared" si="669"/>
        <v>0.61531430230789419</v>
      </c>
      <c r="AD689" s="354">
        <f t="shared" si="670"/>
        <v>1.3394025547831296</v>
      </c>
      <c r="AE689" s="354">
        <f t="shared" si="671"/>
        <v>0.21346634574623452</v>
      </c>
      <c r="AF689" s="374">
        <f t="shared" si="672"/>
        <v>1.7353037312311708</v>
      </c>
      <c r="AG689" s="354">
        <f t="shared" si="673"/>
        <v>0.11152224815135207</v>
      </c>
      <c r="AH689" s="354">
        <f t="shared" si="674"/>
        <v>0.5611132627123</v>
      </c>
      <c r="AI689" s="354">
        <f t="shared" si="675"/>
        <v>0</v>
      </c>
      <c r="AJ689" s="354">
        <f t="shared" si="676"/>
        <v>1.0626682203675188</v>
      </c>
      <c r="AK689" s="374">
        <f t="shared" si="677"/>
        <v>1.1461560381074456</v>
      </c>
      <c r="AL689" s="354">
        <f t="shared" si="678"/>
        <v>0.32838131310581331</v>
      </c>
      <c r="AM689" s="354">
        <f t="shared" si="679"/>
        <v>0.77450780208592929</v>
      </c>
      <c r="AN689" s="354">
        <f t="shared" si="680"/>
        <v>4.3266922915703006E-2</v>
      </c>
      <c r="AO689" s="374">
        <f t="shared" si="681"/>
        <v>0.66459305536267976</v>
      </c>
      <c r="AP689" s="354">
        <f t="shared" si="682"/>
        <v>0.1523981780299202</v>
      </c>
      <c r="AQ689" s="354">
        <f t="shared" si="683"/>
        <v>0.51219487733275959</v>
      </c>
      <c r="AR689" s="374">
        <f t="shared" si="684"/>
        <v>1.2124112362490223</v>
      </c>
      <c r="AS689" s="354">
        <f t="shared" si="685"/>
        <v>0.5253789477614681</v>
      </c>
      <c r="AT689" s="354">
        <f t="shared" si="686"/>
        <v>0.68703228848755415</v>
      </c>
      <c r="AU689" s="355" t="s">
        <v>396</v>
      </c>
      <c r="AV689" s="354" t="s">
        <v>397</v>
      </c>
      <c r="AW689" s="377">
        <v>0</v>
      </c>
      <c r="AX689" s="377">
        <v>0</v>
      </c>
      <c r="AY689" s="377">
        <v>0</v>
      </c>
      <c r="AZ689" s="377">
        <v>0</v>
      </c>
      <c r="BA689" s="377">
        <v>0</v>
      </c>
      <c r="BB689" s="377">
        <v>0</v>
      </c>
    </row>
    <row r="690" spans="1:54" x14ac:dyDescent="0.25">
      <c r="A690" s="348" t="s">
        <v>1549</v>
      </c>
      <c r="B690" s="349">
        <v>160</v>
      </c>
      <c r="C690" s="423">
        <v>45200</v>
      </c>
      <c r="D690" s="351">
        <v>45217</v>
      </c>
      <c r="E690" s="352"/>
      <c r="F690" s="352">
        <v>6</v>
      </c>
      <c r="G690" s="352" t="s">
        <v>338</v>
      </c>
      <c r="H690" s="424" t="s">
        <v>1558</v>
      </c>
      <c r="I690" s="350" t="s">
        <v>393</v>
      </c>
      <c r="J690" s="375">
        <v>90000</v>
      </c>
      <c r="K690" s="350" t="s">
        <v>394</v>
      </c>
      <c r="L690" s="354">
        <v>2802.3999950000002</v>
      </c>
      <c r="M690" s="354">
        <f t="shared" si="687"/>
        <v>32.115329774684788</v>
      </c>
      <c r="N690" s="350" t="s">
        <v>395</v>
      </c>
      <c r="O690" s="354">
        <v>0</v>
      </c>
      <c r="P690" s="374">
        <f t="shared" si="656"/>
        <v>2.0235270290979956</v>
      </c>
      <c r="Q690" s="354">
        <f t="shared" si="657"/>
        <v>0.19084946819089799</v>
      </c>
      <c r="R690" s="354">
        <f t="shared" si="658"/>
        <v>0.32171669523815694</v>
      </c>
      <c r="S690" s="354">
        <f t="shared" si="659"/>
        <v>0.28658092429034254</v>
      </c>
      <c r="T690" s="354">
        <f t="shared" si="660"/>
        <v>1.2229502950376108</v>
      </c>
      <c r="U690" s="374">
        <f t="shared" si="661"/>
        <v>8.121291970905407</v>
      </c>
      <c r="V690" s="354">
        <f t="shared" si="662"/>
        <v>0.21497641452809041</v>
      </c>
      <c r="W690" s="354">
        <f t="shared" si="663"/>
        <v>7.3332907493062534</v>
      </c>
      <c r="X690" s="354">
        <f t="shared" si="664"/>
        <v>0.57302480707106374</v>
      </c>
      <c r="Y690" s="374">
        <f t="shared" si="665"/>
        <v>1.1905689833186524</v>
      </c>
      <c r="Z690" s="354">
        <f t="shared" si="666"/>
        <v>0.61416694728284316</v>
      </c>
      <c r="AA690" s="354">
        <f t="shared" si="667"/>
        <v>0.57640203603580908</v>
      </c>
      <c r="AB690" s="374">
        <f t="shared" si="668"/>
        <v>6.504549608511776</v>
      </c>
      <c r="AC690" s="354">
        <f t="shared" si="669"/>
        <v>1.8459429069236828</v>
      </c>
      <c r="AD690" s="354">
        <f t="shared" si="670"/>
        <v>4.0182076643493891</v>
      </c>
      <c r="AE690" s="354">
        <f t="shared" si="671"/>
        <v>0.64039903723870362</v>
      </c>
      <c r="AF690" s="374">
        <f t="shared" si="672"/>
        <v>5.2059111936935123</v>
      </c>
      <c r="AG690" s="354">
        <f t="shared" si="673"/>
        <v>0.33456674445405626</v>
      </c>
      <c r="AH690" s="354">
        <f t="shared" si="674"/>
        <v>1.6833397881369001</v>
      </c>
      <c r="AI690" s="354">
        <f t="shared" si="675"/>
        <v>0</v>
      </c>
      <c r="AJ690" s="354">
        <f t="shared" si="676"/>
        <v>3.1880046611025565</v>
      </c>
      <c r="AK690" s="374">
        <f t="shared" si="677"/>
        <v>3.4384681143223368</v>
      </c>
      <c r="AL690" s="354">
        <f t="shared" si="678"/>
        <v>0.98514393931743993</v>
      </c>
      <c r="AM690" s="354">
        <f t="shared" si="679"/>
        <v>2.3235234062577881</v>
      </c>
      <c r="AN690" s="354">
        <f t="shared" si="680"/>
        <v>0.12980076874710902</v>
      </c>
      <c r="AO690" s="374">
        <f t="shared" si="681"/>
        <v>1.9937791660880395</v>
      </c>
      <c r="AP690" s="354">
        <f t="shared" si="682"/>
        <v>0.45719453408976063</v>
      </c>
      <c r="AQ690" s="354">
        <f t="shared" si="683"/>
        <v>1.536584631998279</v>
      </c>
      <c r="AR690" s="374">
        <f t="shared" si="684"/>
        <v>3.637233708747067</v>
      </c>
      <c r="AS690" s="354">
        <f t="shared" si="685"/>
        <v>1.5761368432844045</v>
      </c>
      <c r="AT690" s="354">
        <f t="shared" si="686"/>
        <v>2.0610968654626629</v>
      </c>
      <c r="AU690" s="355" t="s">
        <v>396</v>
      </c>
      <c r="AV690" s="354" t="s">
        <v>397</v>
      </c>
      <c r="AW690" s="377">
        <v>0</v>
      </c>
      <c r="AX690" s="377">
        <v>0</v>
      </c>
      <c r="AY690" s="377">
        <v>0</v>
      </c>
      <c r="AZ690" s="377">
        <v>0</v>
      </c>
      <c r="BA690" s="377">
        <v>0</v>
      </c>
      <c r="BB690" s="377">
        <v>0</v>
      </c>
    </row>
    <row r="691" spans="1:54" x14ac:dyDescent="0.25">
      <c r="A691" s="348" t="s">
        <v>1549</v>
      </c>
      <c r="B691" s="349">
        <v>160</v>
      </c>
      <c r="C691" s="423">
        <v>45200</v>
      </c>
      <c r="D691" s="351">
        <v>45217</v>
      </c>
      <c r="E691" s="352"/>
      <c r="F691" s="352">
        <v>6</v>
      </c>
      <c r="G691" s="352" t="s">
        <v>339</v>
      </c>
      <c r="H691" s="424" t="s">
        <v>1559</v>
      </c>
      <c r="I691" s="350" t="s">
        <v>393</v>
      </c>
      <c r="J691" s="375">
        <v>60000</v>
      </c>
      <c r="K691" s="350" t="s">
        <v>394</v>
      </c>
      <c r="L691" s="354">
        <v>2802.3999950000002</v>
      </c>
      <c r="M691" s="354">
        <f t="shared" si="687"/>
        <v>21.410219849789858</v>
      </c>
      <c r="N691" s="350" t="s">
        <v>395</v>
      </c>
      <c r="O691" s="354">
        <v>0</v>
      </c>
      <c r="P691" s="374">
        <f t="shared" si="656"/>
        <v>1.3490180193986638</v>
      </c>
      <c r="Q691" s="354">
        <f t="shared" si="657"/>
        <v>0.127232978793932</v>
      </c>
      <c r="R691" s="354">
        <f t="shared" si="658"/>
        <v>0.21447779682543797</v>
      </c>
      <c r="S691" s="354">
        <f t="shared" si="659"/>
        <v>0.19105394952689503</v>
      </c>
      <c r="T691" s="354">
        <f t="shared" si="660"/>
        <v>0.81530019669174059</v>
      </c>
      <c r="U691" s="374">
        <f t="shared" si="661"/>
        <v>5.4141946472702713</v>
      </c>
      <c r="V691" s="354">
        <f t="shared" si="662"/>
        <v>0.14331760968539362</v>
      </c>
      <c r="W691" s="354">
        <f t="shared" si="663"/>
        <v>4.8888604995375022</v>
      </c>
      <c r="X691" s="354">
        <f t="shared" si="664"/>
        <v>0.38201653804737579</v>
      </c>
      <c r="Y691" s="374">
        <f t="shared" si="665"/>
        <v>0.7937126555457682</v>
      </c>
      <c r="Z691" s="354">
        <f t="shared" si="666"/>
        <v>0.40944463152189542</v>
      </c>
      <c r="AA691" s="354">
        <f t="shared" si="667"/>
        <v>0.38426802402387272</v>
      </c>
      <c r="AB691" s="374">
        <f t="shared" si="668"/>
        <v>4.336366405674517</v>
      </c>
      <c r="AC691" s="354">
        <f t="shared" si="669"/>
        <v>1.2306286046157884</v>
      </c>
      <c r="AD691" s="354">
        <f t="shared" si="670"/>
        <v>2.6788051095662593</v>
      </c>
      <c r="AE691" s="354">
        <f t="shared" si="671"/>
        <v>0.42693269149246904</v>
      </c>
      <c r="AF691" s="374">
        <f t="shared" si="672"/>
        <v>3.4706074624623415</v>
      </c>
      <c r="AG691" s="354">
        <f t="shared" si="673"/>
        <v>0.22304449630270415</v>
      </c>
      <c r="AH691" s="354">
        <f t="shared" si="674"/>
        <v>1.1222265254246</v>
      </c>
      <c r="AI691" s="354">
        <f t="shared" si="675"/>
        <v>0</v>
      </c>
      <c r="AJ691" s="354">
        <f t="shared" si="676"/>
        <v>2.1253364407350377</v>
      </c>
      <c r="AK691" s="374">
        <f t="shared" si="677"/>
        <v>2.2923120762148912</v>
      </c>
      <c r="AL691" s="354">
        <f t="shared" si="678"/>
        <v>0.65676262621162662</v>
      </c>
      <c r="AM691" s="354">
        <f t="shared" si="679"/>
        <v>1.5490156041718586</v>
      </c>
      <c r="AN691" s="354">
        <f t="shared" si="680"/>
        <v>8.6533845831406012E-2</v>
      </c>
      <c r="AO691" s="374">
        <f t="shared" si="681"/>
        <v>1.3291861107253595</v>
      </c>
      <c r="AP691" s="354">
        <f t="shared" si="682"/>
        <v>0.3047963560598404</v>
      </c>
      <c r="AQ691" s="354">
        <f t="shared" si="683"/>
        <v>1.0243897546655192</v>
      </c>
      <c r="AR691" s="374">
        <f t="shared" si="684"/>
        <v>2.4248224724980445</v>
      </c>
      <c r="AS691" s="354">
        <f t="shared" si="685"/>
        <v>1.0507578955229362</v>
      </c>
      <c r="AT691" s="354">
        <f t="shared" si="686"/>
        <v>1.3740645769751083</v>
      </c>
      <c r="AU691" s="355" t="s">
        <v>396</v>
      </c>
      <c r="AV691" s="354" t="s">
        <v>397</v>
      </c>
      <c r="AW691" s="377">
        <v>0</v>
      </c>
      <c r="AX691" s="377">
        <v>0</v>
      </c>
      <c r="AY691" s="377">
        <v>0</v>
      </c>
      <c r="AZ691" s="377">
        <v>0</v>
      </c>
      <c r="BA691" s="377">
        <v>0</v>
      </c>
      <c r="BB691" s="377">
        <v>0</v>
      </c>
    </row>
    <row r="692" spans="1:54" x14ac:dyDescent="0.25">
      <c r="A692" s="348" t="s">
        <v>1549</v>
      </c>
      <c r="B692" s="349">
        <v>160</v>
      </c>
      <c r="C692" s="423">
        <v>45200</v>
      </c>
      <c r="D692" s="351">
        <v>45217</v>
      </c>
      <c r="E692" s="352"/>
      <c r="F692" s="352">
        <v>6</v>
      </c>
      <c r="G692" s="352" t="s">
        <v>340</v>
      </c>
      <c r="H692" s="424" t="s">
        <v>1560</v>
      </c>
      <c r="I692" s="350" t="s">
        <v>393</v>
      </c>
      <c r="J692" s="375">
        <v>29495</v>
      </c>
      <c r="K692" s="350" t="s">
        <v>394</v>
      </c>
      <c r="L692" s="354">
        <v>2802.3999950000002</v>
      </c>
      <c r="M692" s="354">
        <f t="shared" si="687"/>
        <v>10.524907241159196</v>
      </c>
      <c r="N692" s="350" t="s">
        <v>395</v>
      </c>
      <c r="O692" s="354">
        <v>0</v>
      </c>
      <c r="P692" s="374">
        <f t="shared" si="656"/>
        <v>0.66315477470272644</v>
      </c>
      <c r="Q692" s="354">
        <f t="shared" si="657"/>
        <v>6.254561182545039E-2</v>
      </c>
      <c r="R692" s="354">
        <f t="shared" si="658"/>
        <v>0.10543371028943821</v>
      </c>
      <c r="S692" s="354">
        <f t="shared" si="659"/>
        <v>9.3918937354929469E-2</v>
      </c>
      <c r="T692" s="354">
        <f t="shared" si="660"/>
        <v>0.4007879883570481</v>
      </c>
      <c r="U692" s="374">
        <f t="shared" si="661"/>
        <v>2.6615278520206105</v>
      </c>
      <c r="V692" s="354">
        <f t="shared" si="662"/>
        <v>7.0452548294511405E-2</v>
      </c>
      <c r="W692" s="354">
        <f t="shared" si="663"/>
        <v>2.40328234056431</v>
      </c>
      <c r="X692" s="354">
        <f t="shared" si="664"/>
        <v>0.18779296316178912</v>
      </c>
      <c r="Y692" s="374">
        <f t="shared" si="665"/>
        <v>0.39017591292204051</v>
      </c>
      <c r="Z692" s="354">
        <f t="shared" si="666"/>
        <v>0.20127615677897173</v>
      </c>
      <c r="AA692" s="354">
        <f t="shared" si="667"/>
        <v>0.18889975614306875</v>
      </c>
      <c r="AB692" s="374">
        <f t="shared" si="668"/>
        <v>2.1316854522561646</v>
      </c>
      <c r="AC692" s="354">
        <f t="shared" si="669"/>
        <v>0.60495651155237795</v>
      </c>
      <c r="AD692" s="354">
        <f t="shared" si="670"/>
        <v>1.3168559451109469</v>
      </c>
      <c r="AE692" s="354">
        <f t="shared" si="671"/>
        <v>0.20987299559283956</v>
      </c>
      <c r="AF692" s="374">
        <f t="shared" si="672"/>
        <v>1.7060927850887793</v>
      </c>
      <c r="AG692" s="354">
        <f t="shared" si="673"/>
        <v>0.10964495697413765</v>
      </c>
      <c r="AH692" s="354">
        <f t="shared" si="674"/>
        <v>0.5516678561233096</v>
      </c>
      <c r="AI692" s="354">
        <f t="shared" si="675"/>
        <v>0</v>
      </c>
      <c r="AJ692" s="354">
        <f t="shared" si="676"/>
        <v>1.0447799719913322</v>
      </c>
      <c r="AK692" s="374">
        <f t="shared" si="677"/>
        <v>1.1268624114659702</v>
      </c>
      <c r="AL692" s="354">
        <f t="shared" si="678"/>
        <v>0.32285356100186546</v>
      </c>
      <c r="AM692" s="354">
        <f t="shared" si="679"/>
        <v>0.76147025408414948</v>
      </c>
      <c r="AN692" s="354">
        <f t="shared" si="680"/>
        <v>4.2538596379955343E-2</v>
      </c>
      <c r="AO692" s="374">
        <f t="shared" si="681"/>
        <v>0.65340573893074128</v>
      </c>
      <c r="AP692" s="354">
        <f t="shared" si="682"/>
        <v>0.14983280869974985</v>
      </c>
      <c r="AQ692" s="354">
        <f t="shared" si="683"/>
        <v>0.50357293023099148</v>
      </c>
      <c r="AR692" s="374">
        <f t="shared" si="684"/>
        <v>1.1920023137721636</v>
      </c>
      <c r="AS692" s="354">
        <f t="shared" si="685"/>
        <v>0.51653506880748334</v>
      </c>
      <c r="AT692" s="354">
        <f t="shared" si="686"/>
        <v>0.67546724496468025</v>
      </c>
      <c r="AU692" s="355" t="s">
        <v>396</v>
      </c>
      <c r="AV692" s="354" t="s">
        <v>397</v>
      </c>
      <c r="AW692" s="377">
        <v>0</v>
      </c>
      <c r="AX692" s="377">
        <v>0</v>
      </c>
      <c r="AY692" s="377">
        <v>0</v>
      </c>
      <c r="AZ692" s="377">
        <v>0</v>
      </c>
      <c r="BA692" s="377">
        <v>0</v>
      </c>
      <c r="BB692" s="377">
        <v>0</v>
      </c>
    </row>
    <row r="693" spans="1:54" x14ac:dyDescent="0.25">
      <c r="A693" s="348" t="s">
        <v>1550</v>
      </c>
      <c r="B693" s="349">
        <v>161</v>
      </c>
      <c r="C693" s="423">
        <v>45200</v>
      </c>
      <c r="D693" s="351">
        <v>45217</v>
      </c>
      <c r="E693" s="352"/>
      <c r="F693" s="352">
        <v>6</v>
      </c>
      <c r="G693" s="352" t="s">
        <v>1306</v>
      </c>
      <c r="H693" s="424" t="s">
        <v>1307</v>
      </c>
      <c r="I693" s="350" t="s">
        <v>393</v>
      </c>
      <c r="J693" s="375">
        <f>19500+13000</f>
        <v>32500</v>
      </c>
      <c r="K693" s="350" t="s">
        <v>394</v>
      </c>
      <c r="L693" s="354">
        <v>2802.3999950000002</v>
      </c>
      <c r="M693" s="354">
        <f t="shared" si="687"/>
        <v>11.597202418636172</v>
      </c>
      <c r="N693" s="350" t="s">
        <v>395</v>
      </c>
      <c r="O693" s="354">
        <v>0</v>
      </c>
      <c r="P693" s="374">
        <f t="shared" si="656"/>
        <v>0.73071809384094288</v>
      </c>
      <c r="Q693" s="354">
        <f t="shared" si="657"/>
        <v>6.8917863513379821E-2</v>
      </c>
      <c r="R693" s="354">
        <f t="shared" si="658"/>
        <v>0.11617547328044556</v>
      </c>
      <c r="S693" s="354">
        <f t="shared" si="659"/>
        <v>0.1034875559937348</v>
      </c>
      <c r="T693" s="354">
        <f t="shared" si="660"/>
        <v>0.44162093987469281</v>
      </c>
      <c r="U693" s="374">
        <f t="shared" si="661"/>
        <v>2.9326887672713964</v>
      </c>
      <c r="V693" s="354">
        <f t="shared" si="662"/>
        <v>7.763037191292152E-2</v>
      </c>
      <c r="W693" s="354">
        <f t="shared" si="663"/>
        <v>2.648132770582813</v>
      </c>
      <c r="X693" s="354">
        <f t="shared" si="664"/>
        <v>0.20692562477566184</v>
      </c>
      <c r="Y693" s="374">
        <f t="shared" si="665"/>
        <v>0.4299276884206244</v>
      </c>
      <c r="Z693" s="354">
        <f t="shared" si="666"/>
        <v>0.22178250874102667</v>
      </c>
      <c r="AA693" s="354">
        <f t="shared" si="667"/>
        <v>0.20814517967959772</v>
      </c>
      <c r="AB693" s="374">
        <f t="shared" si="668"/>
        <v>2.3488651364070297</v>
      </c>
      <c r="AC693" s="354">
        <f t="shared" si="669"/>
        <v>0.66659049416688532</v>
      </c>
      <c r="AD693" s="354">
        <f t="shared" si="670"/>
        <v>1.4510194343483902</v>
      </c>
      <c r="AE693" s="354">
        <f t="shared" si="671"/>
        <v>0.23125520789175402</v>
      </c>
      <c r="AF693" s="374">
        <f t="shared" si="672"/>
        <v>1.8799123755004348</v>
      </c>
      <c r="AG693" s="354">
        <f t="shared" si="673"/>
        <v>0.1208157688306314</v>
      </c>
      <c r="AH693" s="354">
        <f t="shared" si="674"/>
        <v>0.60787270127165827</v>
      </c>
      <c r="AI693" s="354">
        <f t="shared" si="675"/>
        <v>0</v>
      </c>
      <c r="AJ693" s="354">
        <f t="shared" si="676"/>
        <v>1.1512239053981452</v>
      </c>
      <c r="AK693" s="374">
        <f t="shared" si="677"/>
        <v>1.241669041283066</v>
      </c>
      <c r="AL693" s="354">
        <f t="shared" si="678"/>
        <v>0.35574642253129773</v>
      </c>
      <c r="AM693" s="354">
        <f t="shared" si="679"/>
        <v>0.83905011892642334</v>
      </c>
      <c r="AN693" s="354">
        <f t="shared" si="680"/>
        <v>4.6872499825344922E-2</v>
      </c>
      <c r="AO693" s="374">
        <f t="shared" si="681"/>
        <v>0.71997580997623634</v>
      </c>
      <c r="AP693" s="354">
        <f t="shared" si="682"/>
        <v>0.16509802619908018</v>
      </c>
      <c r="AQ693" s="354">
        <f t="shared" si="683"/>
        <v>0.55487778377715613</v>
      </c>
      <c r="AR693" s="374">
        <f t="shared" si="684"/>
        <v>1.3134455059364407</v>
      </c>
      <c r="AS693" s="354">
        <f t="shared" si="685"/>
        <v>0.56916052674159046</v>
      </c>
      <c r="AT693" s="354">
        <f t="shared" si="686"/>
        <v>0.74428497919485037</v>
      </c>
      <c r="AU693" s="355" t="s">
        <v>396</v>
      </c>
      <c r="AV693" s="354" t="s">
        <v>397</v>
      </c>
      <c r="AW693" s="377">
        <v>0</v>
      </c>
      <c r="AX693" s="377">
        <v>0</v>
      </c>
      <c r="AY693" s="377">
        <v>0</v>
      </c>
      <c r="AZ693" s="377">
        <v>0</v>
      </c>
      <c r="BA693" s="377">
        <v>0</v>
      </c>
      <c r="BB693" s="377">
        <v>0</v>
      </c>
    </row>
    <row r="694" spans="1:54" x14ac:dyDescent="0.25">
      <c r="A694" s="348" t="s">
        <v>1344</v>
      </c>
      <c r="B694" s="349">
        <v>162</v>
      </c>
      <c r="C694" s="423">
        <v>45200</v>
      </c>
      <c r="D694" s="351">
        <v>45187</v>
      </c>
      <c r="E694" s="352"/>
      <c r="F694" s="352">
        <v>6</v>
      </c>
      <c r="G694" s="352" t="s">
        <v>1306</v>
      </c>
      <c r="H694" s="424" t="s">
        <v>1307</v>
      </c>
      <c r="I694" s="350" t="s">
        <v>393</v>
      </c>
      <c r="J694" s="375">
        <v>51000</v>
      </c>
      <c r="K694" s="350" t="s">
        <v>394</v>
      </c>
      <c r="L694" s="354">
        <v>2802.3999950000002</v>
      </c>
      <c r="M694" s="354">
        <f t="shared" si="687"/>
        <v>18.198686872321378</v>
      </c>
      <c r="N694" s="350" t="s">
        <v>395</v>
      </c>
      <c r="O694" s="354">
        <v>0</v>
      </c>
      <c r="P694" s="374">
        <f t="shared" si="656"/>
        <v>1.1466653164888643</v>
      </c>
      <c r="Q694" s="354">
        <f t="shared" si="657"/>
        <v>0.1081480319748422</v>
      </c>
      <c r="R694" s="354">
        <f t="shared" si="658"/>
        <v>0.18230612730162227</v>
      </c>
      <c r="S694" s="354">
        <f t="shared" si="659"/>
        <v>0.16239585709786078</v>
      </c>
      <c r="T694" s="354">
        <f t="shared" si="660"/>
        <v>0.69300516718797944</v>
      </c>
      <c r="U694" s="374">
        <f t="shared" si="661"/>
        <v>4.6020654501797305</v>
      </c>
      <c r="V694" s="354">
        <f t="shared" si="662"/>
        <v>0.12181996823258456</v>
      </c>
      <c r="W694" s="354">
        <f t="shared" si="663"/>
        <v>4.1555314246068766</v>
      </c>
      <c r="X694" s="354">
        <f t="shared" si="664"/>
        <v>0.32471405734026942</v>
      </c>
      <c r="Y694" s="374">
        <f t="shared" si="665"/>
        <v>0.67465575721390292</v>
      </c>
      <c r="Z694" s="354">
        <f t="shared" si="666"/>
        <v>0.3480279367936111</v>
      </c>
      <c r="AA694" s="354">
        <f t="shared" si="667"/>
        <v>0.32662782042029181</v>
      </c>
      <c r="AB694" s="374">
        <f t="shared" si="668"/>
        <v>3.685911444823339</v>
      </c>
      <c r="AC694" s="354">
        <f t="shared" si="669"/>
        <v>1.0460343139234201</v>
      </c>
      <c r="AD694" s="354">
        <f t="shared" si="670"/>
        <v>2.2769843431313204</v>
      </c>
      <c r="AE694" s="354">
        <f t="shared" si="671"/>
        <v>0.36289278776859862</v>
      </c>
      <c r="AF694" s="374">
        <f t="shared" si="672"/>
        <v>2.9500163430929902</v>
      </c>
      <c r="AG694" s="354">
        <f t="shared" si="673"/>
        <v>0.18958782185729853</v>
      </c>
      <c r="AH694" s="354">
        <f t="shared" si="674"/>
        <v>0.95389254661091005</v>
      </c>
      <c r="AI694" s="354">
        <f t="shared" si="675"/>
        <v>0</v>
      </c>
      <c r="AJ694" s="354">
        <f t="shared" si="676"/>
        <v>1.8065359746247818</v>
      </c>
      <c r="AK694" s="374">
        <f t="shared" si="677"/>
        <v>1.9484652647826575</v>
      </c>
      <c r="AL694" s="354">
        <f t="shared" si="678"/>
        <v>0.55824823227988263</v>
      </c>
      <c r="AM694" s="354">
        <f t="shared" si="679"/>
        <v>1.3166632635460798</v>
      </c>
      <c r="AN694" s="354">
        <f t="shared" si="680"/>
        <v>7.3553768956695117E-2</v>
      </c>
      <c r="AO694" s="374">
        <f t="shared" si="681"/>
        <v>1.1298081941165556</v>
      </c>
      <c r="AP694" s="354">
        <f t="shared" si="682"/>
        <v>0.2590769026508643</v>
      </c>
      <c r="AQ694" s="354">
        <f t="shared" si="683"/>
        <v>0.87073129146569139</v>
      </c>
      <c r="AR694" s="374">
        <f t="shared" si="684"/>
        <v>2.0610991016233378</v>
      </c>
      <c r="AS694" s="354">
        <f t="shared" si="685"/>
        <v>0.89314421119449583</v>
      </c>
      <c r="AT694" s="354">
        <f t="shared" si="686"/>
        <v>1.1679548904288422</v>
      </c>
      <c r="AU694" s="355" t="s">
        <v>396</v>
      </c>
      <c r="AV694" s="354" t="s">
        <v>397</v>
      </c>
      <c r="AW694" s="377">
        <v>0</v>
      </c>
      <c r="AX694" s="377">
        <v>0</v>
      </c>
      <c r="AY694" s="377">
        <v>0</v>
      </c>
      <c r="AZ694" s="377">
        <v>0</v>
      </c>
      <c r="BA694" s="377">
        <v>0</v>
      </c>
      <c r="BB694" s="377">
        <v>0</v>
      </c>
    </row>
    <row r="695" spans="1:54" x14ac:dyDescent="0.25">
      <c r="A695" s="348" t="s">
        <v>1551</v>
      </c>
      <c r="B695" s="349">
        <v>163</v>
      </c>
      <c r="C695" s="423">
        <v>45200</v>
      </c>
      <c r="D695" s="351">
        <v>45230</v>
      </c>
      <c r="E695" s="352"/>
      <c r="F695" s="352">
        <v>6</v>
      </c>
      <c r="G695" s="352" t="s">
        <v>336</v>
      </c>
      <c r="H695" s="424" t="s">
        <v>1561</v>
      </c>
      <c r="I695" s="350" t="s">
        <v>393</v>
      </c>
      <c r="J695" s="375">
        <v>150000</v>
      </c>
      <c r="K695" s="350" t="s">
        <v>394</v>
      </c>
      <c r="L695" s="354">
        <v>2802.3999950000002</v>
      </c>
      <c r="M695" s="354">
        <f t="shared" si="687"/>
        <v>53.525549624474642</v>
      </c>
      <c r="N695" s="350" t="s">
        <v>395</v>
      </c>
      <c r="O695" s="354">
        <v>0</v>
      </c>
      <c r="P695" s="374">
        <f t="shared" si="656"/>
        <v>3.3725450484966593</v>
      </c>
      <c r="Q695" s="354">
        <f t="shared" si="657"/>
        <v>0.31808244698482996</v>
      </c>
      <c r="R695" s="354">
        <f t="shared" si="658"/>
        <v>0.53619449206359482</v>
      </c>
      <c r="S695" s="354">
        <f t="shared" si="659"/>
        <v>0.47763487381723752</v>
      </c>
      <c r="T695" s="354">
        <f t="shared" si="660"/>
        <v>2.0382504917293511</v>
      </c>
      <c r="U695" s="374">
        <f t="shared" si="661"/>
        <v>13.535486618175677</v>
      </c>
      <c r="V695" s="354">
        <f t="shared" si="662"/>
        <v>0.358294024213484</v>
      </c>
      <c r="W695" s="354">
        <f t="shared" si="663"/>
        <v>12.222151248843755</v>
      </c>
      <c r="X695" s="354">
        <f t="shared" si="664"/>
        <v>0.9550413451184393</v>
      </c>
      <c r="Y695" s="374">
        <f t="shared" si="665"/>
        <v>1.9842816388644204</v>
      </c>
      <c r="Z695" s="354">
        <f t="shared" si="666"/>
        <v>1.0236115788047384</v>
      </c>
      <c r="AA695" s="354">
        <f t="shared" si="667"/>
        <v>0.96067006005968181</v>
      </c>
      <c r="AB695" s="374">
        <f t="shared" si="668"/>
        <v>10.840916014186291</v>
      </c>
      <c r="AC695" s="354">
        <f t="shared" si="669"/>
        <v>3.0765715115394707</v>
      </c>
      <c r="AD695" s="354">
        <f t="shared" si="670"/>
        <v>6.697012773915648</v>
      </c>
      <c r="AE695" s="354">
        <f t="shared" si="671"/>
        <v>1.0673317287311725</v>
      </c>
      <c r="AF695" s="374">
        <f t="shared" si="672"/>
        <v>8.6765186561558529</v>
      </c>
      <c r="AG695" s="354">
        <f t="shared" si="673"/>
        <v>0.55761124075676038</v>
      </c>
      <c r="AH695" s="354">
        <f t="shared" si="674"/>
        <v>2.8055663135614997</v>
      </c>
      <c r="AI695" s="354">
        <f t="shared" si="675"/>
        <v>0</v>
      </c>
      <c r="AJ695" s="354">
        <f t="shared" si="676"/>
        <v>5.3133411018375929</v>
      </c>
      <c r="AK695" s="374">
        <f t="shared" si="677"/>
        <v>5.730780190537228</v>
      </c>
      <c r="AL695" s="354">
        <f t="shared" si="678"/>
        <v>1.6419065655290666</v>
      </c>
      <c r="AM695" s="354">
        <f t="shared" si="679"/>
        <v>3.8725390104296467</v>
      </c>
      <c r="AN695" s="354">
        <f t="shared" si="680"/>
        <v>0.21633461457851505</v>
      </c>
      <c r="AO695" s="374">
        <f t="shared" si="681"/>
        <v>3.3229652768133988</v>
      </c>
      <c r="AP695" s="354">
        <f t="shared" si="682"/>
        <v>0.76199089014960097</v>
      </c>
      <c r="AQ695" s="354">
        <f t="shared" si="683"/>
        <v>2.5609743866637982</v>
      </c>
      <c r="AR695" s="374">
        <f t="shared" si="684"/>
        <v>6.0620561812451115</v>
      </c>
      <c r="AS695" s="354">
        <f t="shared" si="685"/>
        <v>2.6268947388073407</v>
      </c>
      <c r="AT695" s="354">
        <f t="shared" si="686"/>
        <v>3.4351614424377712</v>
      </c>
      <c r="AU695" s="355" t="s">
        <v>396</v>
      </c>
      <c r="AV695" s="354" t="s">
        <v>397</v>
      </c>
      <c r="AW695" s="377">
        <v>0</v>
      </c>
      <c r="AX695" s="377">
        <v>0</v>
      </c>
      <c r="AY695" s="377">
        <v>0</v>
      </c>
      <c r="AZ695" s="377">
        <v>0</v>
      </c>
      <c r="BA695" s="377">
        <v>0</v>
      </c>
      <c r="BB695" s="377">
        <v>0</v>
      </c>
    </row>
    <row r="696" spans="1:54" x14ac:dyDescent="0.25">
      <c r="A696" s="348" t="s">
        <v>1552</v>
      </c>
      <c r="B696" s="349">
        <v>164</v>
      </c>
      <c r="C696" s="423">
        <v>45200</v>
      </c>
      <c r="D696" s="351">
        <v>45229</v>
      </c>
      <c r="E696" s="352"/>
      <c r="F696" s="352">
        <v>6</v>
      </c>
      <c r="G696" s="352" t="s">
        <v>1326</v>
      </c>
      <c r="H696" s="424" t="s">
        <v>1562</v>
      </c>
      <c r="I696" s="350" t="s">
        <v>393</v>
      </c>
      <c r="J696" s="375">
        <v>93958</v>
      </c>
      <c r="K696" s="350" t="s">
        <v>394</v>
      </c>
      <c r="L696" s="354">
        <v>2802.3999950000002</v>
      </c>
      <c r="M696" s="354">
        <f t="shared" si="687"/>
        <v>33.52769061077592</v>
      </c>
      <c r="N696" s="350" t="s">
        <v>395</v>
      </c>
      <c r="O696" s="354">
        <v>0</v>
      </c>
      <c r="P696" s="374">
        <f t="shared" si="656"/>
        <v>2.1125172511109942</v>
      </c>
      <c r="Q696" s="354">
        <f t="shared" si="657"/>
        <v>0.19924260369200436</v>
      </c>
      <c r="R696" s="354">
        <f t="shared" si="658"/>
        <v>0.33586508056874165</v>
      </c>
      <c r="S696" s="354">
        <f t="shared" si="659"/>
        <v>0.29918411649413335</v>
      </c>
      <c r="T696" s="354">
        <f t="shared" si="660"/>
        <v>1.2767329313460427</v>
      </c>
      <c r="U696" s="374">
        <f t="shared" si="661"/>
        <v>8.4784483444703351</v>
      </c>
      <c r="V696" s="354">
        <f t="shared" si="662"/>
        <v>0.2244305995136702</v>
      </c>
      <c r="W696" s="354">
        <f t="shared" si="663"/>
        <v>7.6557925802590763</v>
      </c>
      <c r="X696" s="354">
        <f t="shared" si="664"/>
        <v>0.5982251646975888</v>
      </c>
      <c r="Y696" s="374">
        <f t="shared" si="665"/>
        <v>1.2429275614961546</v>
      </c>
      <c r="Z696" s="354">
        <f t="shared" si="666"/>
        <v>0.64117664480890402</v>
      </c>
      <c r="AA696" s="354">
        <f t="shared" si="667"/>
        <v>0.60175091668725045</v>
      </c>
      <c r="AB696" s="374">
        <f t="shared" si="668"/>
        <v>6.790605245739437</v>
      </c>
      <c r="AC696" s="354">
        <f t="shared" si="669"/>
        <v>1.9271233738748372</v>
      </c>
      <c r="AD696" s="354">
        <f t="shared" si="670"/>
        <v>4.1949195080771098</v>
      </c>
      <c r="AE696" s="354">
        <f t="shared" si="671"/>
        <v>0.66856236378749001</v>
      </c>
      <c r="AF696" s="374">
        <f t="shared" si="672"/>
        <v>5.4348555993006107</v>
      </c>
      <c r="AG696" s="354">
        <f t="shared" si="673"/>
        <v>0.34928024639349126</v>
      </c>
      <c r="AH696" s="354">
        <f t="shared" si="674"/>
        <v>1.7573693312640759</v>
      </c>
      <c r="AI696" s="354">
        <f t="shared" si="675"/>
        <v>0</v>
      </c>
      <c r="AJ696" s="354">
        <f t="shared" si="676"/>
        <v>3.328206021643044</v>
      </c>
      <c r="AK696" s="374">
        <f t="shared" si="677"/>
        <v>3.5896843009499784</v>
      </c>
      <c r="AL696" s="354">
        <f t="shared" si="678"/>
        <v>1.0284683805598667</v>
      </c>
      <c r="AM696" s="354">
        <f t="shared" si="679"/>
        <v>2.4257068022796577</v>
      </c>
      <c r="AN696" s="354">
        <f t="shared" si="680"/>
        <v>0.13550911811045407</v>
      </c>
      <c r="AO696" s="374">
        <f t="shared" si="681"/>
        <v>2.0814611431922221</v>
      </c>
      <c r="AP696" s="354">
        <f t="shared" si="682"/>
        <v>0.47730093371117466</v>
      </c>
      <c r="AQ696" s="354">
        <f t="shared" si="683"/>
        <v>1.6041602094810474</v>
      </c>
      <c r="AR696" s="374">
        <f t="shared" si="684"/>
        <v>3.7971911645161875</v>
      </c>
      <c r="AS696" s="354">
        <f t="shared" si="685"/>
        <v>1.645451839125734</v>
      </c>
      <c r="AT696" s="354">
        <f t="shared" si="686"/>
        <v>2.1517393253904538</v>
      </c>
      <c r="AU696" s="355" t="s">
        <v>396</v>
      </c>
      <c r="AV696" s="354" t="s">
        <v>397</v>
      </c>
      <c r="AW696" s="377">
        <v>0</v>
      </c>
      <c r="AX696" s="377">
        <v>0</v>
      </c>
      <c r="AY696" s="377">
        <v>0</v>
      </c>
      <c r="AZ696" s="377">
        <v>0</v>
      </c>
      <c r="BA696" s="377">
        <v>0</v>
      </c>
      <c r="BB696" s="377">
        <v>0</v>
      </c>
    </row>
    <row r="697" spans="1:54" x14ac:dyDescent="0.25">
      <c r="A697" s="348" t="s">
        <v>1553</v>
      </c>
      <c r="B697" s="349">
        <v>165</v>
      </c>
      <c r="C697" s="423">
        <v>45200</v>
      </c>
      <c r="D697" s="351">
        <v>45229</v>
      </c>
      <c r="E697" s="352"/>
      <c r="F697" s="352">
        <v>6</v>
      </c>
      <c r="G697" s="352" t="s">
        <v>1326</v>
      </c>
      <c r="H697" s="424" t="s">
        <v>1562</v>
      </c>
      <c r="I697" s="350" t="s">
        <v>393</v>
      </c>
      <c r="J697" s="375">
        <v>16042</v>
      </c>
      <c r="K697" s="350" t="s">
        <v>394</v>
      </c>
      <c r="L697" s="354">
        <v>2802.3999950000002</v>
      </c>
      <c r="M697" s="354">
        <f t="shared" si="687"/>
        <v>5.7243791138388147</v>
      </c>
      <c r="N697" s="350" t="s">
        <v>395</v>
      </c>
      <c r="O697" s="354">
        <v>0</v>
      </c>
      <c r="P697" s="374">
        <f t="shared" si="656"/>
        <v>0.36068245111988939</v>
      </c>
      <c r="Q697" s="354">
        <f t="shared" si="657"/>
        <v>3.401785743020428E-2</v>
      </c>
      <c r="R697" s="354">
        <f t="shared" si="658"/>
        <v>5.7344213611227927E-2</v>
      </c>
      <c r="S697" s="354">
        <f t="shared" si="659"/>
        <v>5.1081457638507494E-2</v>
      </c>
      <c r="T697" s="354">
        <f t="shared" si="660"/>
        <v>0.21798409592214835</v>
      </c>
      <c r="U697" s="374">
        <f t="shared" si="661"/>
        <v>1.4475751755251614</v>
      </c>
      <c r="V697" s="354">
        <f t="shared" si="662"/>
        <v>3.8318351576218067E-2</v>
      </c>
      <c r="W697" s="354">
        <f t="shared" si="663"/>
        <v>1.3071183355596767</v>
      </c>
      <c r="X697" s="354">
        <f t="shared" si="664"/>
        <v>0.10213848838926669</v>
      </c>
      <c r="Y697" s="374">
        <f t="shared" si="665"/>
        <v>0.2122123070044202</v>
      </c>
      <c r="Z697" s="354">
        <f t="shared" si="666"/>
        <v>0.10947184631457076</v>
      </c>
      <c r="AA697" s="354">
        <f t="shared" si="667"/>
        <v>0.10274046068984943</v>
      </c>
      <c r="AB697" s="374">
        <f t="shared" si="668"/>
        <v>1.1593998313305101</v>
      </c>
      <c r="AC697" s="354">
        <f t="shared" si="669"/>
        <v>0.32902906792077463</v>
      </c>
      <c r="AD697" s="354">
        <f t="shared" si="670"/>
        <v>0.71622319279436564</v>
      </c>
      <c r="AE697" s="354">
        <f t="shared" si="671"/>
        <v>0.11414757061536981</v>
      </c>
      <c r="AF697" s="374">
        <f t="shared" si="672"/>
        <v>0.92792474854701468</v>
      </c>
      <c r="AG697" s="354">
        <f t="shared" si="673"/>
        <v>5.9634663494799664E-2</v>
      </c>
      <c r="AH697" s="354">
        <f t="shared" si="674"/>
        <v>0.30004596534769057</v>
      </c>
      <c r="AI697" s="354">
        <f t="shared" si="675"/>
        <v>0</v>
      </c>
      <c r="AJ697" s="354">
        <f t="shared" si="676"/>
        <v>0.56824411970452449</v>
      </c>
      <c r="AK697" s="374">
        <f t="shared" si="677"/>
        <v>0.61288783877732134</v>
      </c>
      <c r="AL697" s="354">
        <f t="shared" si="678"/>
        <v>0.17559643416144854</v>
      </c>
      <c r="AM697" s="354">
        <f t="shared" si="679"/>
        <v>0.41415513870208254</v>
      </c>
      <c r="AN697" s="354">
        <f t="shared" si="680"/>
        <v>2.3136265913790251E-2</v>
      </c>
      <c r="AO697" s="374">
        <f t="shared" si="681"/>
        <v>0.35538005980427029</v>
      </c>
      <c r="AP697" s="354">
        <f t="shared" si="682"/>
        <v>8.1492385731865985E-2</v>
      </c>
      <c r="AQ697" s="354">
        <f t="shared" si="683"/>
        <v>0.27388767407240433</v>
      </c>
      <c r="AR697" s="374">
        <f t="shared" si="684"/>
        <v>0.64831670173022715</v>
      </c>
      <c r="AS697" s="354">
        <f t="shared" si="685"/>
        <v>0.28093763599964905</v>
      </c>
      <c r="AT697" s="354">
        <f t="shared" si="686"/>
        <v>0.36737906573057816</v>
      </c>
      <c r="AU697" s="355" t="s">
        <v>396</v>
      </c>
      <c r="AV697" s="354" t="s">
        <v>397</v>
      </c>
      <c r="AW697" s="377">
        <v>0</v>
      </c>
      <c r="AX697" s="377">
        <v>0</v>
      </c>
      <c r="AY697" s="377">
        <v>0</v>
      </c>
      <c r="AZ697" s="377">
        <v>0</v>
      </c>
      <c r="BA697" s="377">
        <v>0</v>
      </c>
      <c r="BB697" s="377">
        <v>0</v>
      </c>
    </row>
    <row r="698" spans="1:54" x14ac:dyDescent="0.25">
      <c r="A698" s="348" t="s">
        <v>1554</v>
      </c>
      <c r="B698" s="349">
        <v>166</v>
      </c>
      <c r="C698" s="423">
        <v>45200</v>
      </c>
      <c r="D698" s="351">
        <v>45229</v>
      </c>
      <c r="E698" s="352"/>
      <c r="F698" s="352">
        <v>6</v>
      </c>
      <c r="G698" s="352" t="s">
        <v>1326</v>
      </c>
      <c r="H698" s="424" t="s">
        <v>1562</v>
      </c>
      <c r="I698" s="350" t="s">
        <v>393</v>
      </c>
      <c r="J698" s="375">
        <v>40000</v>
      </c>
      <c r="K698" s="350" t="s">
        <v>394</v>
      </c>
      <c r="L698" s="354">
        <v>2802.3999950000002</v>
      </c>
      <c r="M698" s="354">
        <f t="shared" si="687"/>
        <v>14.273479899859904</v>
      </c>
      <c r="N698" s="350" t="s">
        <v>395</v>
      </c>
      <c r="O698" s="354">
        <v>0</v>
      </c>
      <c r="P698" s="374">
        <f t="shared" si="656"/>
        <v>0.89934534626577578</v>
      </c>
      <c r="Q698" s="354">
        <f t="shared" si="657"/>
        <v>8.482198586262131E-2</v>
      </c>
      <c r="R698" s="354">
        <f t="shared" si="658"/>
        <v>0.14298519788362529</v>
      </c>
      <c r="S698" s="354">
        <f t="shared" si="659"/>
        <v>0.12736929968459668</v>
      </c>
      <c r="T698" s="354">
        <f t="shared" si="660"/>
        <v>0.54353346446116035</v>
      </c>
      <c r="U698" s="374">
        <f t="shared" si="661"/>
        <v>3.6094630981801803</v>
      </c>
      <c r="V698" s="354">
        <f t="shared" si="662"/>
        <v>9.5545073123595725E-2</v>
      </c>
      <c r="W698" s="354">
        <f t="shared" si="663"/>
        <v>3.259240333025001</v>
      </c>
      <c r="X698" s="354">
        <f t="shared" si="664"/>
        <v>0.2546776920315838</v>
      </c>
      <c r="Y698" s="374">
        <f t="shared" si="665"/>
        <v>0.52914177036384547</v>
      </c>
      <c r="Z698" s="354">
        <f t="shared" si="666"/>
        <v>0.27296308768126359</v>
      </c>
      <c r="AA698" s="354">
        <f t="shared" si="667"/>
        <v>0.25617868268258182</v>
      </c>
      <c r="AB698" s="374">
        <f t="shared" si="668"/>
        <v>2.8909109371163444</v>
      </c>
      <c r="AC698" s="354">
        <f t="shared" si="669"/>
        <v>0.82041906974385892</v>
      </c>
      <c r="AD698" s="354">
        <f t="shared" si="670"/>
        <v>1.7858700730441728</v>
      </c>
      <c r="AE698" s="354">
        <f t="shared" si="671"/>
        <v>0.28462179432831269</v>
      </c>
      <c r="AF698" s="374">
        <f t="shared" si="672"/>
        <v>2.3137383083082277</v>
      </c>
      <c r="AG698" s="354">
        <f t="shared" si="673"/>
        <v>0.14869633086846945</v>
      </c>
      <c r="AH698" s="354">
        <f t="shared" si="674"/>
        <v>0.74815101694973341</v>
      </c>
      <c r="AI698" s="354">
        <f t="shared" si="675"/>
        <v>0</v>
      </c>
      <c r="AJ698" s="354">
        <f t="shared" si="676"/>
        <v>1.4168909604900251</v>
      </c>
      <c r="AK698" s="374">
        <f t="shared" si="677"/>
        <v>1.5282080508099274</v>
      </c>
      <c r="AL698" s="354">
        <f t="shared" si="678"/>
        <v>0.43784175080775106</v>
      </c>
      <c r="AM698" s="354">
        <f t="shared" si="679"/>
        <v>1.0326770694479057</v>
      </c>
      <c r="AN698" s="354">
        <f t="shared" si="680"/>
        <v>5.7689230554270679E-2</v>
      </c>
      <c r="AO698" s="374">
        <f t="shared" si="681"/>
        <v>0.88612407381690628</v>
      </c>
      <c r="AP698" s="354">
        <f t="shared" si="682"/>
        <v>0.20319757070656022</v>
      </c>
      <c r="AQ698" s="354">
        <f t="shared" si="683"/>
        <v>0.68292650311034608</v>
      </c>
      <c r="AR698" s="374">
        <f t="shared" si="684"/>
        <v>1.6165483149986963</v>
      </c>
      <c r="AS698" s="354">
        <f t="shared" si="685"/>
        <v>0.70050526368195754</v>
      </c>
      <c r="AT698" s="354">
        <f t="shared" si="686"/>
        <v>0.91604305131673891</v>
      </c>
      <c r="AU698" s="355" t="s">
        <v>396</v>
      </c>
      <c r="AV698" s="354" t="s">
        <v>397</v>
      </c>
      <c r="AW698" s="377">
        <v>0</v>
      </c>
      <c r="AX698" s="377">
        <v>0</v>
      </c>
      <c r="AY698" s="377">
        <v>0</v>
      </c>
      <c r="AZ698" s="377">
        <v>0</v>
      </c>
      <c r="BA698" s="377">
        <v>0</v>
      </c>
      <c r="BB698" s="377">
        <v>0</v>
      </c>
    </row>
    <row r="699" spans="1:54" x14ac:dyDescent="0.25">
      <c r="A699" s="348" t="s">
        <v>1564</v>
      </c>
      <c r="B699" s="349">
        <v>167</v>
      </c>
      <c r="C699" s="423">
        <v>45200</v>
      </c>
      <c r="D699" s="351">
        <v>45230</v>
      </c>
      <c r="E699" s="352"/>
      <c r="F699" s="352">
        <v>6</v>
      </c>
      <c r="G699" s="352" t="s">
        <v>342</v>
      </c>
      <c r="H699" s="424" t="s">
        <v>1563</v>
      </c>
      <c r="I699" s="350" t="s">
        <v>393</v>
      </c>
      <c r="J699" s="375">
        <f>2100+10000+10000+3000</f>
        <v>25100</v>
      </c>
      <c r="K699" s="350" t="s">
        <v>394</v>
      </c>
      <c r="L699" s="354">
        <v>2802.3999950000002</v>
      </c>
      <c r="M699" s="354">
        <f t="shared" si="687"/>
        <v>8.9566086371620894</v>
      </c>
      <c r="N699" s="350" t="s">
        <v>395</v>
      </c>
      <c r="O699" s="354">
        <v>0</v>
      </c>
      <c r="P699" s="374">
        <f t="shared" si="656"/>
        <v>0.56433920478177424</v>
      </c>
      <c r="Q699" s="354">
        <f t="shared" si="657"/>
        <v>5.3225796128794869E-2</v>
      </c>
      <c r="R699" s="354">
        <f t="shared" si="658"/>
        <v>8.9723211671974862E-2</v>
      </c>
      <c r="S699" s="354">
        <f t="shared" si="659"/>
        <v>7.9924235552084402E-2</v>
      </c>
      <c r="T699" s="354">
        <f t="shared" si="660"/>
        <v>0.34106724894937807</v>
      </c>
      <c r="U699" s="374">
        <f t="shared" si="661"/>
        <v>2.264938094108063</v>
      </c>
      <c r="V699" s="354">
        <f t="shared" si="662"/>
        <v>5.9954533385056318E-2</v>
      </c>
      <c r="W699" s="354">
        <f t="shared" si="663"/>
        <v>2.0451733089731881</v>
      </c>
      <c r="X699" s="354">
        <f t="shared" si="664"/>
        <v>0.15981025174981883</v>
      </c>
      <c r="Y699" s="374">
        <f t="shared" si="665"/>
        <v>0.33203646090331301</v>
      </c>
      <c r="Z699" s="354">
        <f t="shared" si="666"/>
        <v>0.17128433751999292</v>
      </c>
      <c r="AA699" s="354">
        <f t="shared" si="667"/>
        <v>0.16075212338332009</v>
      </c>
      <c r="AB699" s="374">
        <f t="shared" si="668"/>
        <v>1.814046613040506</v>
      </c>
      <c r="AC699" s="354">
        <f t="shared" si="669"/>
        <v>0.51481296626427142</v>
      </c>
      <c r="AD699" s="354">
        <f t="shared" si="670"/>
        <v>1.1206334708352184</v>
      </c>
      <c r="AE699" s="354">
        <f t="shared" si="671"/>
        <v>0.17860017594101618</v>
      </c>
      <c r="AF699" s="374">
        <f t="shared" si="672"/>
        <v>1.4518707884634128</v>
      </c>
      <c r="AG699" s="354">
        <f t="shared" si="673"/>
        <v>9.3306947619964567E-2</v>
      </c>
      <c r="AH699" s="354">
        <f t="shared" si="674"/>
        <v>0.46946476313595764</v>
      </c>
      <c r="AI699" s="354">
        <f t="shared" si="675"/>
        <v>0</v>
      </c>
      <c r="AJ699" s="354">
        <f t="shared" si="676"/>
        <v>0.88909907770749064</v>
      </c>
      <c r="AK699" s="374">
        <f t="shared" si="677"/>
        <v>0.95895055188322931</v>
      </c>
      <c r="AL699" s="354">
        <f t="shared" si="678"/>
        <v>0.27474569863186377</v>
      </c>
      <c r="AM699" s="354">
        <f t="shared" si="679"/>
        <v>0.6480048610785607</v>
      </c>
      <c r="AN699" s="354">
        <f t="shared" si="680"/>
        <v>3.6199992172804847E-2</v>
      </c>
      <c r="AO699" s="374">
        <f t="shared" si="681"/>
        <v>0.55604285632010864</v>
      </c>
      <c r="AP699" s="354">
        <f t="shared" si="682"/>
        <v>0.12750647561836653</v>
      </c>
      <c r="AQ699" s="354">
        <f t="shared" si="683"/>
        <v>0.4285363807017421</v>
      </c>
      <c r="AR699" s="374">
        <f t="shared" si="684"/>
        <v>1.0143840676616818</v>
      </c>
      <c r="AS699" s="354">
        <f t="shared" si="685"/>
        <v>0.43956705296042825</v>
      </c>
      <c r="AT699" s="354">
        <f t="shared" si="686"/>
        <v>0.57481701470125357</v>
      </c>
      <c r="AU699" s="355" t="s">
        <v>396</v>
      </c>
      <c r="AV699" s="354" t="s">
        <v>397</v>
      </c>
      <c r="AW699" s="377">
        <v>0</v>
      </c>
      <c r="AX699" s="377">
        <v>0</v>
      </c>
      <c r="AY699" s="377">
        <v>0</v>
      </c>
      <c r="AZ699" s="377">
        <v>0</v>
      </c>
      <c r="BA699" s="377">
        <v>0</v>
      </c>
      <c r="BB699" s="377">
        <v>0</v>
      </c>
    </row>
    <row r="700" spans="1:54" x14ac:dyDescent="0.25">
      <c r="A700" s="348" t="s">
        <v>1594</v>
      </c>
      <c r="B700" s="349">
        <v>36</v>
      </c>
      <c r="C700" s="423">
        <v>45200</v>
      </c>
      <c r="D700" s="427">
        <v>45217</v>
      </c>
      <c r="E700" s="352"/>
      <c r="F700" s="352">
        <v>6</v>
      </c>
      <c r="G700" s="352" t="s">
        <v>331</v>
      </c>
      <c r="H700" s="424" t="s">
        <v>1598</v>
      </c>
      <c r="I700" s="350" t="s">
        <v>393</v>
      </c>
      <c r="J700" s="556">
        <v>20839</v>
      </c>
      <c r="K700" s="350" t="s">
        <v>394</v>
      </c>
      <c r="L700" s="354">
        <v>2803.6597999999999</v>
      </c>
      <c r="M700" s="560">
        <f>+J700/L700</f>
        <v>7.4327848193279369</v>
      </c>
      <c r="N700" s="354" t="s">
        <v>395</v>
      </c>
      <c r="O700" s="354">
        <v>0</v>
      </c>
      <c r="P700" s="374">
        <f t="shared" ref="P700:P722" si="688">M700*$P$2</f>
        <v>0.46832590818466741</v>
      </c>
      <c r="Q700" s="354">
        <f t="shared" ref="Q700:Q722" si="689">P700*$Q$2</f>
        <v>4.4170277555869795E-2</v>
      </c>
      <c r="R700" s="354">
        <f t="shared" ref="R700:R722" si="690">P700*$R$2</f>
        <v>7.4458241134906594E-2</v>
      </c>
      <c r="S700" s="354">
        <f t="shared" ref="S700:S722" si="691">P700*$S$2</f>
        <v>6.6326404197577127E-2</v>
      </c>
      <c r="T700" s="354">
        <f t="shared" ref="T700:T722" si="692">P700*$T$2</f>
        <v>0.28304010737306506</v>
      </c>
      <c r="U700" s="374">
        <f t="shared" ref="U700:U722" si="693">M700*$U$2</f>
        <v>1.8795950749432415</v>
      </c>
      <c r="V700" s="354">
        <f t="shared" ref="V700:V722" si="694">U700*$V$2</f>
        <v>4.9754227704598537E-2</v>
      </c>
      <c r="W700" s="354">
        <f t="shared" ref="W700:W722" si="695">U700*$W$2</f>
        <v>1.6972197557855062</v>
      </c>
      <c r="X700" s="354">
        <f t="shared" ref="X700:X722" si="696">U700*$X$2</f>
        <v>0.13262109145313691</v>
      </c>
      <c r="Y700" s="374">
        <f t="shared" ref="Y700:Y722" si="697">M700*$Y$2</f>
        <v>0.27554576358574634</v>
      </c>
      <c r="Z700" s="354">
        <f t="shared" ref="Z700:Z722" si="698">Y700*$Z$2</f>
        <v>0.14214304490484414</v>
      </c>
      <c r="AA700" s="354">
        <f t="shared" ref="AA700:AA722" si="699">Y700*$AA$2</f>
        <v>0.13340271868090217</v>
      </c>
      <c r="AB700" s="374">
        <f t="shared" ref="AB700:AB722" si="700">M700*$AB$2</f>
        <v>1.5054155733696284</v>
      </c>
      <c r="AC700" s="354">
        <f t="shared" ref="AC700:AC722" si="701">AB700*$AC$2</f>
        <v>0.42722576763772613</v>
      </c>
      <c r="AD700" s="354">
        <f t="shared" ref="AD700:AD722" si="702">AB700*$AD$2</f>
        <v>0.92997559539388053</v>
      </c>
      <c r="AE700" s="354">
        <f t="shared" ref="AE700:AE722" si="703">AB700*$AE$2</f>
        <v>0.14821421033802168</v>
      </c>
      <c r="AF700" s="374">
        <f t="shared" ref="AF700:AF722" si="704">M700*$AF$2</f>
        <v>1.2048581771611064</v>
      </c>
      <c r="AG700" s="354">
        <f t="shared" ref="AG700:AG722" si="705">AF700*$AG$2</f>
        <v>7.7432261685517326E-2</v>
      </c>
      <c r="AH700" s="354">
        <f t="shared" ref="AH700:AH722" si="706">AF700*$AH$2</f>
        <v>0.38959283653058679</v>
      </c>
      <c r="AI700" s="354">
        <f t="shared" ref="AI700:AI722" si="707">AF700*$AI$2</f>
        <v>0</v>
      </c>
      <c r="AJ700" s="354">
        <f t="shared" ref="AJ700:AJ722" si="708">AF700*$AJ$2</f>
        <v>0.73783307894500239</v>
      </c>
      <c r="AK700" s="374">
        <f t="shared" ref="AK700:AK722" si="709">M700*$AK$2</f>
        <v>0.79580044113462844</v>
      </c>
      <c r="AL700" s="354">
        <f t="shared" ref="AL700:AL722" si="710">AK700*$AL$2</f>
        <v>0.22800210891134962</v>
      </c>
      <c r="AM700" s="354">
        <f t="shared" ref="AM700:AM722" si="711">AK700*$AM$2</f>
        <v>0.53775719018147716</v>
      </c>
      <c r="AN700" s="354">
        <f t="shared" ref="AN700:AN722" si="712">AK700*$AN$2</f>
        <v>3.004114204180167E-2</v>
      </c>
      <c r="AO700" s="374">
        <f t="shared" ref="AO700:AO722" si="713">M700*$AO$2</f>
        <v>0.46144105082405135</v>
      </c>
      <c r="AP700" s="354">
        <f t="shared" ref="AP700:AP722" si="714">AO700*$AP$2</f>
        <v>0.10581328656138438</v>
      </c>
      <c r="AQ700" s="354">
        <f t="shared" ref="AQ700:AQ722" si="715">AO700*$AQ$2</f>
        <v>0.35562776426266696</v>
      </c>
      <c r="AR700" s="374">
        <f t="shared" ref="AR700:AR722" si="716">M700*$AR$2</f>
        <v>0.84180283012486667</v>
      </c>
      <c r="AS700" s="354">
        <f t="shared" ref="AS700:AS722" si="717">AR700*$AS$2</f>
        <v>0.36478174392536689</v>
      </c>
      <c r="AT700" s="354">
        <f t="shared" ref="AT700:AT722" si="718">AR700*$AT$2</f>
        <v>0.47702108619949979</v>
      </c>
      <c r="AU700" s="355" t="s">
        <v>396</v>
      </c>
      <c r="AV700" s="354" t="s">
        <v>346</v>
      </c>
      <c r="AW700" s="377">
        <v>0</v>
      </c>
      <c r="AX700" s="377">
        <v>0</v>
      </c>
      <c r="AY700" s="377">
        <v>0</v>
      </c>
      <c r="AZ700" s="377">
        <v>0</v>
      </c>
      <c r="BA700" s="377">
        <v>0</v>
      </c>
      <c r="BB700" s="377">
        <v>0</v>
      </c>
    </row>
    <row r="701" spans="1:54" x14ac:dyDescent="0.25">
      <c r="A701" s="348" t="s">
        <v>1595</v>
      </c>
      <c r="B701" s="349">
        <v>37</v>
      </c>
      <c r="C701" s="423">
        <v>45200</v>
      </c>
      <c r="D701" s="427">
        <v>45224</v>
      </c>
      <c r="E701" s="352"/>
      <c r="F701" s="352">
        <v>6</v>
      </c>
      <c r="G701" s="352" t="s">
        <v>306</v>
      </c>
      <c r="H701" s="424" t="s">
        <v>1599</v>
      </c>
      <c r="I701" s="350" t="s">
        <v>393</v>
      </c>
      <c r="J701" s="556">
        <v>382454</v>
      </c>
      <c r="K701" s="350" t="s">
        <v>394</v>
      </c>
      <c r="L701" s="354">
        <v>2803.6597999999999</v>
      </c>
      <c r="M701" s="560">
        <f t="shared" ref="M701:M706" si="719">+J701/L701</f>
        <v>136.4124135175031</v>
      </c>
      <c r="N701" s="354" t="s">
        <v>395</v>
      </c>
      <c r="O701" s="354">
        <v>0</v>
      </c>
      <c r="P701" s="374">
        <f t="shared" si="688"/>
        <v>8.5950917457103895</v>
      </c>
      <c r="Q701" s="354">
        <f t="shared" si="689"/>
        <v>0.81064827162304476</v>
      </c>
      <c r="R701" s="354">
        <f t="shared" si="690"/>
        <v>1.3665172107591328</v>
      </c>
      <c r="S701" s="354">
        <f t="shared" si="691"/>
        <v>1.2172752335035351</v>
      </c>
      <c r="T701" s="354">
        <f t="shared" si="692"/>
        <v>5.1945784934621733</v>
      </c>
      <c r="U701" s="374">
        <f t="shared" si="693"/>
        <v>34.495832563575149</v>
      </c>
      <c r="V701" s="354">
        <f t="shared" si="694"/>
        <v>0.91312939212699895</v>
      </c>
      <c r="W701" s="354">
        <f t="shared" si="695"/>
        <v>31.148734799135756</v>
      </c>
      <c r="X701" s="354">
        <f t="shared" si="696"/>
        <v>2.4339683723123962</v>
      </c>
      <c r="Y701" s="374">
        <f t="shared" si="697"/>
        <v>5.0570363005145662</v>
      </c>
      <c r="Z701" s="354">
        <f t="shared" si="698"/>
        <v>2.6087228799864324</v>
      </c>
      <c r="AA701" s="354">
        <f t="shared" si="699"/>
        <v>2.4483134205281334</v>
      </c>
      <c r="AB701" s="374">
        <f t="shared" si="700"/>
        <v>27.628590992730359</v>
      </c>
      <c r="AC701" s="354">
        <f t="shared" si="701"/>
        <v>7.8407890847026698</v>
      </c>
      <c r="AD701" s="354">
        <f t="shared" si="702"/>
        <v>17.067656142846165</v>
      </c>
      <c r="AE701" s="354">
        <f t="shared" si="703"/>
        <v>2.7201457651815231</v>
      </c>
      <c r="AF701" s="374">
        <f t="shared" si="704"/>
        <v>22.112521200056328</v>
      </c>
      <c r="AG701" s="354">
        <f t="shared" si="705"/>
        <v>1.4210988152345527</v>
      </c>
      <c r="AH701" s="354">
        <f t="shared" si="706"/>
        <v>7.150119425234851</v>
      </c>
      <c r="AI701" s="354">
        <f t="shared" si="707"/>
        <v>0</v>
      </c>
      <c r="AJ701" s="354">
        <f t="shared" si="708"/>
        <v>13.541302959586925</v>
      </c>
      <c r="AK701" s="374">
        <f t="shared" si="709"/>
        <v>14.605166366606039</v>
      </c>
      <c r="AL701" s="354">
        <f t="shared" si="710"/>
        <v>4.184477113181118</v>
      </c>
      <c r="AM701" s="354">
        <f t="shared" si="711"/>
        <v>9.8693501806068777</v>
      </c>
      <c r="AN701" s="354">
        <f t="shared" si="712"/>
        <v>0.55133907281804395</v>
      </c>
      <c r="AO701" s="374">
        <f t="shared" si="713"/>
        <v>8.4687353352781685</v>
      </c>
      <c r="AP701" s="354">
        <f t="shared" si="714"/>
        <v>1.9419700896659007</v>
      </c>
      <c r="AQ701" s="354">
        <f t="shared" si="715"/>
        <v>6.5267652456122676</v>
      </c>
      <c r="AR701" s="374">
        <f t="shared" si="716"/>
        <v>15.449439013032093</v>
      </c>
      <c r="AS701" s="354">
        <f t="shared" si="717"/>
        <v>6.6947664039172841</v>
      </c>
      <c r="AT701" s="354">
        <f t="shared" si="718"/>
        <v>8.7546726091148095</v>
      </c>
      <c r="AU701" s="355" t="s">
        <v>396</v>
      </c>
      <c r="AV701" s="354" t="s">
        <v>346</v>
      </c>
      <c r="AW701" s="377">
        <v>0</v>
      </c>
      <c r="AX701" s="377">
        <v>0</v>
      </c>
      <c r="AY701" s="377">
        <v>0</v>
      </c>
      <c r="AZ701" s="377">
        <v>0</v>
      </c>
      <c r="BA701" s="377">
        <v>0</v>
      </c>
      <c r="BB701" s="377">
        <v>0</v>
      </c>
    </row>
    <row r="702" spans="1:54" ht="30" x14ac:dyDescent="0.25">
      <c r="A702" s="348" t="s">
        <v>1595</v>
      </c>
      <c r="B702" s="349">
        <v>37</v>
      </c>
      <c r="C702" s="423">
        <v>45200</v>
      </c>
      <c r="D702" s="427">
        <v>45224</v>
      </c>
      <c r="E702" s="352"/>
      <c r="F702" s="352">
        <v>6</v>
      </c>
      <c r="G702" s="352" t="s">
        <v>307</v>
      </c>
      <c r="H702" s="424" t="s">
        <v>1600</v>
      </c>
      <c r="I702" s="350" t="s">
        <v>393</v>
      </c>
      <c r="J702" s="619">
        <v>216919</v>
      </c>
      <c r="K702" s="350" t="s">
        <v>394</v>
      </c>
      <c r="L702" s="354">
        <v>2803.6597999999999</v>
      </c>
      <c r="M702" s="560">
        <f t="shared" si="719"/>
        <v>77.369943386141216</v>
      </c>
      <c r="N702" s="354" t="s">
        <v>395</v>
      </c>
      <c r="O702" s="354">
        <v>0</v>
      </c>
      <c r="P702" s="374">
        <f t="shared" si="688"/>
        <v>4.8749358259758084</v>
      </c>
      <c r="Q702" s="354">
        <f t="shared" si="689"/>
        <v>0.4597808166006872</v>
      </c>
      <c r="R702" s="354">
        <f t="shared" si="690"/>
        <v>0.77505673058893443</v>
      </c>
      <c r="S702" s="354">
        <f t="shared" si="691"/>
        <v>0.69041015749960333</v>
      </c>
      <c r="T702" s="354">
        <f t="shared" si="692"/>
        <v>2.946243920114108</v>
      </c>
      <c r="U702" s="374">
        <f t="shared" si="693"/>
        <v>19.56523269166529</v>
      </c>
      <c r="V702" s="354">
        <f t="shared" si="694"/>
        <v>0.51790572097767695</v>
      </c>
      <c r="W702" s="354">
        <f t="shared" si="695"/>
        <v>17.666836806240042</v>
      </c>
      <c r="X702" s="354">
        <f t="shared" si="696"/>
        <v>1.3804901644475744</v>
      </c>
      <c r="Y702" s="374">
        <f t="shared" si="697"/>
        <v>2.8682331921520472</v>
      </c>
      <c r="Z702" s="354">
        <f t="shared" si="698"/>
        <v>1.4796068505069286</v>
      </c>
      <c r="AA702" s="354">
        <f t="shared" si="699"/>
        <v>1.3886263416451183</v>
      </c>
      <c r="AB702" s="374">
        <f t="shared" si="700"/>
        <v>15.670293236708405</v>
      </c>
      <c r="AC702" s="354">
        <f t="shared" si="701"/>
        <v>4.4471129272137784</v>
      </c>
      <c r="AD702" s="354">
        <f t="shared" si="702"/>
        <v>9.6803769939654103</v>
      </c>
      <c r="AE702" s="354">
        <f t="shared" si="703"/>
        <v>1.5428033155292158</v>
      </c>
      <c r="AF702" s="374">
        <f t="shared" si="704"/>
        <v>12.541706940429485</v>
      </c>
      <c r="AG702" s="354">
        <f t="shared" si="705"/>
        <v>0.80601414523541115</v>
      </c>
      <c r="AH702" s="354">
        <f t="shared" si="706"/>
        <v>4.0553811846719299</v>
      </c>
      <c r="AI702" s="354">
        <f t="shared" si="707"/>
        <v>0</v>
      </c>
      <c r="AJ702" s="354">
        <f t="shared" si="708"/>
        <v>7.6803116105221445</v>
      </c>
      <c r="AK702" s="374">
        <f t="shared" si="709"/>
        <v>8.2837101535813851</v>
      </c>
      <c r="AL702" s="354">
        <f t="shared" si="710"/>
        <v>2.373337946299777</v>
      </c>
      <c r="AM702" s="354">
        <f t="shared" si="711"/>
        <v>5.5976655279512384</v>
      </c>
      <c r="AN702" s="354">
        <f t="shared" si="712"/>
        <v>0.31270667933036983</v>
      </c>
      <c r="AO702" s="374">
        <f t="shared" si="713"/>
        <v>4.803269413297298</v>
      </c>
      <c r="AP702" s="354">
        <f t="shared" si="714"/>
        <v>1.1014401990310925</v>
      </c>
      <c r="AQ702" s="354">
        <f t="shared" si="715"/>
        <v>3.7018292142662057</v>
      </c>
      <c r="AR702" s="374">
        <f t="shared" si="716"/>
        <v>8.7625619323314918</v>
      </c>
      <c r="AS702" s="354">
        <f t="shared" si="717"/>
        <v>3.7971155578744979</v>
      </c>
      <c r="AT702" s="354">
        <f t="shared" si="718"/>
        <v>4.9654463744569943</v>
      </c>
      <c r="AU702" s="355" t="s">
        <v>396</v>
      </c>
      <c r="AV702" s="354" t="s">
        <v>346</v>
      </c>
      <c r="AW702" s="377">
        <v>0</v>
      </c>
      <c r="AX702" s="377">
        <v>0</v>
      </c>
      <c r="AY702" s="377">
        <v>0</v>
      </c>
      <c r="AZ702" s="377">
        <v>0</v>
      </c>
      <c r="BA702" s="377">
        <v>0</v>
      </c>
      <c r="BB702" s="377">
        <v>0</v>
      </c>
    </row>
    <row r="703" spans="1:54" x14ac:dyDescent="0.25">
      <c r="A703" s="348" t="s">
        <v>1595</v>
      </c>
      <c r="B703" s="349">
        <v>37</v>
      </c>
      <c r="C703" s="423">
        <v>45200</v>
      </c>
      <c r="D703" s="427">
        <v>45224</v>
      </c>
      <c r="E703" s="352"/>
      <c r="F703" s="352">
        <v>6</v>
      </c>
      <c r="G703" s="352" t="s">
        <v>308</v>
      </c>
      <c r="H703" s="424" t="s">
        <v>1601</v>
      </c>
      <c r="I703" s="350" t="s">
        <v>393</v>
      </c>
      <c r="J703" s="619">
        <v>344893</v>
      </c>
      <c r="K703" s="350" t="s">
        <v>394</v>
      </c>
      <c r="L703" s="354">
        <v>2803.6597999999999</v>
      </c>
      <c r="M703" s="560">
        <f t="shared" si="719"/>
        <v>123.01528166862471</v>
      </c>
      <c r="N703" s="354" t="s">
        <v>395</v>
      </c>
      <c r="O703" s="354">
        <v>0</v>
      </c>
      <c r="P703" s="374">
        <f t="shared" si="688"/>
        <v>7.7509634556137295</v>
      </c>
      <c r="Q703" s="354">
        <f t="shared" si="689"/>
        <v>0.7310340965054275</v>
      </c>
      <c r="R703" s="354">
        <f t="shared" si="690"/>
        <v>1.23231086711173</v>
      </c>
      <c r="S703" s="354">
        <f t="shared" si="691"/>
        <v>1.0977260196225813</v>
      </c>
      <c r="T703" s="354">
        <f t="shared" si="692"/>
        <v>4.68441632286667</v>
      </c>
      <c r="U703" s="374">
        <f t="shared" si="693"/>
        <v>31.107979470339242</v>
      </c>
      <c r="V703" s="354">
        <f t="shared" si="694"/>
        <v>0.82345049454014618</v>
      </c>
      <c r="W703" s="354">
        <f t="shared" si="695"/>
        <v>28.089601863435416</v>
      </c>
      <c r="X703" s="354">
        <f t="shared" si="696"/>
        <v>2.1949271123636813</v>
      </c>
      <c r="Y703" s="374">
        <f t="shared" si="697"/>
        <v>4.5603822179748938</v>
      </c>
      <c r="Z703" s="354">
        <f t="shared" si="698"/>
        <v>2.3525188918070161</v>
      </c>
      <c r="AA703" s="354">
        <f t="shared" si="699"/>
        <v>2.2078633261678773</v>
      </c>
      <c r="AB703" s="374">
        <f t="shared" si="700"/>
        <v>24.915173153518467</v>
      </c>
      <c r="AC703" s="354">
        <f t="shared" si="701"/>
        <v>7.0707412389211717</v>
      </c>
      <c r="AD703" s="354">
        <f t="shared" si="702"/>
        <v>15.391433035279125</v>
      </c>
      <c r="AE703" s="354">
        <f t="shared" si="703"/>
        <v>2.452998879318169</v>
      </c>
      <c r="AF703" s="374">
        <f t="shared" si="704"/>
        <v>19.940839353885767</v>
      </c>
      <c r="AG703" s="354">
        <f t="shared" si="705"/>
        <v>1.2815319847163074</v>
      </c>
      <c r="AH703" s="354">
        <f t="shared" si="706"/>
        <v>6.4479025946323567</v>
      </c>
      <c r="AI703" s="354">
        <f t="shared" si="707"/>
        <v>0</v>
      </c>
      <c r="AJ703" s="354">
        <f t="shared" si="708"/>
        <v>12.211404774537105</v>
      </c>
      <c r="AK703" s="374">
        <f t="shared" si="709"/>
        <v>13.170785620435023</v>
      </c>
      <c r="AL703" s="354">
        <f t="shared" si="710"/>
        <v>3.7735175079784113</v>
      </c>
      <c r="AM703" s="354">
        <f t="shared" si="711"/>
        <v>8.9000763277153521</v>
      </c>
      <c r="AN703" s="354">
        <f t="shared" si="712"/>
        <v>0.49719178474125936</v>
      </c>
      <c r="AO703" s="374">
        <f t="shared" si="713"/>
        <v>7.6370165719017011</v>
      </c>
      <c r="AP703" s="354">
        <f t="shared" si="714"/>
        <v>1.7512482288984856</v>
      </c>
      <c r="AQ703" s="354">
        <f t="shared" si="715"/>
        <v>5.8857683430032157</v>
      </c>
      <c r="AR703" s="374">
        <f t="shared" si="716"/>
        <v>13.932141824955883</v>
      </c>
      <c r="AS703" s="354">
        <f t="shared" si="717"/>
        <v>6.0372700229210405</v>
      </c>
      <c r="AT703" s="354">
        <f t="shared" si="718"/>
        <v>7.8948718020348432</v>
      </c>
      <c r="AU703" s="355" t="s">
        <v>396</v>
      </c>
      <c r="AV703" s="354" t="s">
        <v>346</v>
      </c>
      <c r="AW703" s="377">
        <v>0</v>
      </c>
      <c r="AX703" s="377">
        <v>0</v>
      </c>
      <c r="AY703" s="377">
        <v>0</v>
      </c>
      <c r="AZ703" s="377">
        <v>0</v>
      </c>
      <c r="BA703" s="377">
        <v>0</v>
      </c>
      <c r="BB703" s="377">
        <v>0</v>
      </c>
    </row>
    <row r="704" spans="1:54" x14ac:dyDescent="0.25">
      <c r="A704" s="348" t="s">
        <v>1595</v>
      </c>
      <c r="B704" s="349">
        <v>37</v>
      </c>
      <c r="C704" s="423">
        <v>45200</v>
      </c>
      <c r="D704" s="427">
        <v>45224</v>
      </c>
      <c r="E704" s="352"/>
      <c r="F704" s="352">
        <v>6</v>
      </c>
      <c r="G704" s="352" t="s">
        <v>309</v>
      </c>
      <c r="H704" s="424" t="s">
        <v>1602</v>
      </c>
      <c r="I704" s="350" t="s">
        <v>393</v>
      </c>
      <c r="J704" s="619">
        <v>1288541</v>
      </c>
      <c r="K704" s="350" t="s">
        <v>394</v>
      </c>
      <c r="L704" s="354">
        <v>2803.6597999999999</v>
      </c>
      <c r="M704" s="560">
        <f t="shared" si="719"/>
        <v>459.59249406793225</v>
      </c>
      <c r="N704" s="354" t="s">
        <v>395</v>
      </c>
      <c r="O704" s="354">
        <v>0</v>
      </c>
      <c r="P704" s="374">
        <f t="shared" si="688"/>
        <v>28.958065840883901</v>
      </c>
      <c r="Q704" s="354">
        <f t="shared" si="689"/>
        <v>2.7311873704169121</v>
      </c>
      <c r="R704" s="354">
        <f t="shared" si="690"/>
        <v>4.6039875469174953</v>
      </c>
      <c r="S704" s="354">
        <f t="shared" si="691"/>
        <v>4.1011704588104152</v>
      </c>
      <c r="T704" s="354">
        <f t="shared" si="692"/>
        <v>17.501261240683174</v>
      </c>
      <c r="U704" s="374">
        <f t="shared" si="693"/>
        <v>116.22128304920771</v>
      </c>
      <c r="V704" s="354">
        <f t="shared" si="694"/>
        <v>3.0764605941125347</v>
      </c>
      <c r="W704" s="354">
        <f t="shared" si="695"/>
        <v>104.9444426958881</v>
      </c>
      <c r="X704" s="354">
        <f t="shared" si="696"/>
        <v>8.2003797592070882</v>
      </c>
      <c r="Y704" s="374">
        <f t="shared" si="697"/>
        <v>17.037862361751582</v>
      </c>
      <c r="Z704" s="354">
        <f t="shared" si="698"/>
        <v>8.7891521294079755</v>
      </c>
      <c r="AA704" s="354">
        <f t="shared" si="699"/>
        <v>8.2487102323436066</v>
      </c>
      <c r="AB704" s="374">
        <f t="shared" si="700"/>
        <v>93.084586032212414</v>
      </c>
      <c r="AC704" s="354">
        <f t="shared" si="701"/>
        <v>26.416714710767469</v>
      </c>
      <c r="AD704" s="354">
        <f t="shared" si="702"/>
        <v>57.503319912876165</v>
      </c>
      <c r="AE704" s="354">
        <f t="shared" si="703"/>
        <v>9.16455140856878</v>
      </c>
      <c r="AF704" s="374">
        <f t="shared" si="704"/>
        <v>74.500175654174825</v>
      </c>
      <c r="AG704" s="354">
        <f t="shared" si="705"/>
        <v>4.7878806038926136</v>
      </c>
      <c r="AH704" s="354">
        <f t="shared" si="706"/>
        <v>24.089752059885736</v>
      </c>
      <c r="AI704" s="354">
        <f t="shared" si="707"/>
        <v>0</v>
      </c>
      <c r="AJ704" s="354">
        <f t="shared" si="708"/>
        <v>45.622542990396482</v>
      </c>
      <c r="AK704" s="374">
        <f t="shared" si="709"/>
        <v>49.206847556027419</v>
      </c>
      <c r="AL704" s="354">
        <f t="shared" si="710"/>
        <v>14.09808846003836</v>
      </c>
      <c r="AM704" s="354">
        <f t="shared" si="711"/>
        <v>33.251220672471369</v>
      </c>
      <c r="AN704" s="354">
        <f t="shared" si="712"/>
        <v>1.8575384235176913</v>
      </c>
      <c r="AO704" s="374">
        <f t="shared" si="713"/>
        <v>28.53235342722175</v>
      </c>
      <c r="AP704" s="354">
        <f t="shared" si="714"/>
        <v>6.542768754695178</v>
      </c>
      <c r="AQ704" s="354">
        <f t="shared" si="715"/>
        <v>21.989584672526572</v>
      </c>
      <c r="AR704" s="374">
        <f t="shared" si="716"/>
        <v>52.051320146452611</v>
      </c>
      <c r="AS704" s="354">
        <f t="shared" si="717"/>
        <v>22.555604064462607</v>
      </c>
      <c r="AT704" s="354">
        <f t="shared" si="718"/>
        <v>29.495716081990007</v>
      </c>
      <c r="AU704" s="355" t="s">
        <v>396</v>
      </c>
      <c r="AV704" s="354" t="s">
        <v>346</v>
      </c>
      <c r="AW704" s="377">
        <v>0</v>
      </c>
      <c r="AX704" s="377">
        <v>0</v>
      </c>
      <c r="AY704" s="377">
        <v>0</v>
      </c>
      <c r="AZ704" s="377">
        <v>0</v>
      </c>
      <c r="BA704" s="377">
        <v>0</v>
      </c>
      <c r="BB704" s="377">
        <v>0</v>
      </c>
    </row>
    <row r="705" spans="1:54" x14ac:dyDescent="0.25">
      <c r="A705" s="348" t="s">
        <v>1595</v>
      </c>
      <c r="B705" s="349">
        <v>37</v>
      </c>
      <c r="C705" s="423">
        <v>45200</v>
      </c>
      <c r="D705" s="427">
        <v>45224</v>
      </c>
      <c r="E705" s="352"/>
      <c r="F705" s="352">
        <v>6</v>
      </c>
      <c r="G705" s="352" t="s">
        <v>310</v>
      </c>
      <c r="H705" s="424" t="s">
        <v>1603</v>
      </c>
      <c r="I705" s="350" t="s">
        <v>393</v>
      </c>
      <c r="J705" s="619">
        <v>454657</v>
      </c>
      <c r="K705" s="350" t="s">
        <v>394</v>
      </c>
      <c r="L705" s="354">
        <v>2803.6597999999999</v>
      </c>
      <c r="M705" s="560">
        <f t="shared" si="719"/>
        <v>162.16553805850481</v>
      </c>
      <c r="N705" s="354" t="s">
        <v>395</v>
      </c>
      <c r="O705" s="354">
        <v>0</v>
      </c>
      <c r="P705" s="374">
        <f t="shared" si="688"/>
        <v>10.217748089520434</v>
      </c>
      <c r="Q705" s="354">
        <f t="shared" si="689"/>
        <v>0.96368951882139708</v>
      </c>
      <c r="R705" s="354">
        <f t="shared" si="690"/>
        <v>1.6245002418385348</v>
      </c>
      <c r="S705" s="354">
        <f t="shared" si="691"/>
        <v>1.4470830631631952</v>
      </c>
      <c r="T705" s="354">
        <f t="shared" si="692"/>
        <v>6.1752563029855381</v>
      </c>
      <c r="U705" s="374">
        <f t="shared" si="693"/>
        <v>41.008256537668281</v>
      </c>
      <c r="V705" s="354">
        <f t="shared" si="694"/>
        <v>1.0855179185896471</v>
      </c>
      <c r="W705" s="354">
        <f t="shared" si="695"/>
        <v>37.02926448035754</v>
      </c>
      <c r="X705" s="354">
        <f t="shared" si="696"/>
        <v>2.8934741387210932</v>
      </c>
      <c r="Y705" s="374">
        <f t="shared" si="697"/>
        <v>6.0117476958877427</v>
      </c>
      <c r="Z705" s="354">
        <f t="shared" si="698"/>
        <v>3.1012203257018918</v>
      </c>
      <c r="AA705" s="354">
        <f t="shared" si="699"/>
        <v>2.9105273701858505</v>
      </c>
      <c r="AB705" s="374">
        <f t="shared" si="700"/>
        <v>32.844557240823221</v>
      </c>
      <c r="AC705" s="354">
        <f t="shared" si="701"/>
        <v>9.3210415968552063</v>
      </c>
      <c r="AD705" s="354">
        <f t="shared" si="702"/>
        <v>20.289837049522315</v>
      </c>
      <c r="AE705" s="354">
        <f t="shared" si="703"/>
        <v>3.2336785944456992</v>
      </c>
      <c r="AF705" s="374">
        <f t="shared" si="704"/>
        <v>26.287115708697016</v>
      </c>
      <c r="AG705" s="354">
        <f t="shared" si="705"/>
        <v>1.6893862373987354</v>
      </c>
      <c r="AH705" s="354">
        <f t="shared" si="706"/>
        <v>8.4999812984541965</v>
      </c>
      <c r="AI705" s="354">
        <f t="shared" si="707"/>
        <v>0</v>
      </c>
      <c r="AJ705" s="354">
        <f t="shared" si="708"/>
        <v>16.097748172844085</v>
      </c>
      <c r="AK705" s="374">
        <f t="shared" si="709"/>
        <v>17.362456987616813</v>
      </c>
      <c r="AL705" s="354">
        <f t="shared" si="710"/>
        <v>4.974459179006069</v>
      </c>
      <c r="AM705" s="354">
        <f t="shared" si="711"/>
        <v>11.732572139562354</v>
      </c>
      <c r="AN705" s="354">
        <f t="shared" si="712"/>
        <v>0.65542566904839106</v>
      </c>
      <c r="AO705" s="374">
        <f t="shared" si="713"/>
        <v>10.067537014468579</v>
      </c>
      <c r="AP705" s="354">
        <f t="shared" si="714"/>
        <v>2.3085921314909226</v>
      </c>
      <c r="AQ705" s="354">
        <f t="shared" si="715"/>
        <v>7.7589448829776568</v>
      </c>
      <c r="AR705" s="374">
        <f t="shared" si="716"/>
        <v>18.36611878382271</v>
      </c>
      <c r="AS705" s="354">
        <f t="shared" si="717"/>
        <v>7.9586627644261014</v>
      </c>
      <c r="AT705" s="354">
        <f t="shared" si="718"/>
        <v>10.40745601939661</v>
      </c>
      <c r="AU705" s="355" t="s">
        <v>396</v>
      </c>
      <c r="AV705" s="354" t="s">
        <v>346</v>
      </c>
      <c r="AW705" s="377">
        <v>0</v>
      </c>
      <c r="AX705" s="377">
        <v>0</v>
      </c>
      <c r="AY705" s="377">
        <v>0</v>
      </c>
      <c r="AZ705" s="377">
        <v>0</v>
      </c>
      <c r="BA705" s="377">
        <v>0</v>
      </c>
      <c r="BB705" s="377">
        <v>0</v>
      </c>
    </row>
    <row r="706" spans="1:54" x14ac:dyDescent="0.25">
      <c r="A706" s="348" t="s">
        <v>1595</v>
      </c>
      <c r="B706" s="349">
        <v>37</v>
      </c>
      <c r="C706" s="423">
        <v>45200</v>
      </c>
      <c r="D706" s="427">
        <v>45224</v>
      </c>
      <c r="E706" s="352"/>
      <c r="F706" s="352">
        <v>6</v>
      </c>
      <c r="G706" s="352" t="s">
        <v>311</v>
      </c>
      <c r="H706" s="424" t="s">
        <v>1604</v>
      </c>
      <c r="I706" s="350" t="s">
        <v>393</v>
      </c>
      <c r="J706" s="560">
        <v>147836</v>
      </c>
      <c r="K706" s="350" t="s">
        <v>394</v>
      </c>
      <c r="L706" s="354">
        <v>2803.6597999999999</v>
      </c>
      <c r="M706" s="560">
        <f t="shared" si="719"/>
        <v>52.729650009605301</v>
      </c>
      <c r="N706" s="354" t="s">
        <v>395</v>
      </c>
      <c r="O706" s="354">
        <v>0</v>
      </c>
      <c r="P706" s="374">
        <f t="shared" si="688"/>
        <v>3.3223968982383267</v>
      </c>
      <c r="Q706" s="354">
        <f t="shared" si="689"/>
        <v>0.31335271139447995</v>
      </c>
      <c r="R706" s="354">
        <f t="shared" si="690"/>
        <v>0.52822153349105283</v>
      </c>
      <c r="S706" s="354">
        <f t="shared" si="691"/>
        <v>0.47053266907975488</v>
      </c>
      <c r="T706" s="354">
        <f t="shared" si="692"/>
        <v>2.0079426706465977</v>
      </c>
      <c r="U706" s="374">
        <f t="shared" si="693"/>
        <v>13.334220332036521</v>
      </c>
      <c r="V706" s="354">
        <f t="shared" si="694"/>
        <v>0.35296636148265415</v>
      </c>
      <c r="W706" s="354">
        <f t="shared" si="695"/>
        <v>12.040413638672973</v>
      </c>
      <c r="X706" s="354">
        <f t="shared" si="696"/>
        <v>0.94084033188089389</v>
      </c>
      <c r="Y706" s="374">
        <f t="shared" si="697"/>
        <v>1.9547763091061181</v>
      </c>
      <c r="Z706" s="354">
        <f t="shared" si="698"/>
        <v>1.0083909586137789</v>
      </c>
      <c r="AA706" s="354">
        <f t="shared" si="699"/>
        <v>0.94638535049233907</v>
      </c>
      <c r="AB706" s="374">
        <f t="shared" si="700"/>
        <v>10.67971671887674</v>
      </c>
      <c r="AC706" s="354">
        <f t="shared" si="701"/>
        <v>3.0308243478329517</v>
      </c>
      <c r="AD706" s="354">
        <f t="shared" si="702"/>
        <v>6.5974313604611421</v>
      </c>
      <c r="AE706" s="354">
        <f t="shared" si="703"/>
        <v>1.0514610105826467</v>
      </c>
      <c r="AF706" s="374">
        <f t="shared" si="704"/>
        <v>8.547502926185965</v>
      </c>
      <c r="AG706" s="354">
        <f t="shared" si="705"/>
        <v>0.5493198252574566</v>
      </c>
      <c r="AH706" s="354">
        <f t="shared" si="706"/>
        <v>2.7638488690117486</v>
      </c>
      <c r="AI706" s="354">
        <f t="shared" si="707"/>
        <v>0</v>
      </c>
      <c r="AJ706" s="354">
        <f t="shared" si="708"/>
        <v>5.2343342319167601</v>
      </c>
      <c r="AK706" s="374">
        <f t="shared" si="709"/>
        <v>5.6455661987417312</v>
      </c>
      <c r="AL706" s="354">
        <f t="shared" si="710"/>
        <v>1.6174921912288633</v>
      </c>
      <c r="AM706" s="354">
        <f t="shared" si="711"/>
        <v>3.8149561863654142</v>
      </c>
      <c r="AN706" s="354">
        <f t="shared" si="712"/>
        <v>0.2131178211474539</v>
      </c>
      <c r="AO706" s="374">
        <f t="shared" si="713"/>
        <v>3.2735543543175996</v>
      </c>
      <c r="AP706" s="354">
        <f t="shared" si="714"/>
        <v>0.75066044589897896</v>
      </c>
      <c r="AQ706" s="354">
        <f t="shared" si="715"/>
        <v>2.5228939084186206</v>
      </c>
      <c r="AR706" s="374">
        <f t="shared" si="716"/>
        <v>5.9719162721022983</v>
      </c>
      <c r="AS706" s="354">
        <f t="shared" si="717"/>
        <v>2.5878340560943687</v>
      </c>
      <c r="AT706" s="354">
        <f t="shared" si="718"/>
        <v>3.38408221600793</v>
      </c>
      <c r="AU706" s="355" t="s">
        <v>396</v>
      </c>
      <c r="AV706" s="354" t="s">
        <v>346</v>
      </c>
      <c r="AW706" s="377">
        <v>0</v>
      </c>
      <c r="AX706" s="377">
        <v>0</v>
      </c>
      <c r="AY706" s="377">
        <v>0</v>
      </c>
      <c r="AZ706" s="377">
        <v>0</v>
      </c>
      <c r="BA706" s="377">
        <v>0</v>
      </c>
      <c r="BB706" s="377">
        <v>0</v>
      </c>
    </row>
    <row r="707" spans="1:54" x14ac:dyDescent="0.25">
      <c r="A707" s="348" t="s">
        <v>1596</v>
      </c>
      <c r="B707" s="349">
        <v>38</v>
      </c>
      <c r="C707" s="423">
        <v>45200</v>
      </c>
      <c r="D707" s="351">
        <v>45217</v>
      </c>
      <c r="E707" s="352"/>
      <c r="F707" s="352">
        <v>6</v>
      </c>
      <c r="G707" s="352" t="s">
        <v>308</v>
      </c>
      <c r="H707" s="424" t="s">
        <v>1605</v>
      </c>
      <c r="I707" s="350" t="s">
        <v>393</v>
      </c>
      <c r="J707" s="560">
        <v>47380</v>
      </c>
      <c r="K707" s="350" t="s">
        <v>394</v>
      </c>
      <c r="L707" s="354">
        <v>2803.6597999999999</v>
      </c>
      <c r="M707" s="560">
        <f>+J707/L707</f>
        <v>16.89933992704821</v>
      </c>
      <c r="N707" s="354" t="s">
        <v>395</v>
      </c>
      <c r="O707" s="354">
        <v>0</v>
      </c>
      <c r="P707" s="374">
        <f t="shared" si="688"/>
        <v>1.0647958889481042</v>
      </c>
      <c r="Q707" s="354">
        <f t="shared" si="689"/>
        <v>0.10042649602174342</v>
      </c>
      <c r="R707" s="354">
        <f t="shared" si="690"/>
        <v>0.16928986347578456</v>
      </c>
      <c r="S707" s="354">
        <f t="shared" si="691"/>
        <v>0.15080114357124644</v>
      </c>
      <c r="T707" s="354">
        <f t="shared" si="692"/>
        <v>0.64352609469436262</v>
      </c>
      <c r="U707" s="374">
        <f t="shared" si="693"/>
        <v>4.2734879145261662</v>
      </c>
      <c r="V707" s="354">
        <f t="shared" si="694"/>
        <v>0.1131222855532357</v>
      </c>
      <c r="W707" s="354">
        <f t="shared" si="695"/>
        <v>3.8588354541540992</v>
      </c>
      <c r="X707" s="354">
        <f t="shared" si="696"/>
        <v>0.30153017481883132</v>
      </c>
      <c r="Y707" s="374">
        <f t="shared" si="697"/>
        <v>0.62648679296956</v>
      </c>
      <c r="Z707" s="354">
        <f t="shared" si="698"/>
        <v>0.3231794936221275</v>
      </c>
      <c r="AA707" s="354">
        <f t="shared" si="699"/>
        <v>0.30330729934743245</v>
      </c>
      <c r="AB707" s="374">
        <f t="shared" si="700"/>
        <v>3.4227453268512402</v>
      </c>
      <c r="AC707" s="354">
        <f t="shared" si="701"/>
        <v>0.97134972266785669</v>
      </c>
      <c r="AD707" s="354">
        <f t="shared" si="702"/>
        <v>2.1144125778474043</v>
      </c>
      <c r="AE707" s="354">
        <f t="shared" si="703"/>
        <v>0.33698302633597904</v>
      </c>
      <c r="AF707" s="374">
        <f t="shared" si="704"/>
        <v>2.7393915463262739</v>
      </c>
      <c r="AG707" s="354">
        <f t="shared" si="705"/>
        <v>0.17605166076394313</v>
      </c>
      <c r="AH707" s="354">
        <f t="shared" si="706"/>
        <v>0.88578667857474935</v>
      </c>
      <c r="AI707" s="354">
        <f t="shared" si="707"/>
        <v>0</v>
      </c>
      <c r="AJ707" s="354">
        <f t="shared" si="708"/>
        <v>1.6775532069875816</v>
      </c>
      <c r="AK707" s="374">
        <f t="shared" si="709"/>
        <v>1.8093490523037907</v>
      </c>
      <c r="AL707" s="354">
        <f t="shared" si="710"/>
        <v>0.51839051395075308</v>
      </c>
      <c r="AM707" s="354">
        <f t="shared" si="711"/>
        <v>1.2226563496712122</v>
      </c>
      <c r="AN707" s="354">
        <f t="shared" si="712"/>
        <v>6.8302188681825568E-2</v>
      </c>
      <c r="AO707" s="374">
        <f t="shared" si="713"/>
        <v>1.0491423287126806</v>
      </c>
      <c r="AP707" s="354">
        <f t="shared" si="714"/>
        <v>0.24057937124038542</v>
      </c>
      <c r="AQ707" s="354">
        <f t="shared" si="715"/>
        <v>0.80856295747229523</v>
      </c>
      <c r="AR707" s="374">
        <f t="shared" si="716"/>
        <v>1.913941076410393</v>
      </c>
      <c r="AS707" s="354">
        <f t="shared" si="717"/>
        <v>0.82937564312989509</v>
      </c>
      <c r="AT707" s="354">
        <f t="shared" si="718"/>
        <v>1.0845654332804981</v>
      </c>
      <c r="AU707" s="355" t="s">
        <v>396</v>
      </c>
      <c r="AV707" s="354" t="s">
        <v>346</v>
      </c>
      <c r="AW707" s="377">
        <v>0</v>
      </c>
      <c r="AX707" s="377">
        <v>0</v>
      </c>
      <c r="AY707" s="377">
        <v>0</v>
      </c>
      <c r="AZ707" s="377">
        <v>0</v>
      </c>
      <c r="BA707" s="377">
        <v>0</v>
      </c>
      <c r="BB707" s="377">
        <v>0</v>
      </c>
    </row>
    <row r="708" spans="1:54" x14ac:dyDescent="0.25">
      <c r="A708" s="348" t="s">
        <v>1596</v>
      </c>
      <c r="B708" s="349">
        <v>38</v>
      </c>
      <c r="C708" s="423">
        <v>45200</v>
      </c>
      <c r="D708" s="351">
        <v>45217</v>
      </c>
      <c r="E708" s="352"/>
      <c r="F708" s="352">
        <v>6</v>
      </c>
      <c r="G708" s="352" t="s">
        <v>309</v>
      </c>
      <c r="H708" s="424" t="s">
        <v>1606</v>
      </c>
      <c r="I708" s="350" t="s">
        <v>393</v>
      </c>
      <c r="J708" s="560">
        <v>136571</v>
      </c>
      <c r="K708" s="350" t="s">
        <v>394</v>
      </c>
      <c r="L708" s="354">
        <v>2803.6597999999999</v>
      </c>
      <c r="M708" s="560">
        <f t="shared" ref="M708:M715" si="720">+J708/L708</f>
        <v>48.711687487904207</v>
      </c>
      <c r="N708" s="354" t="s">
        <v>395</v>
      </c>
      <c r="O708" s="354">
        <v>0</v>
      </c>
      <c r="P708" s="374">
        <f t="shared" si="688"/>
        <v>3.0692325738609445</v>
      </c>
      <c r="Q708" s="354">
        <f t="shared" si="689"/>
        <v>0.28947545352860959</v>
      </c>
      <c r="R708" s="354">
        <f t="shared" si="690"/>
        <v>0.48797142137508182</v>
      </c>
      <c r="S708" s="354">
        <f t="shared" si="691"/>
        <v>0.43467840816101094</v>
      </c>
      <c r="T708" s="354">
        <f t="shared" si="692"/>
        <v>1.8549388408295442</v>
      </c>
      <c r="U708" s="374">
        <f t="shared" si="693"/>
        <v>12.318162050965663</v>
      </c>
      <c r="V708" s="354">
        <f t="shared" si="694"/>
        <v>0.32607057113319871</v>
      </c>
      <c r="W708" s="354">
        <f t="shared" si="695"/>
        <v>11.1229425244677</v>
      </c>
      <c r="X708" s="354">
        <f t="shared" si="696"/>
        <v>0.86914895536476611</v>
      </c>
      <c r="Y708" s="374">
        <f t="shared" si="697"/>
        <v>1.8058237189245629</v>
      </c>
      <c r="Z708" s="354">
        <f t="shared" si="698"/>
        <v>0.93155227149572772</v>
      </c>
      <c r="AA708" s="354">
        <f t="shared" si="699"/>
        <v>0.87427144742883511</v>
      </c>
      <c r="AB708" s="374">
        <f t="shared" si="700"/>
        <v>9.8659297600971048</v>
      </c>
      <c r="AC708" s="354">
        <f t="shared" si="701"/>
        <v>2.7998776482581653</v>
      </c>
      <c r="AD708" s="354">
        <f t="shared" si="702"/>
        <v>6.0947116962684245</v>
      </c>
      <c r="AE708" s="354">
        <f t="shared" si="703"/>
        <v>0.97134041557051509</v>
      </c>
      <c r="AF708" s="374">
        <f t="shared" si="704"/>
        <v>7.8961891699731019</v>
      </c>
      <c r="AG708" s="354">
        <f t="shared" si="705"/>
        <v>0.50746203803698775</v>
      </c>
      <c r="AH708" s="354">
        <f t="shared" si="706"/>
        <v>2.5532455145553419</v>
      </c>
      <c r="AI708" s="354">
        <f t="shared" si="707"/>
        <v>0</v>
      </c>
      <c r="AJ708" s="354">
        <f t="shared" si="708"/>
        <v>4.8354816173807729</v>
      </c>
      <c r="AK708" s="374">
        <f t="shared" si="709"/>
        <v>5.2153779954027231</v>
      </c>
      <c r="AL708" s="354">
        <f t="shared" si="710"/>
        <v>1.4942404153813489</v>
      </c>
      <c r="AM708" s="354">
        <f t="shared" si="711"/>
        <v>3.5242591880740211</v>
      </c>
      <c r="AN708" s="354">
        <f t="shared" si="712"/>
        <v>0.19687839194735332</v>
      </c>
      <c r="AO708" s="374">
        <f t="shared" si="713"/>
        <v>3.0241117976914209</v>
      </c>
      <c r="AP708" s="354">
        <f t="shared" si="714"/>
        <v>0.69346064393564122</v>
      </c>
      <c r="AQ708" s="354">
        <f t="shared" si="715"/>
        <v>2.3306511537557797</v>
      </c>
      <c r="AR708" s="374">
        <f t="shared" si="716"/>
        <v>5.5168604209886833</v>
      </c>
      <c r="AS708" s="354">
        <f t="shared" si="717"/>
        <v>2.3906429075114586</v>
      </c>
      <c r="AT708" s="354">
        <f t="shared" si="718"/>
        <v>3.1262175134772252</v>
      </c>
      <c r="AU708" s="355" t="s">
        <v>396</v>
      </c>
      <c r="AV708" s="354" t="s">
        <v>346</v>
      </c>
      <c r="AW708" s="377">
        <v>0</v>
      </c>
      <c r="AX708" s="377">
        <v>0</v>
      </c>
      <c r="AY708" s="377">
        <v>0</v>
      </c>
      <c r="AZ708" s="377">
        <v>0</v>
      </c>
      <c r="BA708" s="377">
        <v>0</v>
      </c>
      <c r="BB708" s="377">
        <v>0</v>
      </c>
    </row>
    <row r="709" spans="1:54" x14ac:dyDescent="0.25">
      <c r="A709" s="348" t="s">
        <v>1596</v>
      </c>
      <c r="B709" s="349">
        <v>38</v>
      </c>
      <c r="C709" s="423">
        <v>45200</v>
      </c>
      <c r="D709" s="351">
        <v>45217</v>
      </c>
      <c r="E709" s="352"/>
      <c r="F709" s="352">
        <v>6</v>
      </c>
      <c r="G709" s="352" t="s">
        <v>309</v>
      </c>
      <c r="H709" s="424" t="s">
        <v>1607</v>
      </c>
      <c r="I709" s="350" t="s">
        <v>393</v>
      </c>
      <c r="J709" s="560">
        <v>136571</v>
      </c>
      <c r="K709" s="350" t="s">
        <v>394</v>
      </c>
      <c r="L709" s="354">
        <v>2803.6597999999999</v>
      </c>
      <c r="M709" s="560">
        <f t="shared" si="720"/>
        <v>48.711687487904207</v>
      </c>
      <c r="N709" s="354" t="s">
        <v>395</v>
      </c>
      <c r="O709" s="354">
        <v>0</v>
      </c>
      <c r="P709" s="374">
        <f t="shared" si="688"/>
        <v>3.0692325738609445</v>
      </c>
      <c r="Q709" s="354">
        <f t="shared" si="689"/>
        <v>0.28947545352860959</v>
      </c>
      <c r="R709" s="354">
        <f t="shared" si="690"/>
        <v>0.48797142137508182</v>
      </c>
      <c r="S709" s="354">
        <f t="shared" si="691"/>
        <v>0.43467840816101094</v>
      </c>
      <c r="T709" s="354">
        <f t="shared" si="692"/>
        <v>1.8549388408295442</v>
      </c>
      <c r="U709" s="374">
        <f t="shared" si="693"/>
        <v>12.318162050965663</v>
      </c>
      <c r="V709" s="354">
        <f t="shared" si="694"/>
        <v>0.32607057113319871</v>
      </c>
      <c r="W709" s="354">
        <f t="shared" si="695"/>
        <v>11.1229425244677</v>
      </c>
      <c r="X709" s="354">
        <f t="shared" si="696"/>
        <v>0.86914895536476611</v>
      </c>
      <c r="Y709" s="374">
        <f t="shared" si="697"/>
        <v>1.8058237189245629</v>
      </c>
      <c r="Z709" s="354">
        <f t="shared" si="698"/>
        <v>0.93155227149572772</v>
      </c>
      <c r="AA709" s="354">
        <f t="shared" si="699"/>
        <v>0.87427144742883511</v>
      </c>
      <c r="AB709" s="374">
        <f t="shared" si="700"/>
        <v>9.8659297600971048</v>
      </c>
      <c r="AC709" s="354">
        <f t="shared" si="701"/>
        <v>2.7998776482581653</v>
      </c>
      <c r="AD709" s="354">
        <f t="shared" si="702"/>
        <v>6.0947116962684245</v>
      </c>
      <c r="AE709" s="354">
        <f t="shared" si="703"/>
        <v>0.97134041557051509</v>
      </c>
      <c r="AF709" s="374">
        <f t="shared" si="704"/>
        <v>7.8961891699731019</v>
      </c>
      <c r="AG709" s="354">
        <f t="shared" si="705"/>
        <v>0.50746203803698775</v>
      </c>
      <c r="AH709" s="354">
        <f t="shared" si="706"/>
        <v>2.5532455145553419</v>
      </c>
      <c r="AI709" s="354">
        <f t="shared" si="707"/>
        <v>0</v>
      </c>
      <c r="AJ709" s="354">
        <f t="shared" si="708"/>
        <v>4.8354816173807729</v>
      </c>
      <c r="AK709" s="374">
        <f t="shared" si="709"/>
        <v>5.2153779954027231</v>
      </c>
      <c r="AL709" s="354">
        <f t="shared" si="710"/>
        <v>1.4942404153813489</v>
      </c>
      <c r="AM709" s="354">
        <f t="shared" si="711"/>
        <v>3.5242591880740211</v>
      </c>
      <c r="AN709" s="354">
        <f t="shared" si="712"/>
        <v>0.19687839194735332</v>
      </c>
      <c r="AO709" s="374">
        <f t="shared" si="713"/>
        <v>3.0241117976914209</v>
      </c>
      <c r="AP709" s="354">
        <f t="shared" si="714"/>
        <v>0.69346064393564122</v>
      </c>
      <c r="AQ709" s="354">
        <f t="shared" si="715"/>
        <v>2.3306511537557797</v>
      </c>
      <c r="AR709" s="374">
        <f t="shared" si="716"/>
        <v>5.5168604209886833</v>
      </c>
      <c r="AS709" s="354">
        <f t="shared" si="717"/>
        <v>2.3906429075114586</v>
      </c>
      <c r="AT709" s="354">
        <f t="shared" si="718"/>
        <v>3.1262175134772252</v>
      </c>
      <c r="AU709" s="355" t="s">
        <v>396</v>
      </c>
      <c r="AV709" s="354" t="s">
        <v>346</v>
      </c>
      <c r="AW709" s="377">
        <v>0</v>
      </c>
      <c r="AX709" s="377">
        <v>0</v>
      </c>
      <c r="AY709" s="377">
        <v>0</v>
      </c>
      <c r="AZ709" s="377">
        <v>0</v>
      </c>
      <c r="BA709" s="377">
        <v>0</v>
      </c>
      <c r="BB709" s="377">
        <v>0</v>
      </c>
    </row>
    <row r="710" spans="1:54" x14ac:dyDescent="0.25">
      <c r="A710" s="348" t="s">
        <v>1596</v>
      </c>
      <c r="B710" s="349">
        <v>38</v>
      </c>
      <c r="C710" s="423">
        <v>45200</v>
      </c>
      <c r="D710" s="351">
        <v>45217</v>
      </c>
      <c r="E710" s="352"/>
      <c r="F710" s="352">
        <v>6</v>
      </c>
      <c r="G710" s="352" t="s">
        <v>309</v>
      </c>
      <c r="H710" s="424" t="s">
        <v>1608</v>
      </c>
      <c r="I710" s="350" t="s">
        <v>393</v>
      </c>
      <c r="J710" s="560">
        <v>136571</v>
      </c>
      <c r="K710" s="350" t="s">
        <v>394</v>
      </c>
      <c r="L710" s="354">
        <v>2803.6597999999999</v>
      </c>
      <c r="M710" s="560">
        <f t="shared" si="720"/>
        <v>48.711687487904207</v>
      </c>
      <c r="N710" s="354" t="s">
        <v>395</v>
      </c>
      <c r="O710" s="354">
        <v>0</v>
      </c>
      <c r="P710" s="374">
        <f t="shared" si="688"/>
        <v>3.0692325738609445</v>
      </c>
      <c r="Q710" s="354">
        <f t="shared" si="689"/>
        <v>0.28947545352860959</v>
      </c>
      <c r="R710" s="354">
        <f t="shared" si="690"/>
        <v>0.48797142137508182</v>
      </c>
      <c r="S710" s="354">
        <f t="shared" si="691"/>
        <v>0.43467840816101094</v>
      </c>
      <c r="T710" s="354">
        <f t="shared" si="692"/>
        <v>1.8549388408295442</v>
      </c>
      <c r="U710" s="374">
        <f t="shared" si="693"/>
        <v>12.318162050965663</v>
      </c>
      <c r="V710" s="354">
        <f t="shared" si="694"/>
        <v>0.32607057113319871</v>
      </c>
      <c r="W710" s="354">
        <f t="shared" si="695"/>
        <v>11.1229425244677</v>
      </c>
      <c r="X710" s="354">
        <f t="shared" si="696"/>
        <v>0.86914895536476611</v>
      </c>
      <c r="Y710" s="374">
        <f t="shared" si="697"/>
        <v>1.8058237189245629</v>
      </c>
      <c r="Z710" s="354">
        <f t="shared" si="698"/>
        <v>0.93155227149572772</v>
      </c>
      <c r="AA710" s="354">
        <f t="shared" si="699"/>
        <v>0.87427144742883511</v>
      </c>
      <c r="AB710" s="374">
        <f t="shared" si="700"/>
        <v>9.8659297600971048</v>
      </c>
      <c r="AC710" s="354">
        <f t="shared" si="701"/>
        <v>2.7998776482581653</v>
      </c>
      <c r="AD710" s="354">
        <f t="shared" si="702"/>
        <v>6.0947116962684245</v>
      </c>
      <c r="AE710" s="354">
        <f t="shared" si="703"/>
        <v>0.97134041557051509</v>
      </c>
      <c r="AF710" s="374">
        <f t="shared" si="704"/>
        <v>7.8961891699731019</v>
      </c>
      <c r="AG710" s="354">
        <f t="shared" si="705"/>
        <v>0.50746203803698775</v>
      </c>
      <c r="AH710" s="354">
        <f t="shared" si="706"/>
        <v>2.5532455145553419</v>
      </c>
      <c r="AI710" s="354">
        <f t="shared" si="707"/>
        <v>0</v>
      </c>
      <c r="AJ710" s="354">
        <f t="shared" si="708"/>
        <v>4.8354816173807729</v>
      </c>
      <c r="AK710" s="374">
        <f t="shared" si="709"/>
        <v>5.2153779954027231</v>
      </c>
      <c r="AL710" s="354">
        <f t="shared" si="710"/>
        <v>1.4942404153813489</v>
      </c>
      <c r="AM710" s="354">
        <f t="shared" si="711"/>
        <v>3.5242591880740211</v>
      </c>
      <c r="AN710" s="354">
        <f t="shared" si="712"/>
        <v>0.19687839194735332</v>
      </c>
      <c r="AO710" s="374">
        <f t="shared" si="713"/>
        <v>3.0241117976914209</v>
      </c>
      <c r="AP710" s="354">
        <f t="shared" si="714"/>
        <v>0.69346064393564122</v>
      </c>
      <c r="AQ710" s="354">
        <f t="shared" si="715"/>
        <v>2.3306511537557797</v>
      </c>
      <c r="AR710" s="374">
        <f t="shared" si="716"/>
        <v>5.5168604209886833</v>
      </c>
      <c r="AS710" s="354">
        <f t="shared" si="717"/>
        <v>2.3906429075114586</v>
      </c>
      <c r="AT710" s="354">
        <f t="shared" si="718"/>
        <v>3.1262175134772252</v>
      </c>
      <c r="AU710" s="355" t="s">
        <v>396</v>
      </c>
      <c r="AV710" s="354" t="s">
        <v>346</v>
      </c>
      <c r="AW710" s="377">
        <v>0</v>
      </c>
      <c r="AX710" s="377">
        <v>0</v>
      </c>
      <c r="AY710" s="377">
        <v>0</v>
      </c>
      <c r="AZ710" s="377">
        <v>0</v>
      </c>
      <c r="BA710" s="377">
        <v>0</v>
      </c>
      <c r="BB710" s="377">
        <v>0</v>
      </c>
    </row>
    <row r="711" spans="1:54" x14ac:dyDescent="0.25">
      <c r="A711" s="348" t="s">
        <v>1596</v>
      </c>
      <c r="B711" s="349">
        <v>38</v>
      </c>
      <c r="C711" s="423">
        <v>45200</v>
      </c>
      <c r="D711" s="351">
        <v>45217</v>
      </c>
      <c r="E711" s="352"/>
      <c r="F711" s="352">
        <v>6</v>
      </c>
      <c r="G711" s="352" t="s">
        <v>309</v>
      </c>
      <c r="H711" s="424" t="s">
        <v>1609</v>
      </c>
      <c r="I711" s="350" t="s">
        <v>393</v>
      </c>
      <c r="J711" s="560">
        <v>136571</v>
      </c>
      <c r="K711" s="350" t="s">
        <v>394</v>
      </c>
      <c r="L711" s="354">
        <v>2803.6597999999999</v>
      </c>
      <c r="M711" s="560">
        <f t="shared" si="720"/>
        <v>48.711687487904207</v>
      </c>
      <c r="N711" s="354" t="s">
        <v>395</v>
      </c>
      <c r="O711" s="354">
        <v>0</v>
      </c>
      <c r="P711" s="374">
        <f t="shared" si="688"/>
        <v>3.0692325738609445</v>
      </c>
      <c r="Q711" s="354">
        <f t="shared" si="689"/>
        <v>0.28947545352860959</v>
      </c>
      <c r="R711" s="354">
        <f t="shared" si="690"/>
        <v>0.48797142137508182</v>
      </c>
      <c r="S711" s="354">
        <f t="shared" si="691"/>
        <v>0.43467840816101094</v>
      </c>
      <c r="T711" s="354">
        <f t="shared" si="692"/>
        <v>1.8549388408295442</v>
      </c>
      <c r="U711" s="374">
        <f t="shared" si="693"/>
        <v>12.318162050965663</v>
      </c>
      <c r="V711" s="354">
        <f t="shared" si="694"/>
        <v>0.32607057113319871</v>
      </c>
      <c r="W711" s="354">
        <f t="shared" si="695"/>
        <v>11.1229425244677</v>
      </c>
      <c r="X711" s="354">
        <f t="shared" si="696"/>
        <v>0.86914895536476611</v>
      </c>
      <c r="Y711" s="374">
        <f t="shared" si="697"/>
        <v>1.8058237189245629</v>
      </c>
      <c r="Z711" s="354">
        <f t="shared" si="698"/>
        <v>0.93155227149572772</v>
      </c>
      <c r="AA711" s="354">
        <f t="shared" si="699"/>
        <v>0.87427144742883511</v>
      </c>
      <c r="AB711" s="374">
        <f t="shared" si="700"/>
        <v>9.8659297600971048</v>
      </c>
      <c r="AC711" s="354">
        <f t="shared" si="701"/>
        <v>2.7998776482581653</v>
      </c>
      <c r="AD711" s="354">
        <f t="shared" si="702"/>
        <v>6.0947116962684245</v>
      </c>
      <c r="AE711" s="354">
        <f t="shared" si="703"/>
        <v>0.97134041557051509</v>
      </c>
      <c r="AF711" s="374">
        <f t="shared" si="704"/>
        <v>7.8961891699731019</v>
      </c>
      <c r="AG711" s="354">
        <f t="shared" si="705"/>
        <v>0.50746203803698775</v>
      </c>
      <c r="AH711" s="354">
        <f t="shared" si="706"/>
        <v>2.5532455145553419</v>
      </c>
      <c r="AI711" s="354">
        <f t="shared" si="707"/>
        <v>0</v>
      </c>
      <c r="AJ711" s="354">
        <f t="shared" si="708"/>
        <v>4.8354816173807729</v>
      </c>
      <c r="AK711" s="374">
        <f t="shared" si="709"/>
        <v>5.2153779954027231</v>
      </c>
      <c r="AL711" s="354">
        <f t="shared" si="710"/>
        <v>1.4942404153813489</v>
      </c>
      <c r="AM711" s="354">
        <f t="shared" si="711"/>
        <v>3.5242591880740211</v>
      </c>
      <c r="AN711" s="354">
        <f t="shared" si="712"/>
        <v>0.19687839194735332</v>
      </c>
      <c r="AO711" s="374">
        <f t="shared" si="713"/>
        <v>3.0241117976914209</v>
      </c>
      <c r="AP711" s="354">
        <f t="shared" si="714"/>
        <v>0.69346064393564122</v>
      </c>
      <c r="AQ711" s="354">
        <f t="shared" si="715"/>
        <v>2.3306511537557797</v>
      </c>
      <c r="AR711" s="374">
        <f t="shared" si="716"/>
        <v>5.5168604209886833</v>
      </c>
      <c r="AS711" s="354">
        <f t="shared" si="717"/>
        <v>2.3906429075114586</v>
      </c>
      <c r="AT711" s="354">
        <f t="shared" si="718"/>
        <v>3.1262175134772252</v>
      </c>
      <c r="AU711" s="355" t="s">
        <v>396</v>
      </c>
      <c r="AV711" s="354" t="s">
        <v>346</v>
      </c>
      <c r="AW711" s="377">
        <v>0</v>
      </c>
      <c r="AX711" s="377">
        <v>0</v>
      </c>
      <c r="AY711" s="377">
        <v>0</v>
      </c>
      <c r="AZ711" s="377">
        <v>0</v>
      </c>
      <c r="BA711" s="377">
        <v>0</v>
      </c>
      <c r="BB711" s="377">
        <v>0</v>
      </c>
    </row>
    <row r="712" spans="1:54" x14ac:dyDescent="0.25">
      <c r="A712" s="348" t="s">
        <v>1596</v>
      </c>
      <c r="B712" s="349">
        <v>38</v>
      </c>
      <c r="C712" s="423">
        <v>45200</v>
      </c>
      <c r="D712" s="351">
        <v>45217</v>
      </c>
      <c r="E712" s="352"/>
      <c r="F712" s="352">
        <v>6</v>
      </c>
      <c r="G712" s="352" t="s">
        <v>309</v>
      </c>
      <c r="H712" s="424" t="s">
        <v>1610</v>
      </c>
      <c r="I712" s="350" t="s">
        <v>393</v>
      </c>
      <c r="J712" s="560">
        <v>128000</v>
      </c>
      <c r="K712" s="350" t="s">
        <v>394</v>
      </c>
      <c r="L712" s="354">
        <v>2803.6597999999999</v>
      </c>
      <c r="M712" s="560">
        <f t="shared" si="720"/>
        <v>45.654611875520708</v>
      </c>
      <c r="N712" s="354" t="s">
        <v>395</v>
      </c>
      <c r="O712" s="354">
        <v>0</v>
      </c>
      <c r="P712" s="374">
        <f t="shared" si="688"/>
        <v>2.8766119414385254</v>
      </c>
      <c r="Q712" s="354">
        <f t="shared" si="689"/>
        <v>0.27130838942134144</v>
      </c>
      <c r="R712" s="354">
        <f t="shared" si="690"/>
        <v>0.45734703513930824</v>
      </c>
      <c r="S712" s="354">
        <f t="shared" si="691"/>
        <v>0.40739861496664298</v>
      </c>
      <c r="T712" s="354">
        <f t="shared" si="692"/>
        <v>1.7385255407530269</v>
      </c>
      <c r="U712" s="374">
        <f t="shared" si="693"/>
        <v>11.545091875461152</v>
      </c>
      <c r="V712" s="354">
        <f t="shared" si="694"/>
        <v>0.305606849953866</v>
      </c>
      <c r="W712" s="354">
        <f t="shared" si="695"/>
        <v>10.42488261147583</v>
      </c>
      <c r="X712" s="354">
        <f t="shared" si="696"/>
        <v>0.81460241403145672</v>
      </c>
      <c r="Y712" s="374">
        <f t="shared" si="697"/>
        <v>1.6924928134255739</v>
      </c>
      <c r="Z712" s="354">
        <f t="shared" si="698"/>
        <v>0.87308938758194021</v>
      </c>
      <c r="AA712" s="354">
        <f t="shared" si="699"/>
        <v>0.81940342584363357</v>
      </c>
      <c r="AB712" s="374">
        <f t="shared" si="700"/>
        <v>9.2467581645622374</v>
      </c>
      <c r="AC712" s="354">
        <f t="shared" si="701"/>
        <v>2.6241613444804912</v>
      </c>
      <c r="AD712" s="354">
        <f t="shared" si="702"/>
        <v>5.7122163352568132</v>
      </c>
      <c r="AE712" s="354">
        <f t="shared" si="703"/>
        <v>0.91038048482493306</v>
      </c>
      <c r="AF712" s="374">
        <f t="shared" si="704"/>
        <v>7.4006356675762577</v>
      </c>
      <c r="AG712" s="354">
        <f t="shared" si="705"/>
        <v>0.4756144486657814</v>
      </c>
      <c r="AH712" s="354">
        <f t="shared" si="706"/>
        <v>2.3930074896067524</v>
      </c>
      <c r="AI712" s="354">
        <f t="shared" si="707"/>
        <v>0</v>
      </c>
      <c r="AJ712" s="354">
        <f t="shared" si="708"/>
        <v>4.5320137293037241</v>
      </c>
      <c r="AK712" s="374">
        <f t="shared" si="709"/>
        <v>4.8880683557383966</v>
      </c>
      <c r="AL712" s="354">
        <f t="shared" si="710"/>
        <v>1.4004640309349179</v>
      </c>
      <c r="AM712" s="354">
        <f t="shared" si="711"/>
        <v>3.3030817382421942</v>
      </c>
      <c r="AN712" s="354">
        <f t="shared" si="712"/>
        <v>0.18452258656128478</v>
      </c>
      <c r="AO712" s="374">
        <f t="shared" si="713"/>
        <v>2.8343228804394922</v>
      </c>
      <c r="AP712" s="354">
        <f t="shared" si="714"/>
        <v>0.64994004893983404</v>
      </c>
      <c r="AQ712" s="354">
        <f t="shared" si="715"/>
        <v>2.1843828314996583</v>
      </c>
      <c r="AR712" s="374">
        <f t="shared" si="716"/>
        <v>5.1706301768790706</v>
      </c>
      <c r="AS712" s="354">
        <f t="shared" si="717"/>
        <v>2.2406095888692823</v>
      </c>
      <c r="AT712" s="354">
        <f t="shared" si="718"/>
        <v>2.9300205880097887</v>
      </c>
      <c r="AU712" s="355" t="s">
        <v>396</v>
      </c>
      <c r="AV712" s="354" t="s">
        <v>346</v>
      </c>
      <c r="AW712" s="377">
        <v>0</v>
      </c>
      <c r="AX712" s="377">
        <v>0</v>
      </c>
      <c r="AY712" s="377">
        <v>0</v>
      </c>
      <c r="AZ712" s="377">
        <v>0</v>
      </c>
      <c r="BA712" s="377">
        <v>0</v>
      </c>
      <c r="BB712" s="377">
        <v>0</v>
      </c>
    </row>
    <row r="713" spans="1:54" x14ac:dyDescent="0.25">
      <c r="A713" s="348" t="s">
        <v>1596</v>
      </c>
      <c r="B713" s="349">
        <v>38</v>
      </c>
      <c r="C713" s="423">
        <v>45200</v>
      </c>
      <c r="D713" s="351">
        <v>45217</v>
      </c>
      <c r="E713" s="352"/>
      <c r="F713" s="352">
        <v>6</v>
      </c>
      <c r="G713" s="352" t="s">
        <v>309</v>
      </c>
      <c r="H713" s="424" t="s">
        <v>1611</v>
      </c>
      <c r="I713" s="350" t="s">
        <v>393</v>
      </c>
      <c r="J713" s="560">
        <v>188953</v>
      </c>
      <c r="K713" s="350" t="s">
        <v>394</v>
      </c>
      <c r="L713" s="354">
        <v>2803.6597999999999</v>
      </c>
      <c r="M713" s="560">
        <f t="shared" si="720"/>
        <v>67.395124044650501</v>
      </c>
      <c r="N713" s="354" t="s">
        <v>395</v>
      </c>
      <c r="O713" s="354">
        <v>0</v>
      </c>
      <c r="P713" s="374">
        <f t="shared" si="688"/>
        <v>4.2464410638330756</v>
      </c>
      <c r="Q713" s="354">
        <f t="shared" si="689"/>
        <v>0.40050417270570882</v>
      </c>
      <c r="R713" s="354">
        <f t="shared" si="690"/>
        <v>0.67513354945841964</v>
      </c>
      <c r="S713" s="354">
        <f t="shared" si="691"/>
        <v>0.6013999257327507</v>
      </c>
      <c r="T713" s="354">
        <f t="shared" si="692"/>
        <v>2.5664032539211461</v>
      </c>
      <c r="U713" s="374">
        <f t="shared" si="693"/>
        <v>17.042810508937585</v>
      </c>
      <c r="V713" s="354">
        <f t="shared" si="694"/>
        <v>0.4511353993697878</v>
      </c>
      <c r="W713" s="354">
        <f t="shared" si="695"/>
        <v>15.389162844423378</v>
      </c>
      <c r="X713" s="354">
        <f t="shared" si="696"/>
        <v>1.2025122651444204</v>
      </c>
      <c r="Y713" s="374">
        <f t="shared" si="697"/>
        <v>2.4984499576187691</v>
      </c>
      <c r="Z713" s="354">
        <f t="shared" si="698"/>
        <v>1.2888504613419558</v>
      </c>
      <c r="AA713" s="354">
        <f t="shared" si="699"/>
        <v>1.2095994962768133</v>
      </c>
      <c r="AB713" s="374">
        <f t="shared" si="700"/>
        <v>13.650021058347878</v>
      </c>
      <c r="AC713" s="354">
        <f t="shared" si="701"/>
        <v>3.8737746759657985</v>
      </c>
      <c r="AD713" s="354">
        <f t="shared" si="702"/>
        <v>8.4323469780920366</v>
      </c>
      <c r="AE713" s="354">
        <f t="shared" si="703"/>
        <v>1.3438994042900434</v>
      </c>
      <c r="AF713" s="374">
        <f t="shared" si="704"/>
        <v>10.924783681996379</v>
      </c>
      <c r="AG713" s="354">
        <f t="shared" si="705"/>
        <v>0.7020998196776983</v>
      </c>
      <c r="AH713" s="354">
        <f t="shared" si="706"/>
        <v>3.53254643893488</v>
      </c>
      <c r="AI713" s="354">
        <f t="shared" si="707"/>
        <v>0</v>
      </c>
      <c r="AJ713" s="354">
        <f t="shared" si="708"/>
        <v>6.6901374233838009</v>
      </c>
      <c r="AK713" s="374">
        <f t="shared" si="709"/>
        <v>7.215743593920604</v>
      </c>
      <c r="AL713" s="354">
        <f t="shared" si="710"/>
        <v>2.0673584377909808</v>
      </c>
      <c r="AM713" s="354">
        <f t="shared" si="711"/>
        <v>4.8759937787974792</v>
      </c>
      <c r="AN713" s="354">
        <f t="shared" si="712"/>
        <v>0.27239137733214414</v>
      </c>
      <c r="AO713" s="374">
        <f t="shared" si="713"/>
        <v>4.1840141502162762</v>
      </c>
      <c r="AP713" s="354">
        <f t="shared" si="714"/>
        <v>0.95943845365100355</v>
      </c>
      <c r="AQ713" s="354">
        <f t="shared" si="715"/>
        <v>3.2245756965652728</v>
      </c>
      <c r="AR713" s="374">
        <f t="shared" si="716"/>
        <v>7.6328600297799287</v>
      </c>
      <c r="AS713" s="354">
        <f t="shared" si="717"/>
        <v>3.3075773722313859</v>
      </c>
      <c r="AT713" s="354">
        <f t="shared" si="718"/>
        <v>4.3252826575485432</v>
      </c>
      <c r="AU713" s="355" t="s">
        <v>396</v>
      </c>
      <c r="AV713" s="354" t="s">
        <v>346</v>
      </c>
      <c r="AW713" s="377">
        <v>0</v>
      </c>
      <c r="AX713" s="377">
        <v>0</v>
      </c>
      <c r="AY713" s="377">
        <v>0</v>
      </c>
      <c r="AZ713" s="377">
        <v>0</v>
      </c>
      <c r="BA713" s="377">
        <v>0</v>
      </c>
      <c r="BB713" s="377">
        <v>0</v>
      </c>
    </row>
    <row r="714" spans="1:54" x14ac:dyDescent="0.25">
      <c r="A714" s="348" t="s">
        <v>1596</v>
      </c>
      <c r="B714" s="349">
        <v>38</v>
      </c>
      <c r="C714" s="423">
        <v>45200</v>
      </c>
      <c r="D714" s="351">
        <v>45217</v>
      </c>
      <c r="E714" s="352"/>
      <c r="F714" s="352">
        <v>6</v>
      </c>
      <c r="G714" s="352" t="s">
        <v>309</v>
      </c>
      <c r="H714" s="424" t="s">
        <v>1612</v>
      </c>
      <c r="I714" s="350" t="s">
        <v>393</v>
      </c>
      <c r="J714" s="560">
        <v>188953</v>
      </c>
      <c r="K714" s="350" t="s">
        <v>394</v>
      </c>
      <c r="L714" s="354">
        <v>2803.6597999999999</v>
      </c>
      <c r="M714" s="560">
        <f t="shared" si="720"/>
        <v>67.395124044650501</v>
      </c>
      <c r="N714" s="354" t="s">
        <v>395</v>
      </c>
      <c r="O714" s="354">
        <v>0</v>
      </c>
      <c r="P714" s="374">
        <f t="shared" si="688"/>
        <v>4.2464410638330756</v>
      </c>
      <c r="Q714" s="354">
        <f t="shared" si="689"/>
        <v>0.40050417270570882</v>
      </c>
      <c r="R714" s="354">
        <f t="shared" si="690"/>
        <v>0.67513354945841964</v>
      </c>
      <c r="S714" s="354">
        <f t="shared" si="691"/>
        <v>0.6013999257327507</v>
      </c>
      <c r="T714" s="354">
        <f t="shared" si="692"/>
        <v>2.5664032539211461</v>
      </c>
      <c r="U714" s="374">
        <f t="shared" si="693"/>
        <v>17.042810508937585</v>
      </c>
      <c r="V714" s="354">
        <f t="shared" si="694"/>
        <v>0.4511353993697878</v>
      </c>
      <c r="W714" s="354">
        <f t="shared" si="695"/>
        <v>15.389162844423378</v>
      </c>
      <c r="X714" s="354">
        <f t="shared" si="696"/>
        <v>1.2025122651444204</v>
      </c>
      <c r="Y714" s="374">
        <f t="shared" si="697"/>
        <v>2.4984499576187691</v>
      </c>
      <c r="Z714" s="354">
        <f t="shared" si="698"/>
        <v>1.2888504613419558</v>
      </c>
      <c r="AA714" s="354">
        <f t="shared" si="699"/>
        <v>1.2095994962768133</v>
      </c>
      <c r="AB714" s="374">
        <f t="shared" si="700"/>
        <v>13.650021058347878</v>
      </c>
      <c r="AC714" s="354">
        <f t="shared" si="701"/>
        <v>3.8737746759657985</v>
      </c>
      <c r="AD714" s="354">
        <f t="shared" si="702"/>
        <v>8.4323469780920366</v>
      </c>
      <c r="AE714" s="354">
        <f t="shared" si="703"/>
        <v>1.3438994042900434</v>
      </c>
      <c r="AF714" s="374">
        <f t="shared" si="704"/>
        <v>10.924783681996379</v>
      </c>
      <c r="AG714" s="354">
        <f t="shared" si="705"/>
        <v>0.7020998196776983</v>
      </c>
      <c r="AH714" s="354">
        <f t="shared" si="706"/>
        <v>3.53254643893488</v>
      </c>
      <c r="AI714" s="354">
        <f t="shared" si="707"/>
        <v>0</v>
      </c>
      <c r="AJ714" s="354">
        <f t="shared" si="708"/>
        <v>6.6901374233838009</v>
      </c>
      <c r="AK714" s="374">
        <f t="shared" si="709"/>
        <v>7.215743593920604</v>
      </c>
      <c r="AL714" s="354">
        <f t="shared" si="710"/>
        <v>2.0673584377909808</v>
      </c>
      <c r="AM714" s="354">
        <f t="shared" si="711"/>
        <v>4.8759937787974792</v>
      </c>
      <c r="AN714" s="354">
        <f t="shared" si="712"/>
        <v>0.27239137733214414</v>
      </c>
      <c r="AO714" s="374">
        <f t="shared" si="713"/>
        <v>4.1840141502162762</v>
      </c>
      <c r="AP714" s="354">
        <f t="shared" si="714"/>
        <v>0.95943845365100355</v>
      </c>
      <c r="AQ714" s="354">
        <f t="shared" si="715"/>
        <v>3.2245756965652728</v>
      </c>
      <c r="AR714" s="374">
        <f t="shared" si="716"/>
        <v>7.6328600297799287</v>
      </c>
      <c r="AS714" s="354">
        <f t="shared" si="717"/>
        <v>3.3075773722313859</v>
      </c>
      <c r="AT714" s="354">
        <f t="shared" si="718"/>
        <v>4.3252826575485432</v>
      </c>
      <c r="AU714" s="355" t="s">
        <v>396</v>
      </c>
      <c r="AV714" s="354" t="s">
        <v>346</v>
      </c>
      <c r="AW714" s="377">
        <v>0</v>
      </c>
      <c r="AX714" s="377">
        <v>0</v>
      </c>
      <c r="AY714" s="377">
        <v>0</v>
      </c>
      <c r="AZ714" s="377">
        <v>0</v>
      </c>
      <c r="BA714" s="377">
        <v>0</v>
      </c>
      <c r="BB714" s="377">
        <v>0</v>
      </c>
    </row>
    <row r="715" spans="1:54" x14ac:dyDescent="0.25">
      <c r="A715" s="348" t="s">
        <v>1596</v>
      </c>
      <c r="B715" s="349">
        <v>38</v>
      </c>
      <c r="C715" s="423">
        <v>45200</v>
      </c>
      <c r="D715" s="351">
        <v>45217</v>
      </c>
      <c r="E715" s="352"/>
      <c r="F715" s="352">
        <v>6</v>
      </c>
      <c r="G715" s="352" t="s">
        <v>309</v>
      </c>
      <c r="H715" s="424" t="s">
        <v>1613</v>
      </c>
      <c r="I715" s="350" t="s">
        <v>393</v>
      </c>
      <c r="J715" s="560">
        <v>188953</v>
      </c>
      <c r="K715" s="350" t="s">
        <v>394</v>
      </c>
      <c r="L715" s="354">
        <v>2803.6597999999999</v>
      </c>
      <c r="M715" s="560">
        <f t="shared" si="720"/>
        <v>67.395124044650501</v>
      </c>
      <c r="N715" s="354" t="s">
        <v>395</v>
      </c>
      <c r="O715" s="354">
        <v>0</v>
      </c>
      <c r="P715" s="374">
        <f t="shared" si="688"/>
        <v>4.2464410638330756</v>
      </c>
      <c r="Q715" s="354">
        <f t="shared" si="689"/>
        <v>0.40050417270570882</v>
      </c>
      <c r="R715" s="354">
        <f t="shared" si="690"/>
        <v>0.67513354945841964</v>
      </c>
      <c r="S715" s="354">
        <f t="shared" si="691"/>
        <v>0.6013999257327507</v>
      </c>
      <c r="T715" s="354">
        <f t="shared" si="692"/>
        <v>2.5664032539211461</v>
      </c>
      <c r="U715" s="374">
        <f t="shared" si="693"/>
        <v>17.042810508937585</v>
      </c>
      <c r="V715" s="354">
        <f t="shared" si="694"/>
        <v>0.4511353993697878</v>
      </c>
      <c r="W715" s="354">
        <f t="shared" si="695"/>
        <v>15.389162844423378</v>
      </c>
      <c r="X715" s="354">
        <f t="shared" si="696"/>
        <v>1.2025122651444204</v>
      </c>
      <c r="Y715" s="374">
        <f t="shared" si="697"/>
        <v>2.4984499576187691</v>
      </c>
      <c r="Z715" s="354">
        <f t="shared" si="698"/>
        <v>1.2888504613419558</v>
      </c>
      <c r="AA715" s="354">
        <f t="shared" si="699"/>
        <v>1.2095994962768133</v>
      </c>
      <c r="AB715" s="374">
        <f t="shared" si="700"/>
        <v>13.650021058347878</v>
      </c>
      <c r="AC715" s="354">
        <f t="shared" si="701"/>
        <v>3.8737746759657985</v>
      </c>
      <c r="AD715" s="354">
        <f t="shared" si="702"/>
        <v>8.4323469780920366</v>
      </c>
      <c r="AE715" s="354">
        <f t="shared" si="703"/>
        <v>1.3438994042900434</v>
      </c>
      <c r="AF715" s="374">
        <f t="shared" si="704"/>
        <v>10.924783681996379</v>
      </c>
      <c r="AG715" s="354">
        <f t="shared" si="705"/>
        <v>0.7020998196776983</v>
      </c>
      <c r="AH715" s="354">
        <f t="shared" si="706"/>
        <v>3.53254643893488</v>
      </c>
      <c r="AI715" s="354">
        <f t="shared" si="707"/>
        <v>0</v>
      </c>
      <c r="AJ715" s="354">
        <f t="shared" si="708"/>
        <v>6.6901374233838009</v>
      </c>
      <c r="AK715" s="374">
        <f t="shared" si="709"/>
        <v>7.215743593920604</v>
      </c>
      <c r="AL715" s="354">
        <f t="shared" si="710"/>
        <v>2.0673584377909808</v>
      </c>
      <c r="AM715" s="354">
        <f t="shared" si="711"/>
        <v>4.8759937787974792</v>
      </c>
      <c r="AN715" s="354">
        <f t="shared" si="712"/>
        <v>0.27239137733214414</v>
      </c>
      <c r="AO715" s="374">
        <f t="shared" si="713"/>
        <v>4.1840141502162762</v>
      </c>
      <c r="AP715" s="354">
        <f t="shared" si="714"/>
        <v>0.95943845365100355</v>
      </c>
      <c r="AQ715" s="354">
        <f t="shared" si="715"/>
        <v>3.2245756965652728</v>
      </c>
      <c r="AR715" s="374">
        <f t="shared" si="716"/>
        <v>7.6328600297799287</v>
      </c>
      <c r="AS715" s="354">
        <f t="shared" si="717"/>
        <v>3.3075773722313859</v>
      </c>
      <c r="AT715" s="354">
        <f t="shared" si="718"/>
        <v>4.3252826575485432</v>
      </c>
      <c r="AU715" s="355" t="s">
        <v>396</v>
      </c>
      <c r="AV715" s="354" t="s">
        <v>346</v>
      </c>
      <c r="AW715" s="377">
        <v>0</v>
      </c>
      <c r="AX715" s="377">
        <v>0</v>
      </c>
      <c r="AY715" s="377">
        <v>0</v>
      </c>
      <c r="AZ715" s="377">
        <v>0</v>
      </c>
      <c r="BA715" s="377">
        <v>0</v>
      </c>
      <c r="BB715" s="377">
        <v>0</v>
      </c>
    </row>
    <row r="716" spans="1:54" ht="30" x14ac:dyDescent="0.25">
      <c r="A716" s="348" t="s">
        <v>1596</v>
      </c>
      <c r="B716" s="349">
        <v>38</v>
      </c>
      <c r="C716" s="423">
        <v>45200</v>
      </c>
      <c r="D716" s="351">
        <v>45217</v>
      </c>
      <c r="E716" s="352"/>
      <c r="F716" s="352">
        <v>6</v>
      </c>
      <c r="G716" s="352" t="s">
        <v>310</v>
      </c>
      <c r="H716" s="424" t="s">
        <v>1614</v>
      </c>
      <c r="I716" s="350" t="s">
        <v>393</v>
      </c>
      <c r="J716" s="560">
        <v>63174</v>
      </c>
      <c r="K716" s="350" t="s">
        <v>394</v>
      </c>
      <c r="L716" s="354">
        <v>2803.6597999999999</v>
      </c>
      <c r="M716" s="560">
        <f>+J716/L716</f>
        <v>22.532691020501133</v>
      </c>
      <c r="N716" s="354" t="s">
        <v>395</v>
      </c>
      <c r="O716" s="354">
        <v>0</v>
      </c>
      <c r="P716" s="374">
        <f t="shared" si="688"/>
        <v>1.4197428342846672</v>
      </c>
      <c r="Q716" s="354">
        <f t="shared" si="689"/>
        <v>0.13390340776018614</v>
      </c>
      <c r="R716" s="354">
        <f t="shared" si="690"/>
        <v>0.22572219998352078</v>
      </c>
      <c r="S716" s="354">
        <f t="shared" si="691"/>
        <v>0.20107031329611486</v>
      </c>
      <c r="T716" s="354">
        <f t="shared" si="692"/>
        <v>0.85804384774634157</v>
      </c>
      <c r="U716" s="374">
        <f t="shared" si="693"/>
        <v>5.6980440167217399</v>
      </c>
      <c r="V716" s="354">
        <f t="shared" si="694"/>
        <v>0.15083130577332443</v>
      </c>
      <c r="W716" s="354">
        <f t="shared" si="695"/>
        <v>5.145168235135734</v>
      </c>
      <c r="X716" s="354">
        <f t="shared" si="696"/>
        <v>0.40204447581268155</v>
      </c>
      <c r="Y716" s="374">
        <f t="shared" si="697"/>
        <v>0.83532453902615</v>
      </c>
      <c r="Z716" s="354">
        <f t="shared" si="698"/>
        <v>0.43091053883673036</v>
      </c>
      <c r="AA716" s="354">
        <f t="shared" si="699"/>
        <v>0.40441400018941959</v>
      </c>
      <c r="AB716" s="374">
        <f t="shared" si="700"/>
        <v>4.5637085960004278</v>
      </c>
      <c r="AC716" s="354">
        <f t="shared" si="701"/>
        <v>1.2951466310641448</v>
      </c>
      <c r="AD716" s="354">
        <f t="shared" si="702"/>
        <v>2.8192465215899523</v>
      </c>
      <c r="AE716" s="354">
        <f t="shared" si="703"/>
        <v>0.44931544334633061</v>
      </c>
      <c r="AF716" s="374">
        <f t="shared" si="704"/>
        <v>3.6525606067458005</v>
      </c>
      <c r="AG716" s="354">
        <f t="shared" si="705"/>
        <v>0.23473802484384432</v>
      </c>
      <c r="AH716" s="354">
        <f t="shared" si="706"/>
        <v>1.1810613683470075</v>
      </c>
      <c r="AI716" s="354">
        <f t="shared" si="707"/>
        <v>0</v>
      </c>
      <c r="AJ716" s="354">
        <f t="shared" si="708"/>
        <v>2.2367612135549488</v>
      </c>
      <c r="AK716" s="374">
        <f t="shared" si="709"/>
        <v>2.4124908617610741</v>
      </c>
      <c r="AL716" s="354">
        <f t="shared" si="710"/>
        <v>0.69119464601783198</v>
      </c>
      <c r="AM716" s="354">
        <f t="shared" si="711"/>
        <v>1.630225669779003</v>
      </c>
      <c r="AN716" s="354">
        <f t="shared" si="712"/>
        <v>9.1070545964239108E-2</v>
      </c>
      <c r="AO716" s="374">
        <f t="shared" si="713"/>
        <v>1.3988712003819099</v>
      </c>
      <c r="AP716" s="354">
        <f t="shared" si="714"/>
        <v>0.32077588009160213</v>
      </c>
      <c r="AQ716" s="354">
        <f t="shared" si="715"/>
        <v>1.0780953202903079</v>
      </c>
      <c r="AR716" s="374">
        <f t="shared" si="716"/>
        <v>2.5519483655793622</v>
      </c>
      <c r="AS716" s="354">
        <f t="shared" si="717"/>
        <v>1.105845860681469</v>
      </c>
      <c r="AT716" s="354">
        <f t="shared" si="718"/>
        <v>1.4461025048978935</v>
      </c>
      <c r="AU716" s="355" t="s">
        <v>396</v>
      </c>
      <c r="AV716" s="354" t="s">
        <v>346</v>
      </c>
      <c r="AW716" s="377">
        <v>0</v>
      </c>
      <c r="AX716" s="377">
        <v>0</v>
      </c>
      <c r="AY716" s="377">
        <v>0</v>
      </c>
      <c r="AZ716" s="377">
        <v>0</v>
      </c>
      <c r="BA716" s="377">
        <v>0</v>
      </c>
      <c r="BB716" s="377">
        <v>0</v>
      </c>
    </row>
    <row r="717" spans="1:54" ht="30" x14ac:dyDescent="0.25">
      <c r="A717" s="348" t="s">
        <v>988</v>
      </c>
      <c r="B717" s="349">
        <v>40</v>
      </c>
      <c r="C717" s="423">
        <v>45200</v>
      </c>
      <c r="D717" s="427" t="s">
        <v>1597</v>
      </c>
      <c r="E717" s="352"/>
      <c r="F717" s="352">
        <v>6</v>
      </c>
      <c r="G717" s="352" t="s">
        <v>306</v>
      </c>
      <c r="H717" s="424" t="s">
        <v>1615</v>
      </c>
      <c r="I717" s="350" t="s">
        <v>476</v>
      </c>
      <c r="J717" s="556">
        <v>-52080.533920909089</v>
      </c>
      <c r="K717" s="350" t="s">
        <v>394</v>
      </c>
      <c r="L717" s="354">
        <v>2803.6597999999999</v>
      </c>
      <c r="M717" s="560">
        <f t="shared" ref="M717:M722" si="721">J717/L717</f>
        <v>-18.575910643976524</v>
      </c>
      <c r="N717" s="354" t="s">
        <v>395</v>
      </c>
      <c r="O717" s="354">
        <v>0</v>
      </c>
      <c r="P717" s="374">
        <f t="shared" si="688"/>
        <v>-1.1704334827607912</v>
      </c>
      <c r="Q717" s="354">
        <f t="shared" si="689"/>
        <v>-0.11038973264285458</v>
      </c>
      <c r="R717" s="354">
        <f t="shared" si="690"/>
        <v>-0.18608498263437456</v>
      </c>
      <c r="S717" s="354">
        <f t="shared" si="691"/>
        <v>-0.16576201082891898</v>
      </c>
      <c r="T717" s="354">
        <f t="shared" si="692"/>
        <v>-0.70736983123089714</v>
      </c>
      <c r="U717" s="374">
        <f t="shared" si="693"/>
        <v>-4.6974574143747381</v>
      </c>
      <c r="V717" s="354">
        <f t="shared" si="694"/>
        <v>-0.1243450618397226</v>
      </c>
      <c r="W717" s="354">
        <f t="shared" si="695"/>
        <v>-4.2416675974098617</v>
      </c>
      <c r="X717" s="354">
        <f t="shared" si="696"/>
        <v>-0.33144475512515398</v>
      </c>
      <c r="Y717" s="374">
        <f t="shared" si="697"/>
        <v>-0.68864007328519894</v>
      </c>
      <c r="Z717" s="354">
        <f t="shared" si="698"/>
        <v>-0.35524188645271076</v>
      </c>
      <c r="AA717" s="354">
        <f t="shared" si="699"/>
        <v>-0.33339818683248812</v>
      </c>
      <c r="AB717" s="374">
        <f t="shared" si="700"/>
        <v>-3.762313298811927</v>
      </c>
      <c r="AC717" s="354">
        <f t="shared" si="701"/>
        <v>-1.0677165930871455</v>
      </c>
      <c r="AD717" s="354">
        <f t="shared" si="702"/>
        <v>-2.3241818485305736</v>
      </c>
      <c r="AE717" s="354">
        <f t="shared" si="703"/>
        <v>-0.37041485719420769</v>
      </c>
      <c r="AF717" s="374">
        <f t="shared" si="704"/>
        <v>-3.0111645071991795</v>
      </c>
      <c r="AG717" s="354">
        <f t="shared" si="705"/>
        <v>-0.19351761271103674</v>
      </c>
      <c r="AH717" s="354">
        <f t="shared" si="706"/>
        <v>-0.97366490418323415</v>
      </c>
      <c r="AI717" s="354">
        <f t="shared" si="707"/>
        <v>0</v>
      </c>
      <c r="AJ717" s="354">
        <f t="shared" si="708"/>
        <v>-1.8439819903049088</v>
      </c>
      <c r="AK717" s="374">
        <f t="shared" si="709"/>
        <v>-1.9888532016309055</v>
      </c>
      <c r="AL717" s="354">
        <f t="shared" si="710"/>
        <v>-0.56981964428218024</v>
      </c>
      <c r="AM717" s="354">
        <f t="shared" si="711"/>
        <v>-1.3439551602504529</v>
      </c>
      <c r="AN717" s="354">
        <f t="shared" si="712"/>
        <v>-7.5078397098272479E-2</v>
      </c>
      <c r="AO717" s="374">
        <f t="shared" si="713"/>
        <v>-1.1532269446682635</v>
      </c>
      <c r="AP717" s="354">
        <f t="shared" si="714"/>
        <v>-0.26444706847944016</v>
      </c>
      <c r="AQ717" s="354">
        <f t="shared" si="715"/>
        <v>-0.88877987618882337</v>
      </c>
      <c r="AR717" s="374">
        <f t="shared" si="716"/>
        <v>-2.1038217212455201</v>
      </c>
      <c r="AS717" s="354">
        <f t="shared" si="717"/>
        <v>-0.91165737262985014</v>
      </c>
      <c r="AT717" s="354">
        <f t="shared" si="718"/>
        <v>-1.1921643486156701</v>
      </c>
      <c r="AU717" s="355" t="s">
        <v>396</v>
      </c>
      <c r="AV717" s="354" t="s">
        <v>346</v>
      </c>
      <c r="AW717" s="377">
        <v>0</v>
      </c>
      <c r="AX717" s="377">
        <v>0</v>
      </c>
      <c r="AY717" s="377">
        <v>0</v>
      </c>
      <c r="AZ717" s="377">
        <v>0</v>
      </c>
      <c r="BA717" s="377">
        <v>0</v>
      </c>
      <c r="BB717" s="377">
        <v>0</v>
      </c>
    </row>
    <row r="718" spans="1:54" ht="30" x14ac:dyDescent="0.25">
      <c r="A718" s="348" t="s">
        <v>988</v>
      </c>
      <c r="B718" s="349">
        <v>40</v>
      </c>
      <c r="C718" s="423">
        <v>45200</v>
      </c>
      <c r="D718" s="427" t="s">
        <v>1597</v>
      </c>
      <c r="E718" s="352"/>
      <c r="F718" s="352">
        <v>6</v>
      </c>
      <c r="G718" s="352" t="s">
        <v>307</v>
      </c>
      <c r="H718" s="424" t="s">
        <v>1616</v>
      </c>
      <c r="I718" s="350" t="s">
        <v>476</v>
      </c>
      <c r="J718" s="556">
        <v>-29508.479382727273</v>
      </c>
      <c r="K718" s="350" t="s">
        <v>394</v>
      </c>
      <c r="L718" s="354">
        <v>2803.6597999999999</v>
      </c>
      <c r="M718" s="560">
        <f t="shared" si="721"/>
        <v>-10.524985728556395</v>
      </c>
      <c r="N718" s="354" t="s">
        <v>395</v>
      </c>
      <c r="O718" s="354">
        <v>0</v>
      </c>
      <c r="P718" s="374">
        <f t="shared" si="688"/>
        <v>-0.66315972004723289</v>
      </c>
      <c r="Q718" s="354">
        <f t="shared" si="689"/>
        <v>-6.2546078246879661E-2</v>
      </c>
      <c r="R718" s="354">
        <f t="shared" si="690"/>
        <v>-0.10543449654031034</v>
      </c>
      <c r="S718" s="354">
        <f t="shared" si="691"/>
        <v>-9.3919637736678371E-2</v>
      </c>
      <c r="T718" s="354">
        <f t="shared" si="692"/>
        <v>-0.40079097715355849</v>
      </c>
      <c r="U718" s="374">
        <f t="shared" si="693"/>
        <v>-2.6615476998338869</v>
      </c>
      <c r="V718" s="354">
        <f t="shared" si="694"/>
        <v>-7.0453073680342829E-2</v>
      </c>
      <c r="W718" s="354">
        <f t="shared" si="695"/>
        <v>-2.4033002625631763</v>
      </c>
      <c r="X718" s="354">
        <f t="shared" si="696"/>
        <v>-0.187794363590368</v>
      </c>
      <c r="Y718" s="374">
        <f t="shared" si="697"/>
        <v>-0.39017882258111425</v>
      </c>
      <c r="Z718" s="354">
        <f t="shared" si="698"/>
        <v>-0.20127765775577861</v>
      </c>
      <c r="AA718" s="354">
        <f t="shared" si="699"/>
        <v>-0.18890116482533562</v>
      </c>
      <c r="AB718" s="374">
        <f t="shared" si="700"/>
        <v>-2.1317013488753895</v>
      </c>
      <c r="AC718" s="354">
        <f t="shared" si="701"/>
        <v>-0.60496102289494103</v>
      </c>
      <c r="AD718" s="354">
        <f t="shared" si="702"/>
        <v>-1.3168657653015907</v>
      </c>
      <c r="AE718" s="354">
        <f t="shared" si="703"/>
        <v>-0.20987456067885776</v>
      </c>
      <c r="AF718" s="374">
        <f t="shared" si="704"/>
        <v>-1.7061055079355476</v>
      </c>
      <c r="AG718" s="354">
        <f t="shared" si="705"/>
        <v>-0.10964577462954225</v>
      </c>
      <c r="AH718" s="354">
        <f t="shared" si="706"/>
        <v>-0.55167197007635005</v>
      </c>
      <c r="AI718" s="354">
        <f t="shared" si="707"/>
        <v>0</v>
      </c>
      <c r="AJ718" s="354">
        <f t="shared" si="708"/>
        <v>-1.0447877632296554</v>
      </c>
      <c r="AK718" s="374">
        <f t="shared" si="709"/>
        <v>-1.1268708148177196</v>
      </c>
      <c r="AL718" s="354">
        <f t="shared" si="710"/>
        <v>-0.32285596861792309</v>
      </c>
      <c r="AM718" s="354">
        <f t="shared" si="711"/>
        <v>-0.7614759325967404</v>
      </c>
      <c r="AN718" s="354">
        <f t="shared" si="712"/>
        <v>-4.253891360305611E-2</v>
      </c>
      <c r="AO718" s="374">
        <f t="shared" si="713"/>
        <v>-0.65341061157375735</v>
      </c>
      <c r="AP718" s="354">
        <f t="shared" si="714"/>
        <v>-0.14983392604804571</v>
      </c>
      <c r="AQ718" s="354">
        <f t="shared" si="715"/>
        <v>-0.50357668552571166</v>
      </c>
      <c r="AR718" s="374">
        <f t="shared" si="716"/>
        <v>-1.1920112028917462</v>
      </c>
      <c r="AS718" s="354">
        <f t="shared" si="717"/>
        <v>-0.51653892076476748</v>
      </c>
      <c r="AT718" s="354">
        <f t="shared" si="718"/>
        <v>-0.67547228212697874</v>
      </c>
      <c r="AU718" s="355" t="s">
        <v>396</v>
      </c>
      <c r="AV718" s="354" t="s">
        <v>346</v>
      </c>
      <c r="AW718" s="377">
        <v>0</v>
      </c>
      <c r="AX718" s="377">
        <v>0</v>
      </c>
      <c r="AY718" s="377">
        <v>0</v>
      </c>
      <c r="AZ718" s="377">
        <v>0</v>
      </c>
      <c r="BA718" s="377">
        <v>0</v>
      </c>
      <c r="BB718" s="377">
        <v>0</v>
      </c>
    </row>
    <row r="719" spans="1:54" ht="30" x14ac:dyDescent="0.25">
      <c r="A719" s="348" t="s">
        <v>988</v>
      </c>
      <c r="B719" s="349">
        <v>40</v>
      </c>
      <c r="C719" s="423">
        <v>45200</v>
      </c>
      <c r="D719" s="427" t="s">
        <v>1597</v>
      </c>
      <c r="E719" s="352"/>
      <c r="F719" s="352">
        <v>6</v>
      </c>
      <c r="G719" s="352" t="s">
        <v>308</v>
      </c>
      <c r="H719" s="424" t="s">
        <v>1617</v>
      </c>
      <c r="I719" s="350" t="s">
        <v>476</v>
      </c>
      <c r="J719" s="556">
        <v>-52080.533920909089</v>
      </c>
      <c r="K719" s="350" t="s">
        <v>394</v>
      </c>
      <c r="L719" s="354">
        <v>2803.6597999999999</v>
      </c>
      <c r="M719" s="560">
        <f t="shared" si="721"/>
        <v>-18.575910643976524</v>
      </c>
      <c r="N719" s="354" t="s">
        <v>395</v>
      </c>
      <c r="O719" s="354">
        <v>0</v>
      </c>
      <c r="P719" s="374">
        <f t="shared" si="688"/>
        <v>-1.1704334827607912</v>
      </c>
      <c r="Q719" s="354">
        <f t="shared" si="689"/>
        <v>-0.11038973264285458</v>
      </c>
      <c r="R719" s="354">
        <f t="shared" si="690"/>
        <v>-0.18608498263437456</v>
      </c>
      <c r="S719" s="354">
        <f t="shared" si="691"/>
        <v>-0.16576201082891898</v>
      </c>
      <c r="T719" s="354">
        <f t="shared" si="692"/>
        <v>-0.70736983123089714</v>
      </c>
      <c r="U719" s="374">
        <f t="shared" si="693"/>
        <v>-4.6974574143747381</v>
      </c>
      <c r="V719" s="354">
        <f t="shared" si="694"/>
        <v>-0.1243450618397226</v>
      </c>
      <c r="W719" s="354">
        <f t="shared" si="695"/>
        <v>-4.2416675974098617</v>
      </c>
      <c r="X719" s="354">
        <f t="shared" si="696"/>
        <v>-0.33144475512515398</v>
      </c>
      <c r="Y719" s="374">
        <f t="shared" si="697"/>
        <v>-0.68864007328519894</v>
      </c>
      <c r="Z719" s="354">
        <f t="shared" si="698"/>
        <v>-0.35524188645271076</v>
      </c>
      <c r="AA719" s="354">
        <f t="shared" si="699"/>
        <v>-0.33339818683248812</v>
      </c>
      <c r="AB719" s="374">
        <f t="shared" si="700"/>
        <v>-3.762313298811927</v>
      </c>
      <c r="AC719" s="354">
        <f t="shared" si="701"/>
        <v>-1.0677165930871455</v>
      </c>
      <c r="AD719" s="354">
        <f t="shared" si="702"/>
        <v>-2.3241818485305736</v>
      </c>
      <c r="AE719" s="354">
        <f t="shared" si="703"/>
        <v>-0.37041485719420769</v>
      </c>
      <c r="AF719" s="374">
        <f t="shared" si="704"/>
        <v>-3.0111645071991795</v>
      </c>
      <c r="AG719" s="354">
        <f t="shared" si="705"/>
        <v>-0.19351761271103674</v>
      </c>
      <c r="AH719" s="354">
        <f t="shared" si="706"/>
        <v>-0.97366490418323415</v>
      </c>
      <c r="AI719" s="354">
        <f t="shared" si="707"/>
        <v>0</v>
      </c>
      <c r="AJ719" s="354">
        <f t="shared" si="708"/>
        <v>-1.8439819903049088</v>
      </c>
      <c r="AK719" s="374">
        <f t="shared" si="709"/>
        <v>-1.9888532016309055</v>
      </c>
      <c r="AL719" s="354">
        <f t="shared" si="710"/>
        <v>-0.56981964428218024</v>
      </c>
      <c r="AM719" s="354">
        <f t="shared" si="711"/>
        <v>-1.3439551602504529</v>
      </c>
      <c r="AN719" s="354">
        <f t="shared" si="712"/>
        <v>-7.5078397098272479E-2</v>
      </c>
      <c r="AO719" s="374">
        <f t="shared" si="713"/>
        <v>-1.1532269446682635</v>
      </c>
      <c r="AP719" s="354">
        <f t="shared" si="714"/>
        <v>-0.26444706847944016</v>
      </c>
      <c r="AQ719" s="354">
        <f t="shared" si="715"/>
        <v>-0.88877987618882337</v>
      </c>
      <c r="AR719" s="374">
        <f t="shared" si="716"/>
        <v>-2.1038217212455201</v>
      </c>
      <c r="AS719" s="354">
        <f t="shared" si="717"/>
        <v>-0.91165737262985014</v>
      </c>
      <c r="AT719" s="354">
        <f t="shared" si="718"/>
        <v>-1.1921643486156701</v>
      </c>
      <c r="AU719" s="355" t="s">
        <v>396</v>
      </c>
      <c r="AV719" s="354" t="s">
        <v>346</v>
      </c>
      <c r="AW719" s="377">
        <v>0</v>
      </c>
      <c r="AX719" s="377">
        <v>0</v>
      </c>
      <c r="AY719" s="377">
        <v>0</v>
      </c>
      <c r="AZ719" s="377">
        <v>0</v>
      </c>
      <c r="BA719" s="377">
        <v>0</v>
      </c>
      <c r="BB719" s="377">
        <v>0</v>
      </c>
    </row>
    <row r="720" spans="1:54" ht="30" x14ac:dyDescent="0.25">
      <c r="A720" s="348" t="s">
        <v>988</v>
      </c>
      <c r="B720" s="349">
        <v>40</v>
      </c>
      <c r="C720" s="423">
        <v>45200</v>
      </c>
      <c r="D720" s="427" t="s">
        <v>1597</v>
      </c>
      <c r="E720" s="352"/>
      <c r="F720" s="352">
        <v>6</v>
      </c>
      <c r="G720" s="352" t="s">
        <v>309</v>
      </c>
      <c r="H720" s="424" t="s">
        <v>1618</v>
      </c>
      <c r="I720" s="350" t="s">
        <v>476</v>
      </c>
      <c r="J720" s="556">
        <v>-229168.36755099997</v>
      </c>
      <c r="K720" s="350" t="s">
        <v>394</v>
      </c>
      <c r="L720" s="354">
        <v>2803.6597999999999</v>
      </c>
      <c r="M720" s="560">
        <f t="shared" si="721"/>
        <v>-81.739006833496703</v>
      </c>
      <c r="N720" s="354" t="s">
        <v>395</v>
      </c>
      <c r="O720" s="354">
        <v>0</v>
      </c>
      <c r="P720" s="374">
        <f t="shared" si="688"/>
        <v>-5.1502223648217162</v>
      </c>
      <c r="Q720" s="354">
        <f t="shared" si="689"/>
        <v>-0.48574453677015483</v>
      </c>
      <c r="R720" s="354">
        <f t="shared" si="690"/>
        <v>-0.81882401130597737</v>
      </c>
      <c r="S720" s="354">
        <f t="shared" si="691"/>
        <v>-0.72939746511284353</v>
      </c>
      <c r="T720" s="354">
        <f t="shared" si="692"/>
        <v>-3.1126176571882085</v>
      </c>
      <c r="U720" s="374">
        <f t="shared" si="693"/>
        <v>-20.670077018169881</v>
      </c>
      <c r="V720" s="354">
        <f t="shared" si="694"/>
        <v>-0.54715174153383483</v>
      </c>
      <c r="W720" s="354">
        <f t="shared" si="695"/>
        <v>-18.664479140490009</v>
      </c>
      <c r="X720" s="354">
        <f t="shared" si="696"/>
        <v>-1.4584461361460368</v>
      </c>
      <c r="Y720" s="374">
        <f t="shared" si="697"/>
        <v>-3.0302016808167029</v>
      </c>
      <c r="Z720" s="354">
        <f t="shared" si="698"/>
        <v>-1.5631599193613714</v>
      </c>
      <c r="AA720" s="354">
        <f t="shared" si="699"/>
        <v>-1.4670417614553313</v>
      </c>
      <c r="AB720" s="374">
        <f t="shared" si="700"/>
        <v>-16.555191200871942</v>
      </c>
      <c r="AC720" s="354">
        <f t="shared" si="701"/>
        <v>-4.6982404023830577</v>
      </c>
      <c r="AD720" s="354">
        <f t="shared" si="702"/>
        <v>-10.227025723819995</v>
      </c>
      <c r="AE720" s="354">
        <f t="shared" si="703"/>
        <v>-1.6299250746688889</v>
      </c>
      <c r="AF720" s="374">
        <f t="shared" si="704"/>
        <v>-13.249934334204342</v>
      </c>
      <c r="AG720" s="354">
        <f t="shared" si="705"/>
        <v>-0.85152958425317182</v>
      </c>
      <c r="AH720" s="354">
        <f t="shared" si="706"/>
        <v>-4.2843876557069995</v>
      </c>
      <c r="AI720" s="354">
        <f t="shared" si="707"/>
        <v>0</v>
      </c>
      <c r="AJ720" s="354">
        <f t="shared" si="708"/>
        <v>-8.1140170942441721</v>
      </c>
      <c r="AK720" s="374">
        <f t="shared" si="709"/>
        <v>-8.7514894184552272</v>
      </c>
      <c r="AL720" s="354">
        <f t="shared" si="710"/>
        <v>-2.5073598108066273</v>
      </c>
      <c r="AM720" s="354">
        <f t="shared" si="711"/>
        <v>-5.913764451878774</v>
      </c>
      <c r="AN720" s="354">
        <f t="shared" si="712"/>
        <v>-0.330365155769826</v>
      </c>
      <c r="AO720" s="374">
        <f t="shared" si="713"/>
        <v>-5.0745089658028633</v>
      </c>
      <c r="AP720" s="354">
        <f t="shared" si="714"/>
        <v>-1.1636382814184281</v>
      </c>
      <c r="AQ720" s="354">
        <f t="shared" si="715"/>
        <v>-3.9108706843844354</v>
      </c>
      <c r="AR720" s="374">
        <f t="shared" si="716"/>
        <v>-9.2573818503540224</v>
      </c>
      <c r="AS720" s="354">
        <f t="shared" si="717"/>
        <v>-4.0115378265647701</v>
      </c>
      <c r="AT720" s="354">
        <f t="shared" si="718"/>
        <v>-5.2458440237892523</v>
      </c>
      <c r="AU720" s="355" t="s">
        <v>396</v>
      </c>
      <c r="AV720" s="354" t="s">
        <v>346</v>
      </c>
      <c r="AW720" s="377">
        <v>0</v>
      </c>
      <c r="AX720" s="377">
        <v>0</v>
      </c>
      <c r="AY720" s="377">
        <v>0</v>
      </c>
      <c r="AZ720" s="377">
        <v>0</v>
      </c>
      <c r="BA720" s="377">
        <v>0</v>
      </c>
      <c r="BB720" s="377">
        <v>0</v>
      </c>
    </row>
    <row r="721" spans="1:54" ht="30" x14ac:dyDescent="0.25">
      <c r="A721" s="348" t="s">
        <v>988</v>
      </c>
      <c r="B721" s="349">
        <v>40</v>
      </c>
      <c r="C721" s="423">
        <v>45200</v>
      </c>
      <c r="D721" s="427" t="s">
        <v>1597</v>
      </c>
      <c r="E721" s="352"/>
      <c r="F721" s="352">
        <v>6</v>
      </c>
      <c r="G721" s="352" t="s">
        <v>310</v>
      </c>
      <c r="H721" s="424" t="s">
        <v>1619</v>
      </c>
      <c r="I721" s="350" t="s">
        <v>476</v>
      </c>
      <c r="J721" s="556">
        <v>-69440.711894545457</v>
      </c>
      <c r="K721" s="350" t="s">
        <v>394</v>
      </c>
      <c r="L721" s="354">
        <v>2803.6597999999999</v>
      </c>
      <c r="M721" s="560">
        <f t="shared" si="721"/>
        <v>-24.767880858635365</v>
      </c>
      <c r="N721" s="354" t="s">
        <v>395</v>
      </c>
      <c r="O721" s="354">
        <v>0</v>
      </c>
      <c r="P721" s="374">
        <f t="shared" si="688"/>
        <v>-1.5605779770143884</v>
      </c>
      <c r="Q721" s="354">
        <f t="shared" si="689"/>
        <v>-0.14718631019047279</v>
      </c>
      <c r="R721" s="354">
        <f t="shared" si="690"/>
        <v>-0.2481133101791661</v>
      </c>
      <c r="S721" s="354">
        <f t="shared" si="691"/>
        <v>-0.22101601443855867</v>
      </c>
      <c r="T721" s="354">
        <f t="shared" si="692"/>
        <v>-0.94315977497452963</v>
      </c>
      <c r="U721" s="374">
        <f t="shared" si="693"/>
        <v>-6.2632765524996499</v>
      </c>
      <c r="V721" s="354">
        <f t="shared" si="694"/>
        <v>-0.16579341578629678</v>
      </c>
      <c r="W721" s="354">
        <f t="shared" si="695"/>
        <v>-5.6555567965464819</v>
      </c>
      <c r="X721" s="354">
        <f t="shared" si="696"/>
        <v>-0.44192634016687193</v>
      </c>
      <c r="Y721" s="374">
        <f t="shared" si="697"/>
        <v>-0.91818676438026525</v>
      </c>
      <c r="Z721" s="354">
        <f t="shared" si="698"/>
        <v>-0.47365584860361437</v>
      </c>
      <c r="AA721" s="354">
        <f t="shared" si="699"/>
        <v>-0.44453091577665083</v>
      </c>
      <c r="AB721" s="374">
        <f t="shared" si="700"/>
        <v>-5.016417731749236</v>
      </c>
      <c r="AC721" s="354">
        <f t="shared" si="701"/>
        <v>-1.4236221241161939</v>
      </c>
      <c r="AD721" s="354">
        <f t="shared" si="702"/>
        <v>-3.0989091313740986</v>
      </c>
      <c r="AE721" s="354">
        <f t="shared" si="703"/>
        <v>-0.49388647625894361</v>
      </c>
      <c r="AF721" s="374">
        <f t="shared" si="704"/>
        <v>-4.0148860095989054</v>
      </c>
      <c r="AG721" s="354">
        <f t="shared" si="705"/>
        <v>-0.25802348361471561</v>
      </c>
      <c r="AH721" s="354">
        <f t="shared" si="706"/>
        <v>-1.2982198722443121</v>
      </c>
      <c r="AI721" s="354">
        <f t="shared" si="707"/>
        <v>0</v>
      </c>
      <c r="AJ721" s="354">
        <f t="shared" si="708"/>
        <v>-2.458642653739878</v>
      </c>
      <c r="AK721" s="374">
        <f t="shared" si="709"/>
        <v>-2.6518042688412073</v>
      </c>
      <c r="AL721" s="354">
        <f t="shared" si="710"/>
        <v>-0.75975952570957361</v>
      </c>
      <c r="AM721" s="354">
        <f t="shared" si="711"/>
        <v>-1.7919402136672704</v>
      </c>
      <c r="AN721" s="354">
        <f t="shared" si="712"/>
        <v>-0.10010452946436331</v>
      </c>
      <c r="AO721" s="374">
        <f t="shared" si="713"/>
        <v>-1.5376359262243513</v>
      </c>
      <c r="AP721" s="354">
        <f t="shared" si="714"/>
        <v>-0.35259609130592018</v>
      </c>
      <c r="AQ721" s="354">
        <f t="shared" si="715"/>
        <v>-1.1850398349184312</v>
      </c>
      <c r="AR721" s="374">
        <f t="shared" si="716"/>
        <v>-2.80509562832736</v>
      </c>
      <c r="AS721" s="354">
        <f t="shared" si="717"/>
        <v>-1.2155431635064666</v>
      </c>
      <c r="AT721" s="354">
        <f t="shared" si="718"/>
        <v>-1.5895524648208934</v>
      </c>
      <c r="AU721" s="355" t="s">
        <v>396</v>
      </c>
      <c r="AV721" s="354" t="s">
        <v>346</v>
      </c>
      <c r="AW721" s="377">
        <v>0</v>
      </c>
      <c r="AX721" s="377">
        <v>0</v>
      </c>
      <c r="AY721" s="377">
        <v>0</v>
      </c>
      <c r="AZ721" s="377">
        <v>0</v>
      </c>
      <c r="BA721" s="377">
        <v>0</v>
      </c>
      <c r="BB721" s="377">
        <v>0</v>
      </c>
    </row>
    <row r="722" spans="1:54" x14ac:dyDescent="0.25">
      <c r="A722" s="348" t="s">
        <v>988</v>
      </c>
      <c r="B722" s="349">
        <v>40</v>
      </c>
      <c r="C722" s="423">
        <v>45200</v>
      </c>
      <c r="D722" s="427" t="s">
        <v>1597</v>
      </c>
      <c r="E722" s="352"/>
      <c r="F722" s="352">
        <v>6</v>
      </c>
      <c r="G722" s="352" t="s">
        <v>311</v>
      </c>
      <c r="H722" s="424" t="s">
        <v>1620</v>
      </c>
      <c r="I722" s="350" t="s">
        <v>476</v>
      </c>
      <c r="J722" s="556">
        <v>-20834.705531818181</v>
      </c>
      <c r="K722" s="350" t="s">
        <v>394</v>
      </c>
      <c r="L722" s="354">
        <v>2803.6597999999999</v>
      </c>
      <c r="M722" s="560">
        <f t="shared" si="721"/>
        <v>-7.4312530827806507</v>
      </c>
      <c r="N722" s="354" t="s">
        <v>395</v>
      </c>
      <c r="O722" s="354">
        <v>0</v>
      </c>
      <c r="P722" s="374">
        <f t="shared" si="688"/>
        <v>-0.46822939632174598</v>
      </c>
      <c r="Q722" s="354">
        <f t="shared" si="689"/>
        <v>-4.4161175014886749E-2</v>
      </c>
      <c r="R722" s="354">
        <f t="shared" si="690"/>
        <v>-7.4442896898262417E-2</v>
      </c>
      <c r="S722" s="354">
        <f t="shared" si="691"/>
        <v>-6.6312735757035793E-2</v>
      </c>
      <c r="T722" s="354">
        <f t="shared" si="692"/>
        <v>-0.28298177891511161</v>
      </c>
      <c r="U722" s="374">
        <f t="shared" si="693"/>
        <v>-1.8792077309610906</v>
      </c>
      <c r="V722" s="354">
        <f t="shared" si="694"/>
        <v>-4.9743974431994853E-2</v>
      </c>
      <c r="W722" s="354">
        <f t="shared" si="695"/>
        <v>-1.6968699954208644</v>
      </c>
      <c r="X722" s="354">
        <f t="shared" si="696"/>
        <v>-0.13259376110823151</v>
      </c>
      <c r="Y722" s="374">
        <f t="shared" si="697"/>
        <v>-0.27548897955031498</v>
      </c>
      <c r="Z722" s="354">
        <f t="shared" si="698"/>
        <v>-0.14211375229082185</v>
      </c>
      <c r="AA722" s="354">
        <f t="shared" si="699"/>
        <v>-0.13337522725949313</v>
      </c>
      <c r="AB722" s="374">
        <f t="shared" si="700"/>
        <v>-1.5051053397077325</v>
      </c>
      <c r="AC722" s="354">
        <f t="shared" si="701"/>
        <v>-0.42713772562680563</v>
      </c>
      <c r="AD722" s="354">
        <f t="shared" si="702"/>
        <v>-0.92978394749310389</v>
      </c>
      <c r="AE722" s="354">
        <f t="shared" si="703"/>
        <v>-0.14818366658782303</v>
      </c>
      <c r="AF722" s="374">
        <f t="shared" si="704"/>
        <v>-1.2046098818923592</v>
      </c>
      <c r="AG722" s="354">
        <f t="shared" si="705"/>
        <v>-7.7416304567418812E-2</v>
      </c>
      <c r="AH722" s="354">
        <f t="shared" si="706"/>
        <v>-0.38951254985462608</v>
      </c>
      <c r="AI722" s="354">
        <f t="shared" si="707"/>
        <v>0</v>
      </c>
      <c r="AJ722" s="354">
        <f t="shared" si="708"/>
        <v>-0.73768102747031439</v>
      </c>
      <c r="AK722" s="374">
        <f t="shared" si="709"/>
        <v>-0.79563644383756393</v>
      </c>
      <c r="AL722" s="354">
        <f t="shared" si="710"/>
        <v>-0.22795512259712597</v>
      </c>
      <c r="AM722" s="354">
        <f t="shared" si="711"/>
        <v>-0.53764637002970517</v>
      </c>
      <c r="AN722" s="354">
        <f t="shared" si="712"/>
        <v>-3.003495121073281E-2</v>
      </c>
      <c r="AO722" s="374">
        <f t="shared" si="713"/>
        <v>-0.46134595778165255</v>
      </c>
      <c r="AP722" s="354">
        <f t="shared" si="714"/>
        <v>-0.10579148072653859</v>
      </c>
      <c r="AQ722" s="354">
        <f t="shared" si="715"/>
        <v>-0.35555447705511395</v>
      </c>
      <c r="AR722" s="374">
        <f t="shared" si="716"/>
        <v>-0.84162935272819051</v>
      </c>
      <c r="AS722" s="354">
        <f t="shared" si="717"/>
        <v>-0.36470657028015385</v>
      </c>
      <c r="AT722" s="354">
        <f t="shared" si="718"/>
        <v>-0.47692278244803671</v>
      </c>
      <c r="AU722" s="355" t="s">
        <v>396</v>
      </c>
      <c r="AV722" s="354" t="s">
        <v>346</v>
      </c>
      <c r="AW722" s="377">
        <v>0</v>
      </c>
      <c r="AX722" s="377">
        <v>0</v>
      </c>
      <c r="AY722" s="377">
        <v>0</v>
      </c>
      <c r="AZ722" s="377">
        <v>0</v>
      </c>
      <c r="BA722" s="377">
        <v>0</v>
      </c>
      <c r="BB722" s="377">
        <v>0</v>
      </c>
    </row>
    <row r="723" spans="1:54" x14ac:dyDescent="0.25">
      <c r="A723" s="348" t="s">
        <v>1650</v>
      </c>
      <c r="B723" s="379">
        <v>87</v>
      </c>
      <c r="C723" s="423">
        <v>45200</v>
      </c>
      <c r="D723" s="351">
        <v>44995</v>
      </c>
      <c r="E723" s="352">
        <v>4325</v>
      </c>
      <c r="F723" s="352">
        <v>6</v>
      </c>
      <c r="G723" s="428" t="s">
        <v>300</v>
      </c>
      <c r="H723" s="350" t="s">
        <v>1665</v>
      </c>
      <c r="I723" s="350" t="s">
        <v>393</v>
      </c>
      <c r="J723" s="556">
        <v>4286</v>
      </c>
      <c r="K723" s="353" t="s">
        <v>394</v>
      </c>
      <c r="L723" s="353">
        <v>2801.6</v>
      </c>
      <c r="M723" s="560">
        <f t="shared" ref="M723:M742" si="722">J723/L723</f>
        <v>1.5298400913763563</v>
      </c>
      <c r="N723" s="354" t="s">
        <v>395</v>
      </c>
      <c r="O723" s="354">
        <v>0</v>
      </c>
      <c r="P723" s="374">
        <f t="shared" ref="P723:P742" si="723">M723*$P$2</f>
        <v>9.6392370771730268E-2</v>
      </c>
      <c r="Q723" s="354">
        <f t="shared" ref="Q723:Q742" si="724">P723*$Q$2</f>
        <v>9.0912710504514223E-3</v>
      </c>
      <c r="R723" s="354">
        <f t="shared" ref="R723:R742" si="725">P723*$R$2</f>
        <v>1.5325238815651307E-2</v>
      </c>
      <c r="S723" s="354">
        <f t="shared" ref="S723:S742" si="726">P723*$S$2</f>
        <v>1.3651517530069062E-2</v>
      </c>
      <c r="T723" s="354">
        <f t="shared" ref="T723:T742" si="727">P723*$T$2</f>
        <v>5.825624099877217E-2</v>
      </c>
      <c r="U723" s="374">
        <f t="shared" ref="U723:U742" si="728">M723*$U$2</f>
        <v>0.38686440830688751</v>
      </c>
      <c r="V723" s="354">
        <f t="shared" ref="V723:V742" si="729">U723*$V$2</f>
        <v>1.0240577940590159E-2</v>
      </c>
      <c r="W723" s="354">
        <f t="shared" ref="W723:W742" si="730">U723*$W$2</f>
        <v>0.34932732339094219</v>
      </c>
      <c r="X723" s="354">
        <f t="shared" ref="X723:X742" si="731">U723*$X$2</f>
        <v>2.7296506975355177E-2</v>
      </c>
      <c r="Y723" s="374">
        <f t="shared" ref="Y723:Y742" si="732">M723*$Y$2</f>
        <v>5.6713730639184744E-2</v>
      </c>
      <c r="Z723" s="354">
        <f t="shared" ref="Z723:Z742" si="733">Y723*$Z$2</f>
        <v>2.9256346590348675E-2</v>
      </c>
      <c r="AA723" s="354">
        <f t="shared" ref="AA723:AA742" si="734">Y723*$AA$2</f>
        <v>2.7457384048836065E-2</v>
      </c>
      <c r="AB723" s="374">
        <f t="shared" ref="AB723:AB742" si="735">M723*$AB$2</f>
        <v>0.30984955898823136</v>
      </c>
      <c r="AC723" s="354">
        <f t="shared" ref="AC723:AC742" si="736">AB723*$AC$2</f>
        <v>8.7933005365858213E-2</v>
      </c>
      <c r="AD723" s="354">
        <f t="shared" ref="AD723:AD742" si="737">AB723*$AD$2</f>
        <v>0.1914106198978858</v>
      </c>
      <c r="AE723" s="354">
        <f t="shared" ref="AE723:AE742" si="738">AB723*$AE$2</f>
        <v>3.0505933724487334E-2</v>
      </c>
      <c r="AF723" s="374">
        <f t="shared" ref="AF723:AF742" si="739">M723*$AF$2</f>
        <v>0.24798785228527045</v>
      </c>
      <c r="AG723" s="354">
        <f t="shared" ref="AG723:AG742" si="740">AF723*$AG$2</f>
        <v>1.5937361456289361E-2</v>
      </c>
      <c r="AH723" s="354">
        <f t="shared" ref="AH723:AH742" si="741">AF723*$AH$2</f>
        <v>8.0187272351497682E-2</v>
      </c>
      <c r="AI723" s="354">
        <f t="shared" ref="AI723:AI742" si="742">AF723*$AI$2</f>
        <v>0</v>
      </c>
      <c r="AJ723" s="354">
        <f t="shared" ref="AJ723:AJ742" si="743">AF723*$AJ$2</f>
        <v>0.15186321847748344</v>
      </c>
      <c r="AK723" s="374">
        <f t="shared" ref="AK723:AK742" si="744">M723*$AK$2</f>
        <v>0.16379425063092634</v>
      </c>
      <c r="AL723" s="354">
        <f t="shared" ref="AL723:AL742" si="745">AK723*$AL$2</f>
        <v>4.6928140072603326E-2</v>
      </c>
      <c r="AM723" s="354">
        <f t="shared" ref="AM723:AM742" si="746">AK723*$AM$2</f>
        <v>0.11068294440950997</v>
      </c>
      <c r="AN723" s="354">
        <f t="shared" ref="AN723:AN742" si="747">AK723*$AN$2</f>
        <v>6.1831661488130421E-3</v>
      </c>
      <c r="AO723" s="374">
        <f t="shared" ref="AO723:AO742" si="748">M723*$AO$2</f>
        <v>9.4975306902709181E-2</v>
      </c>
      <c r="AP723" s="354">
        <f t="shared" ref="AP723:AP742" si="749">AO723*$AP$2</f>
        <v>2.1778836858153201E-2</v>
      </c>
      <c r="AQ723" s="354">
        <f t="shared" ref="AQ723:AQ742" si="750">AO723*$AQ$2</f>
        <v>7.3196470044555983E-2</v>
      </c>
      <c r="AR723" s="374">
        <f t="shared" ref="AR723:AR742" si="751">M723*$AR$2</f>
        <v>0.17326261285141642</v>
      </c>
      <c r="AS723" s="354">
        <f t="shared" ref="AS723:AS742" si="752">AR723*$AS$2</f>
        <v>7.5080572090296144E-2</v>
      </c>
      <c r="AT723" s="354">
        <f t="shared" ref="AT723:AT742" si="753">AR723*$AT$2</f>
        <v>9.818204076112029E-2</v>
      </c>
      <c r="AU723" s="355" t="s">
        <v>396</v>
      </c>
      <c r="AV723" s="354" t="s">
        <v>345</v>
      </c>
      <c r="AW723" s="377">
        <v>0</v>
      </c>
      <c r="AX723" s="377">
        <v>0</v>
      </c>
      <c r="AY723" s="377">
        <v>0</v>
      </c>
      <c r="AZ723" s="377">
        <v>0</v>
      </c>
      <c r="BA723" s="377">
        <v>0</v>
      </c>
      <c r="BB723" s="377">
        <v>0</v>
      </c>
    </row>
    <row r="724" spans="1:54" x14ac:dyDescent="0.25">
      <c r="A724" s="348" t="s">
        <v>1650</v>
      </c>
      <c r="B724" s="379">
        <v>87</v>
      </c>
      <c r="C724" s="423">
        <v>45200</v>
      </c>
      <c r="D724" s="351">
        <v>44995</v>
      </c>
      <c r="E724" s="352">
        <v>4325</v>
      </c>
      <c r="F724" s="352">
        <v>6</v>
      </c>
      <c r="G724" s="428" t="s">
        <v>301</v>
      </c>
      <c r="H724" s="350" t="s">
        <v>1666</v>
      </c>
      <c r="I724" s="350" t="s">
        <v>393</v>
      </c>
      <c r="J724" s="556">
        <v>156703</v>
      </c>
      <c r="K724" s="353" t="s">
        <v>394</v>
      </c>
      <c r="L724" s="353">
        <v>2801.6</v>
      </c>
      <c r="M724" s="560">
        <f t="shared" si="722"/>
        <v>55.933395202741295</v>
      </c>
      <c r="N724" s="354" t="s">
        <v>395</v>
      </c>
      <c r="O724" s="354">
        <v>0</v>
      </c>
      <c r="P724" s="374">
        <f t="shared" si="723"/>
        <v>3.5242589073827459</v>
      </c>
      <c r="Q724" s="354">
        <f t="shared" si="724"/>
        <v>0.33239137830585375</v>
      </c>
      <c r="R724" s="354">
        <f t="shared" si="725"/>
        <v>0.56031518855086482</v>
      </c>
      <c r="S724" s="354">
        <f t="shared" si="726"/>
        <v>0.49912126726887829</v>
      </c>
      <c r="T724" s="354">
        <f t="shared" si="727"/>
        <v>2.1299411416776937</v>
      </c>
      <c r="U724" s="374">
        <f t="shared" si="728"/>
        <v>14.144380162135837</v>
      </c>
      <c r="V724" s="354">
        <f t="shared" si="729"/>
        <v>0.3744118723808445</v>
      </c>
      <c r="W724" s="354">
        <f t="shared" si="730"/>
        <v>12.771964432415031</v>
      </c>
      <c r="X724" s="354">
        <f t="shared" si="731"/>
        <v>0.99800385733996322</v>
      </c>
      <c r="Y724" s="374">
        <f t="shared" si="732"/>
        <v>2.0735445012487559</v>
      </c>
      <c r="Z724" s="354">
        <f t="shared" si="733"/>
        <v>1.069658721359638</v>
      </c>
      <c r="AA724" s="354">
        <f t="shared" si="734"/>
        <v>1.0038857798891176</v>
      </c>
      <c r="AB724" s="374">
        <f t="shared" si="735"/>
        <v>11.328594363540089</v>
      </c>
      <c r="AC724" s="354">
        <f t="shared" si="736"/>
        <v>3.2149710078968923</v>
      </c>
      <c r="AD724" s="354">
        <f t="shared" si="737"/>
        <v>6.9982777344513307</v>
      </c>
      <c r="AE724" s="354">
        <f t="shared" si="738"/>
        <v>1.1153456211918662</v>
      </c>
      <c r="AF724" s="374">
        <f t="shared" si="739"/>
        <v>9.066831641777588</v>
      </c>
      <c r="AG724" s="354">
        <f t="shared" si="740"/>
        <v>0.58269536917520115</v>
      </c>
      <c r="AH724" s="354">
        <f t="shared" si="741"/>
        <v>2.9317746475260713</v>
      </c>
      <c r="AI724" s="354">
        <f t="shared" si="742"/>
        <v>0</v>
      </c>
      <c r="AJ724" s="354">
        <f t="shared" si="743"/>
        <v>5.5523616250763164</v>
      </c>
      <c r="AK724" s="374">
        <f t="shared" si="744"/>
        <v>5.9885792012641286</v>
      </c>
      <c r="AL724" s="354">
        <f t="shared" si="745"/>
        <v>1.7157676933731125</v>
      </c>
      <c r="AM724" s="354">
        <f t="shared" si="746"/>
        <v>4.0467450858150826</v>
      </c>
      <c r="AN724" s="354">
        <f t="shared" si="747"/>
        <v>0.22606642207593336</v>
      </c>
      <c r="AO724" s="374">
        <f t="shared" si="748"/>
        <v>3.4724487908481656</v>
      </c>
      <c r="AP724" s="354">
        <f t="shared" si="749"/>
        <v>0.79626903224059298</v>
      </c>
      <c r="AQ724" s="354">
        <f t="shared" si="750"/>
        <v>2.6761797586075726</v>
      </c>
      <c r="AR724" s="374">
        <f t="shared" si="751"/>
        <v>6.3347576345439824</v>
      </c>
      <c r="AS724" s="354">
        <f t="shared" si="752"/>
        <v>2.7450655362262428</v>
      </c>
      <c r="AT724" s="354">
        <f t="shared" si="753"/>
        <v>3.5896920983177401</v>
      </c>
      <c r="AU724" s="355" t="s">
        <v>396</v>
      </c>
      <c r="AV724" s="354" t="s">
        <v>345</v>
      </c>
      <c r="AW724" s="377">
        <v>0</v>
      </c>
      <c r="AX724" s="377">
        <v>0</v>
      </c>
      <c r="AY724" s="377">
        <v>0</v>
      </c>
      <c r="AZ724" s="377">
        <v>0</v>
      </c>
      <c r="BA724" s="377">
        <v>0</v>
      </c>
      <c r="BB724" s="377">
        <v>0</v>
      </c>
    </row>
    <row r="725" spans="1:54" x14ac:dyDescent="0.25">
      <c r="A725" s="348" t="s">
        <v>1650</v>
      </c>
      <c r="B725" s="379">
        <v>87</v>
      </c>
      <c r="C725" s="423">
        <v>45200</v>
      </c>
      <c r="D725" s="351">
        <v>44995</v>
      </c>
      <c r="E725" s="352">
        <v>4325</v>
      </c>
      <c r="F725" s="352">
        <v>6</v>
      </c>
      <c r="G725" s="428" t="s">
        <v>302</v>
      </c>
      <c r="H725" s="350" t="s">
        <v>1667</v>
      </c>
      <c r="I725" s="350" t="s">
        <v>393</v>
      </c>
      <c r="J725" s="556">
        <v>4286</v>
      </c>
      <c r="K725" s="353" t="s">
        <v>394</v>
      </c>
      <c r="L725" s="353">
        <v>2801.6</v>
      </c>
      <c r="M725" s="560">
        <f t="shared" si="722"/>
        <v>1.5298400913763563</v>
      </c>
      <c r="N725" s="354" t="s">
        <v>395</v>
      </c>
      <c r="O725" s="354">
        <v>0</v>
      </c>
      <c r="P725" s="374">
        <f t="shared" si="723"/>
        <v>9.6392370771730268E-2</v>
      </c>
      <c r="Q725" s="354">
        <f t="shared" si="724"/>
        <v>9.0912710504514223E-3</v>
      </c>
      <c r="R725" s="354">
        <f t="shared" si="725"/>
        <v>1.5325238815651307E-2</v>
      </c>
      <c r="S725" s="354">
        <f t="shared" si="726"/>
        <v>1.3651517530069062E-2</v>
      </c>
      <c r="T725" s="354">
        <f t="shared" si="727"/>
        <v>5.825624099877217E-2</v>
      </c>
      <c r="U725" s="374">
        <f t="shared" si="728"/>
        <v>0.38686440830688751</v>
      </c>
      <c r="V725" s="354">
        <f t="shared" si="729"/>
        <v>1.0240577940590159E-2</v>
      </c>
      <c r="W725" s="354">
        <f t="shared" si="730"/>
        <v>0.34932732339094219</v>
      </c>
      <c r="X725" s="354">
        <f t="shared" si="731"/>
        <v>2.7296506975355177E-2</v>
      </c>
      <c r="Y725" s="374">
        <f t="shared" si="732"/>
        <v>5.6713730639184744E-2</v>
      </c>
      <c r="Z725" s="354">
        <f t="shared" si="733"/>
        <v>2.9256346590348675E-2</v>
      </c>
      <c r="AA725" s="354">
        <f t="shared" si="734"/>
        <v>2.7457384048836065E-2</v>
      </c>
      <c r="AB725" s="374">
        <f t="shared" si="735"/>
        <v>0.30984955898823136</v>
      </c>
      <c r="AC725" s="354">
        <f t="shared" si="736"/>
        <v>8.7933005365858213E-2</v>
      </c>
      <c r="AD725" s="354">
        <f t="shared" si="737"/>
        <v>0.1914106198978858</v>
      </c>
      <c r="AE725" s="354">
        <f t="shared" si="738"/>
        <v>3.0505933724487334E-2</v>
      </c>
      <c r="AF725" s="374">
        <f t="shared" si="739"/>
        <v>0.24798785228527045</v>
      </c>
      <c r="AG725" s="354">
        <f t="shared" si="740"/>
        <v>1.5937361456289361E-2</v>
      </c>
      <c r="AH725" s="354">
        <f t="shared" si="741"/>
        <v>8.0187272351497682E-2</v>
      </c>
      <c r="AI725" s="354">
        <f t="shared" si="742"/>
        <v>0</v>
      </c>
      <c r="AJ725" s="354">
        <f t="shared" si="743"/>
        <v>0.15186321847748344</v>
      </c>
      <c r="AK725" s="374">
        <f t="shared" si="744"/>
        <v>0.16379425063092634</v>
      </c>
      <c r="AL725" s="354">
        <f t="shared" si="745"/>
        <v>4.6928140072603326E-2</v>
      </c>
      <c r="AM725" s="354">
        <f t="shared" si="746"/>
        <v>0.11068294440950997</v>
      </c>
      <c r="AN725" s="354">
        <f t="shared" si="747"/>
        <v>6.1831661488130421E-3</v>
      </c>
      <c r="AO725" s="374">
        <f t="shared" si="748"/>
        <v>9.4975306902709181E-2</v>
      </c>
      <c r="AP725" s="354">
        <f t="shared" si="749"/>
        <v>2.1778836858153201E-2</v>
      </c>
      <c r="AQ725" s="354">
        <f t="shared" si="750"/>
        <v>7.3196470044555983E-2</v>
      </c>
      <c r="AR725" s="374">
        <f t="shared" si="751"/>
        <v>0.17326261285141642</v>
      </c>
      <c r="AS725" s="354">
        <f t="shared" si="752"/>
        <v>7.5080572090296144E-2</v>
      </c>
      <c r="AT725" s="354">
        <f t="shared" si="753"/>
        <v>9.818204076112029E-2</v>
      </c>
      <c r="AU725" s="355" t="s">
        <v>396</v>
      </c>
      <c r="AV725" s="354" t="s">
        <v>345</v>
      </c>
      <c r="AW725" s="377">
        <v>0</v>
      </c>
      <c r="AX725" s="377">
        <v>0</v>
      </c>
      <c r="AY725" s="377">
        <v>0</v>
      </c>
      <c r="AZ725" s="377">
        <v>0</v>
      </c>
      <c r="BA725" s="377">
        <v>0</v>
      </c>
      <c r="BB725" s="377">
        <v>0</v>
      </c>
    </row>
    <row r="726" spans="1:54" x14ac:dyDescent="0.25">
      <c r="A726" s="348" t="s">
        <v>1651</v>
      </c>
      <c r="B726" s="379">
        <v>87</v>
      </c>
      <c r="C726" s="423">
        <v>45200</v>
      </c>
      <c r="D726" s="351">
        <v>44995</v>
      </c>
      <c r="E726" s="352">
        <v>6341</v>
      </c>
      <c r="F726" s="352">
        <v>6</v>
      </c>
      <c r="G726" s="428" t="s">
        <v>325</v>
      </c>
      <c r="H726" s="350" t="s">
        <v>1159</v>
      </c>
      <c r="I726" s="350" t="s">
        <v>393</v>
      </c>
      <c r="J726" s="556">
        <v>1500</v>
      </c>
      <c r="K726" s="353" t="s">
        <v>394</v>
      </c>
      <c r="L726" s="353">
        <v>2801.6</v>
      </c>
      <c r="M726" s="560">
        <f t="shared" si="722"/>
        <v>0.53540833809251853</v>
      </c>
      <c r="N726" s="354" t="s">
        <v>395</v>
      </c>
      <c r="O726" s="354">
        <v>0</v>
      </c>
      <c r="P726" s="374">
        <f t="shared" si="723"/>
        <v>3.373508076472128E-2</v>
      </c>
      <c r="Q726" s="354">
        <f t="shared" si="724"/>
        <v>3.1817327521411884E-3</v>
      </c>
      <c r="R726" s="354">
        <f t="shared" si="725"/>
        <v>5.3634760204099297E-3</v>
      </c>
      <c r="S726" s="354">
        <f t="shared" si="726"/>
        <v>4.7777126213494154E-3</v>
      </c>
      <c r="T726" s="354">
        <f t="shared" si="727"/>
        <v>2.0388325127895068E-2</v>
      </c>
      <c r="U726" s="374">
        <f t="shared" si="728"/>
        <v>0.13539351667296576</v>
      </c>
      <c r="V726" s="354">
        <f t="shared" si="729"/>
        <v>3.5839633483166675E-3</v>
      </c>
      <c r="W726" s="354">
        <f t="shared" si="730"/>
        <v>0.12225641275931248</v>
      </c>
      <c r="X726" s="354">
        <f t="shared" si="731"/>
        <v>9.5531405653366212E-3</v>
      </c>
      <c r="Y726" s="374">
        <f t="shared" si="732"/>
        <v>1.9848482491548556E-2</v>
      </c>
      <c r="Z726" s="354">
        <f t="shared" si="733"/>
        <v>1.0239038704041767E-2</v>
      </c>
      <c r="AA726" s="354">
        <f t="shared" si="734"/>
        <v>9.6094437875067894E-3</v>
      </c>
      <c r="AB726" s="374">
        <f t="shared" si="735"/>
        <v>0.10844011630479398</v>
      </c>
      <c r="AC726" s="354">
        <f t="shared" si="736"/>
        <v>3.0774500244700725E-2</v>
      </c>
      <c r="AD726" s="354">
        <f t="shared" si="737"/>
        <v>6.6989251014192425E-2</v>
      </c>
      <c r="AE726" s="354">
        <f t="shared" si="738"/>
        <v>1.0676365045900839E-2</v>
      </c>
      <c r="AF726" s="374">
        <f t="shared" si="739"/>
        <v>8.6789962302357831E-2</v>
      </c>
      <c r="AG726" s="354">
        <f t="shared" si="740"/>
        <v>5.5777046627237615E-3</v>
      </c>
      <c r="AH726" s="354">
        <f t="shared" si="741"/>
        <v>2.8063674411396761E-2</v>
      </c>
      <c r="AI726" s="354">
        <f t="shared" si="742"/>
        <v>0</v>
      </c>
      <c r="AJ726" s="354">
        <f t="shared" si="743"/>
        <v>5.3148583228237317E-2</v>
      </c>
      <c r="AK726" s="374">
        <f t="shared" si="744"/>
        <v>5.7324166109750233E-2</v>
      </c>
      <c r="AL726" s="354">
        <f t="shared" si="745"/>
        <v>1.6423754108470599E-2</v>
      </c>
      <c r="AM726" s="354">
        <f t="shared" si="746"/>
        <v>3.873644811345426E-2</v>
      </c>
      <c r="AN726" s="354">
        <f t="shared" si="747"/>
        <v>2.1639638878253762E-3</v>
      </c>
      <c r="AO726" s="374">
        <f t="shared" si="748"/>
        <v>3.3239141473183333E-2</v>
      </c>
      <c r="AP726" s="354">
        <f t="shared" si="749"/>
        <v>7.6220847613695285E-3</v>
      </c>
      <c r="AQ726" s="354">
        <f t="shared" si="750"/>
        <v>2.5617056711813805E-2</v>
      </c>
      <c r="AR726" s="374">
        <f t="shared" si="751"/>
        <v>6.0637871973197525E-2</v>
      </c>
      <c r="AS726" s="354">
        <f t="shared" si="752"/>
        <v>2.6276448468372422E-2</v>
      </c>
      <c r="AT726" s="354">
        <f t="shared" si="753"/>
        <v>3.4361423504825107E-2</v>
      </c>
      <c r="AU726" s="355" t="s">
        <v>396</v>
      </c>
      <c r="AV726" s="354" t="s">
        <v>345</v>
      </c>
      <c r="AW726" s="377">
        <v>0</v>
      </c>
      <c r="AX726" s="377">
        <v>0</v>
      </c>
      <c r="AY726" s="377">
        <v>0</v>
      </c>
      <c r="AZ726" s="377">
        <v>0</v>
      </c>
      <c r="BA726" s="377">
        <v>0</v>
      </c>
      <c r="BB726" s="377">
        <v>0</v>
      </c>
    </row>
    <row r="727" spans="1:54" x14ac:dyDescent="0.25">
      <c r="A727" s="348" t="s">
        <v>1652</v>
      </c>
      <c r="B727" s="379">
        <v>88</v>
      </c>
      <c r="C727" s="423">
        <v>45200</v>
      </c>
      <c r="D727" s="427" t="s">
        <v>1653</v>
      </c>
      <c r="E727" s="352">
        <v>6176</v>
      </c>
      <c r="F727" s="352">
        <v>6</v>
      </c>
      <c r="G727" s="428" t="s">
        <v>324</v>
      </c>
      <c r="H727" s="350" t="s">
        <v>1109</v>
      </c>
      <c r="I727" s="350" t="s">
        <v>393</v>
      </c>
      <c r="J727" s="556">
        <v>90000</v>
      </c>
      <c r="K727" s="353" t="s">
        <v>394</v>
      </c>
      <c r="L727" s="353">
        <v>2801.6</v>
      </c>
      <c r="M727" s="560">
        <f t="shared" si="722"/>
        <v>32.124500285551115</v>
      </c>
      <c r="N727" s="354" t="s">
        <v>395</v>
      </c>
      <c r="O727" s="354">
        <v>0</v>
      </c>
      <c r="P727" s="374">
        <f t="shared" si="723"/>
        <v>2.0241048458832767</v>
      </c>
      <c r="Q727" s="354">
        <f t="shared" si="724"/>
        <v>0.19090396512847127</v>
      </c>
      <c r="R727" s="354">
        <f t="shared" si="725"/>
        <v>0.32180856122459578</v>
      </c>
      <c r="S727" s="354">
        <f t="shared" si="726"/>
        <v>0.28666275728096491</v>
      </c>
      <c r="T727" s="354">
        <f t="shared" si="727"/>
        <v>1.2232995076737039</v>
      </c>
      <c r="U727" s="374">
        <f t="shared" si="728"/>
        <v>8.1236110003779451</v>
      </c>
      <c r="V727" s="354">
        <f t="shared" si="729"/>
        <v>0.21503780089900004</v>
      </c>
      <c r="W727" s="354">
        <f t="shared" si="730"/>
        <v>7.3353847655587483</v>
      </c>
      <c r="X727" s="354">
        <f t="shared" si="731"/>
        <v>0.57318843392019725</v>
      </c>
      <c r="Y727" s="374">
        <f t="shared" si="732"/>
        <v>1.1909089494929135</v>
      </c>
      <c r="Z727" s="354">
        <f t="shared" si="733"/>
        <v>0.61434232224250607</v>
      </c>
      <c r="AA727" s="354">
        <f t="shared" si="734"/>
        <v>0.57656662725040742</v>
      </c>
      <c r="AB727" s="374">
        <f t="shared" si="735"/>
        <v>6.5064069782876404</v>
      </c>
      <c r="AC727" s="354">
        <f t="shared" si="736"/>
        <v>1.8464700146820439</v>
      </c>
      <c r="AD727" s="354">
        <f t="shared" si="737"/>
        <v>4.019355060851546</v>
      </c>
      <c r="AE727" s="354">
        <f t="shared" si="738"/>
        <v>0.64058190275405047</v>
      </c>
      <c r="AF727" s="374">
        <f t="shared" si="739"/>
        <v>5.2073977381414709</v>
      </c>
      <c r="AG727" s="354">
        <f t="shared" si="740"/>
        <v>0.33466227976342577</v>
      </c>
      <c r="AH727" s="354">
        <f t="shared" si="741"/>
        <v>1.683820464683806</v>
      </c>
      <c r="AI727" s="354">
        <f t="shared" si="742"/>
        <v>0</v>
      </c>
      <c r="AJ727" s="354">
        <f t="shared" si="743"/>
        <v>3.1889149936942398</v>
      </c>
      <c r="AK727" s="374">
        <f t="shared" si="744"/>
        <v>3.4394499665850145</v>
      </c>
      <c r="AL727" s="354">
        <f t="shared" si="745"/>
        <v>0.98542524650823604</v>
      </c>
      <c r="AM727" s="354">
        <f t="shared" si="746"/>
        <v>2.3241868868072557</v>
      </c>
      <c r="AN727" s="354">
        <f t="shared" si="747"/>
        <v>0.12983783326952258</v>
      </c>
      <c r="AO727" s="374">
        <f t="shared" si="748"/>
        <v>1.9943484883910001</v>
      </c>
      <c r="AP727" s="354">
        <f t="shared" si="749"/>
        <v>0.45732508568217178</v>
      </c>
      <c r="AQ727" s="354">
        <f t="shared" si="750"/>
        <v>1.5370234027088283</v>
      </c>
      <c r="AR727" s="374">
        <f t="shared" si="751"/>
        <v>3.6382723183918517</v>
      </c>
      <c r="AS727" s="354">
        <f t="shared" si="752"/>
        <v>1.5765869081023454</v>
      </c>
      <c r="AT727" s="354">
        <f t="shared" si="753"/>
        <v>2.0616854102895066</v>
      </c>
      <c r="AU727" s="355" t="s">
        <v>396</v>
      </c>
      <c r="AV727" s="354" t="s">
        <v>345</v>
      </c>
      <c r="AW727" s="377">
        <v>0</v>
      </c>
      <c r="AX727" s="377">
        <v>0</v>
      </c>
      <c r="AY727" s="377">
        <v>0</v>
      </c>
      <c r="AZ727" s="377">
        <v>0</v>
      </c>
      <c r="BA727" s="377">
        <v>0</v>
      </c>
      <c r="BB727" s="377">
        <v>0</v>
      </c>
    </row>
    <row r="728" spans="1:54" x14ac:dyDescent="0.25">
      <c r="A728" s="348" t="s">
        <v>1652</v>
      </c>
      <c r="B728" s="379">
        <v>88</v>
      </c>
      <c r="C728" s="423">
        <v>45200</v>
      </c>
      <c r="D728" s="427" t="s">
        <v>1653</v>
      </c>
      <c r="E728" s="352">
        <v>6176</v>
      </c>
      <c r="F728" s="352">
        <v>6</v>
      </c>
      <c r="G728" s="428" t="s">
        <v>328</v>
      </c>
      <c r="H728" s="350" t="s">
        <v>1108</v>
      </c>
      <c r="I728" s="350" t="s">
        <v>393</v>
      </c>
      <c r="J728" s="556">
        <v>27000</v>
      </c>
      <c r="K728" s="353" t="s">
        <v>394</v>
      </c>
      <c r="L728" s="353">
        <v>2801.6</v>
      </c>
      <c r="M728" s="560">
        <f t="shared" si="722"/>
        <v>9.637350085665334</v>
      </c>
      <c r="N728" s="354" t="s">
        <v>395</v>
      </c>
      <c r="O728" s="354">
        <v>0</v>
      </c>
      <c r="P728" s="374">
        <f t="shared" si="723"/>
        <v>0.607231453764983</v>
      </c>
      <c r="Q728" s="354">
        <f t="shared" si="724"/>
        <v>5.7271189538541385E-2</v>
      </c>
      <c r="R728" s="354">
        <f t="shared" si="725"/>
        <v>9.6542568367378734E-2</v>
      </c>
      <c r="S728" s="354">
        <f t="shared" si="726"/>
        <v>8.5998827184289472E-2</v>
      </c>
      <c r="T728" s="354">
        <f t="shared" si="727"/>
        <v>0.36698985230211117</v>
      </c>
      <c r="U728" s="374">
        <f t="shared" si="728"/>
        <v>2.4370833001133838</v>
      </c>
      <c r="V728" s="354">
        <f t="shared" si="729"/>
        <v>6.4511340269700013E-2</v>
      </c>
      <c r="W728" s="354">
        <f t="shared" si="730"/>
        <v>2.2006154296676246</v>
      </c>
      <c r="X728" s="354">
        <f t="shared" si="731"/>
        <v>0.17195653017605919</v>
      </c>
      <c r="Y728" s="374">
        <f t="shared" si="732"/>
        <v>0.35727268484787406</v>
      </c>
      <c r="Z728" s="354">
        <f t="shared" si="733"/>
        <v>0.18430269667275181</v>
      </c>
      <c r="AA728" s="354">
        <f t="shared" si="734"/>
        <v>0.17296998817512221</v>
      </c>
      <c r="AB728" s="374">
        <f t="shared" si="735"/>
        <v>1.951922093486292</v>
      </c>
      <c r="AC728" s="354">
        <f t="shared" si="736"/>
        <v>0.55394100440461314</v>
      </c>
      <c r="AD728" s="354">
        <f t="shared" si="737"/>
        <v>1.2058065182554636</v>
      </c>
      <c r="AE728" s="354">
        <f t="shared" si="738"/>
        <v>0.19217457082621514</v>
      </c>
      <c r="AF728" s="374">
        <f t="shared" si="739"/>
        <v>1.5622193214424411</v>
      </c>
      <c r="AG728" s="354">
        <f t="shared" si="740"/>
        <v>0.10039868392902772</v>
      </c>
      <c r="AH728" s="354">
        <f t="shared" si="741"/>
        <v>0.50514613940514175</v>
      </c>
      <c r="AI728" s="354">
        <f t="shared" si="742"/>
        <v>0</v>
      </c>
      <c r="AJ728" s="354">
        <f t="shared" si="743"/>
        <v>0.95667449810827176</v>
      </c>
      <c r="AK728" s="374">
        <f t="shared" si="744"/>
        <v>1.0318349899755044</v>
      </c>
      <c r="AL728" s="354">
        <f t="shared" si="745"/>
        <v>0.29562757395247086</v>
      </c>
      <c r="AM728" s="354">
        <f t="shared" si="746"/>
        <v>0.69725606604217683</v>
      </c>
      <c r="AN728" s="354">
        <f t="shared" si="747"/>
        <v>3.8951349980856781E-2</v>
      </c>
      <c r="AO728" s="374">
        <f t="shared" si="748"/>
        <v>0.59830454651730003</v>
      </c>
      <c r="AP728" s="354">
        <f t="shared" si="749"/>
        <v>0.13719752570465152</v>
      </c>
      <c r="AQ728" s="354">
        <f t="shared" si="750"/>
        <v>0.46110702081264854</v>
      </c>
      <c r="AR728" s="374">
        <f t="shared" si="751"/>
        <v>1.0914816955175555</v>
      </c>
      <c r="AS728" s="354">
        <f t="shared" si="752"/>
        <v>0.47297607243070361</v>
      </c>
      <c r="AT728" s="354">
        <f t="shared" si="753"/>
        <v>0.61850562308685197</v>
      </c>
      <c r="AU728" s="355" t="s">
        <v>396</v>
      </c>
      <c r="AV728" s="354" t="s">
        <v>345</v>
      </c>
      <c r="AW728" s="377">
        <v>0</v>
      </c>
      <c r="AX728" s="377">
        <v>0</v>
      </c>
      <c r="AY728" s="377">
        <v>0</v>
      </c>
      <c r="AZ728" s="377">
        <v>0</v>
      </c>
      <c r="BA728" s="377">
        <v>0</v>
      </c>
      <c r="BB728" s="377">
        <v>0</v>
      </c>
    </row>
    <row r="729" spans="1:54" x14ac:dyDescent="0.25">
      <c r="A729" s="348" t="s">
        <v>1654</v>
      </c>
      <c r="B729" s="379">
        <v>89</v>
      </c>
      <c r="C729" s="423">
        <v>45200</v>
      </c>
      <c r="D729" s="427" t="s">
        <v>1653</v>
      </c>
      <c r="E729" s="352">
        <v>6176</v>
      </c>
      <c r="F729" s="352">
        <v>6</v>
      </c>
      <c r="G729" s="428" t="s">
        <v>1075</v>
      </c>
      <c r="H729" s="350" t="s">
        <v>1076</v>
      </c>
      <c r="I729" s="350" t="s">
        <v>393</v>
      </c>
      <c r="J729" s="556">
        <v>230000</v>
      </c>
      <c r="K729" s="353" t="s">
        <v>394</v>
      </c>
      <c r="L729" s="353">
        <v>2801.6</v>
      </c>
      <c r="M729" s="560">
        <f t="shared" si="722"/>
        <v>82.095945174186184</v>
      </c>
      <c r="N729" s="354" t="s">
        <v>395</v>
      </c>
      <c r="O729" s="354">
        <v>0</v>
      </c>
      <c r="P729" s="374">
        <f t="shared" si="723"/>
        <v>5.1727123839239297</v>
      </c>
      <c r="Q729" s="354">
        <f t="shared" si="724"/>
        <v>0.48786568866164887</v>
      </c>
      <c r="R729" s="354">
        <f t="shared" si="725"/>
        <v>0.82239965646285595</v>
      </c>
      <c r="S729" s="354">
        <f t="shared" si="726"/>
        <v>0.73258260194024372</v>
      </c>
      <c r="T729" s="354">
        <f t="shared" si="727"/>
        <v>3.1262098529439104</v>
      </c>
      <c r="U729" s="374">
        <f t="shared" si="728"/>
        <v>20.760339223188083</v>
      </c>
      <c r="V729" s="354">
        <f t="shared" si="729"/>
        <v>0.54954104674188897</v>
      </c>
      <c r="W729" s="354">
        <f t="shared" si="730"/>
        <v>18.745983289761245</v>
      </c>
      <c r="X729" s="354">
        <f t="shared" si="731"/>
        <v>1.4648148866849486</v>
      </c>
      <c r="Y729" s="374">
        <f t="shared" si="732"/>
        <v>3.0434339820374459</v>
      </c>
      <c r="Z729" s="354">
        <f t="shared" si="733"/>
        <v>1.5699859346197378</v>
      </c>
      <c r="AA729" s="354">
        <f t="shared" si="734"/>
        <v>1.4734480474177079</v>
      </c>
      <c r="AB729" s="374">
        <f t="shared" si="735"/>
        <v>16.627484500068412</v>
      </c>
      <c r="AC729" s="354">
        <f t="shared" si="736"/>
        <v>4.7187567041874452</v>
      </c>
      <c r="AD729" s="354">
        <f t="shared" si="737"/>
        <v>10.271685155509505</v>
      </c>
      <c r="AE729" s="354">
        <f t="shared" si="738"/>
        <v>1.6370426403714622</v>
      </c>
      <c r="AF729" s="374">
        <f t="shared" si="739"/>
        <v>13.30779421969487</v>
      </c>
      <c r="AG729" s="354">
        <f t="shared" si="740"/>
        <v>0.85524804828431022</v>
      </c>
      <c r="AH729" s="354">
        <f t="shared" si="741"/>
        <v>4.3030967430808369</v>
      </c>
      <c r="AI729" s="354">
        <f t="shared" si="742"/>
        <v>0</v>
      </c>
      <c r="AJ729" s="354">
        <f t="shared" si="743"/>
        <v>8.1494494283297225</v>
      </c>
      <c r="AK729" s="374">
        <f t="shared" si="744"/>
        <v>8.789705470161703</v>
      </c>
      <c r="AL729" s="354">
        <f t="shared" si="745"/>
        <v>2.5183089632988254</v>
      </c>
      <c r="AM729" s="354">
        <f t="shared" si="746"/>
        <v>5.9395887107296534</v>
      </c>
      <c r="AN729" s="354">
        <f t="shared" si="747"/>
        <v>0.33180779613322442</v>
      </c>
      <c r="AO729" s="374">
        <f t="shared" si="748"/>
        <v>5.0966683592214448</v>
      </c>
      <c r="AP729" s="354">
        <f t="shared" si="749"/>
        <v>1.1687196634099946</v>
      </c>
      <c r="AQ729" s="354">
        <f t="shared" si="750"/>
        <v>3.9279486958114505</v>
      </c>
      <c r="AR729" s="374">
        <f t="shared" si="751"/>
        <v>9.2978070358902887</v>
      </c>
      <c r="AS729" s="354">
        <f t="shared" si="752"/>
        <v>4.0290554318171052</v>
      </c>
      <c r="AT729" s="354">
        <f t="shared" si="753"/>
        <v>5.2687516040731843</v>
      </c>
      <c r="AU729" s="355" t="s">
        <v>396</v>
      </c>
      <c r="AV729" s="354" t="s">
        <v>345</v>
      </c>
      <c r="AW729" s="377">
        <v>0</v>
      </c>
      <c r="AX729" s="377">
        <v>0</v>
      </c>
      <c r="AY729" s="377">
        <v>0</v>
      </c>
      <c r="AZ729" s="377">
        <v>0</v>
      </c>
      <c r="BA729" s="377">
        <v>0</v>
      </c>
      <c r="BB729" s="377">
        <v>0</v>
      </c>
    </row>
    <row r="730" spans="1:54" x14ac:dyDescent="0.25">
      <c r="A730" s="348" t="s">
        <v>1655</v>
      </c>
      <c r="B730" s="379">
        <v>90</v>
      </c>
      <c r="C730" s="423">
        <v>45200</v>
      </c>
      <c r="D730" s="427" t="s">
        <v>1653</v>
      </c>
      <c r="E730" s="352">
        <v>6176</v>
      </c>
      <c r="F730" s="352">
        <v>6</v>
      </c>
      <c r="G730" s="428" t="s">
        <v>325</v>
      </c>
      <c r="H730" s="350" t="s">
        <v>326</v>
      </c>
      <c r="I730" s="350" t="s">
        <v>393</v>
      </c>
      <c r="J730" s="556">
        <v>98000</v>
      </c>
      <c r="K730" s="353" t="s">
        <v>394</v>
      </c>
      <c r="L730" s="353">
        <v>2801.6</v>
      </c>
      <c r="M730" s="560">
        <f t="shared" si="722"/>
        <v>34.980011422044548</v>
      </c>
      <c r="N730" s="354" t="s">
        <v>395</v>
      </c>
      <c r="O730" s="354">
        <v>0</v>
      </c>
      <c r="P730" s="374">
        <f t="shared" si="723"/>
        <v>2.2040252766284572</v>
      </c>
      <c r="Q730" s="354">
        <f t="shared" si="724"/>
        <v>0.20787320647322433</v>
      </c>
      <c r="R730" s="354">
        <f t="shared" si="725"/>
        <v>0.35041376666678209</v>
      </c>
      <c r="S730" s="354">
        <f t="shared" si="726"/>
        <v>0.31214389126149517</v>
      </c>
      <c r="T730" s="354">
        <f t="shared" si="727"/>
        <v>1.3320372416891446</v>
      </c>
      <c r="U730" s="374">
        <f t="shared" si="728"/>
        <v>8.8457097559670963</v>
      </c>
      <c r="V730" s="354">
        <f t="shared" si="729"/>
        <v>0.23415227209002226</v>
      </c>
      <c r="W730" s="354">
        <f t="shared" si="730"/>
        <v>7.9874189669417488</v>
      </c>
      <c r="X730" s="354">
        <f t="shared" si="731"/>
        <v>0.62413851693532596</v>
      </c>
      <c r="Y730" s="374">
        <f t="shared" si="732"/>
        <v>1.2967675227811726</v>
      </c>
      <c r="Z730" s="354">
        <f t="shared" si="733"/>
        <v>0.66895052866406224</v>
      </c>
      <c r="AA730" s="354">
        <f t="shared" si="734"/>
        <v>0.62781699411711034</v>
      </c>
      <c r="AB730" s="374">
        <f t="shared" si="735"/>
        <v>7.0847542652465414</v>
      </c>
      <c r="AC730" s="354">
        <f t="shared" si="736"/>
        <v>2.0106006826537812</v>
      </c>
      <c r="AD730" s="354">
        <f t="shared" si="737"/>
        <v>4.3766310662605719</v>
      </c>
      <c r="AE730" s="354">
        <f t="shared" si="738"/>
        <v>0.69752251633218831</v>
      </c>
      <c r="AF730" s="374">
        <f t="shared" si="739"/>
        <v>5.6702775370873795</v>
      </c>
      <c r="AG730" s="354">
        <f t="shared" si="740"/>
        <v>0.36441003796461918</v>
      </c>
      <c r="AH730" s="354">
        <f t="shared" si="741"/>
        <v>1.833493394877922</v>
      </c>
      <c r="AI730" s="354">
        <f t="shared" si="742"/>
        <v>0</v>
      </c>
      <c r="AJ730" s="354">
        <f t="shared" si="743"/>
        <v>3.4723741042448388</v>
      </c>
      <c r="AK730" s="374">
        <f t="shared" si="744"/>
        <v>3.7451788525036824</v>
      </c>
      <c r="AL730" s="354">
        <f t="shared" si="745"/>
        <v>1.0730186017534127</v>
      </c>
      <c r="AM730" s="354">
        <f t="shared" si="746"/>
        <v>2.5307812767456785</v>
      </c>
      <c r="AN730" s="354">
        <f t="shared" si="747"/>
        <v>0.14137897400459126</v>
      </c>
      <c r="AO730" s="374">
        <f t="shared" si="748"/>
        <v>2.1716239095813115</v>
      </c>
      <c r="AP730" s="354">
        <f t="shared" si="749"/>
        <v>0.49797620440947599</v>
      </c>
      <c r="AQ730" s="354">
        <f t="shared" si="750"/>
        <v>1.6736477051718355</v>
      </c>
      <c r="AR730" s="374">
        <f t="shared" si="751"/>
        <v>3.9616743022489054</v>
      </c>
      <c r="AS730" s="354">
        <f t="shared" si="752"/>
        <v>1.7167279666003317</v>
      </c>
      <c r="AT730" s="354">
        <f t="shared" si="753"/>
        <v>2.2449463356485739</v>
      </c>
      <c r="AU730" s="355" t="s">
        <v>396</v>
      </c>
      <c r="AV730" s="354" t="s">
        <v>345</v>
      </c>
      <c r="AW730" s="377">
        <v>0</v>
      </c>
      <c r="AX730" s="377">
        <v>0</v>
      </c>
      <c r="AY730" s="377">
        <v>0</v>
      </c>
      <c r="AZ730" s="377">
        <v>0</v>
      </c>
      <c r="BA730" s="377">
        <v>0</v>
      </c>
      <c r="BB730" s="377">
        <v>0</v>
      </c>
    </row>
    <row r="731" spans="1:54" x14ac:dyDescent="0.25">
      <c r="A731" s="348" t="s">
        <v>1656</v>
      </c>
      <c r="B731" s="379">
        <v>91</v>
      </c>
      <c r="C731" s="423">
        <v>45200</v>
      </c>
      <c r="D731" s="427" t="s">
        <v>1657</v>
      </c>
      <c r="E731" s="352">
        <v>421</v>
      </c>
      <c r="F731" s="352">
        <v>6</v>
      </c>
      <c r="G731" s="428" t="s">
        <v>300</v>
      </c>
      <c r="H731" s="353" t="s">
        <v>1768</v>
      </c>
      <c r="I731" s="350" t="s">
        <v>393</v>
      </c>
      <c r="J731" s="556">
        <v>295714</v>
      </c>
      <c r="K731" s="353" t="s">
        <v>394</v>
      </c>
      <c r="L731" s="353">
        <v>2801.6</v>
      </c>
      <c r="M731" s="560">
        <f t="shared" si="722"/>
        <v>105.55182752712736</v>
      </c>
      <c r="N731" s="354" t="s">
        <v>395</v>
      </c>
      <c r="O731" s="354">
        <v>0</v>
      </c>
      <c r="P731" s="374">
        <f t="shared" si="723"/>
        <v>6.6506237821725254</v>
      </c>
      <c r="Q731" s="354">
        <f t="shared" si="724"/>
        <v>0.62725527937778625</v>
      </c>
      <c r="R731" s="354">
        <f t="shared" si="725"/>
        <v>1.0573699652663346</v>
      </c>
      <c r="S731" s="354">
        <f t="shared" si="726"/>
        <v>0.94189100673981396</v>
      </c>
      <c r="T731" s="354">
        <f t="shared" si="727"/>
        <v>4.0194087845802411</v>
      </c>
      <c r="U731" s="374">
        <f t="shared" si="728"/>
        <v>26.691838926286266</v>
      </c>
      <c r="V731" s="354">
        <f t="shared" si="729"/>
        <v>0.70655209172274336</v>
      </c>
      <c r="W731" s="354">
        <f t="shared" si="730"/>
        <v>24.101955228471557</v>
      </c>
      <c r="X731" s="354">
        <f t="shared" si="731"/>
        <v>1.8833316060919694</v>
      </c>
      <c r="Y731" s="374">
        <f t="shared" si="732"/>
        <v>3.9129827676705271</v>
      </c>
      <c r="Z731" s="354">
        <f t="shared" si="733"/>
        <v>2.0185513942180049</v>
      </c>
      <c r="AA731" s="354">
        <f t="shared" si="734"/>
        <v>1.894431373452522</v>
      </c>
      <c r="AB731" s="374">
        <f t="shared" si="735"/>
        <v>21.378173701970567</v>
      </c>
      <c r="AC731" s="354">
        <f t="shared" si="736"/>
        <v>6.0669670435742873</v>
      </c>
      <c r="AD731" s="354">
        <f t="shared" si="737"/>
        <v>13.206439582940598</v>
      </c>
      <c r="AE731" s="354">
        <f t="shared" si="738"/>
        <v>2.1047670754556806</v>
      </c>
      <c r="AF731" s="374">
        <f t="shared" si="739"/>
        <v>17.110004608186298</v>
      </c>
      <c r="AG731" s="354">
        <f t="shared" si="740"/>
        <v>1.0996035710884631</v>
      </c>
      <c r="AH731" s="354">
        <f t="shared" si="741"/>
        <v>5.532547609927855</v>
      </c>
      <c r="AI731" s="354">
        <f t="shared" si="742"/>
        <v>0</v>
      </c>
      <c r="AJ731" s="354">
        <f t="shared" si="743"/>
        <v>10.477853427169981</v>
      </c>
      <c r="AK731" s="374">
        <f t="shared" si="744"/>
        <v>11.301038971319121</v>
      </c>
      <c r="AL731" s="354">
        <f t="shared" si="745"/>
        <v>3.2378226816215165</v>
      </c>
      <c r="AM731" s="354">
        <f t="shared" si="746"/>
        <v>7.6366066782813427</v>
      </c>
      <c r="AN731" s="354">
        <f t="shared" si="747"/>
        <v>0.42660961141626225</v>
      </c>
      <c r="AO731" s="374">
        <f t="shared" si="748"/>
        <v>6.5528529877339583</v>
      </c>
      <c r="AP731" s="354">
        <f t="shared" si="749"/>
        <v>1.5026381154157529</v>
      </c>
      <c r="AQ731" s="354">
        <f t="shared" si="750"/>
        <v>5.0502148723182057</v>
      </c>
      <c r="AR731" s="374">
        <f t="shared" si="751"/>
        <v>11.954311781788089</v>
      </c>
      <c r="AS731" s="354">
        <f t="shared" si="752"/>
        <v>5.1802091215841886</v>
      </c>
      <c r="AT731" s="354">
        <f t="shared" si="753"/>
        <v>6.7741026602039014</v>
      </c>
      <c r="AU731" s="355" t="s">
        <v>396</v>
      </c>
      <c r="AV731" s="354" t="s">
        <v>345</v>
      </c>
      <c r="AW731" s="377">
        <v>0</v>
      </c>
      <c r="AX731" s="377">
        <v>0</v>
      </c>
      <c r="AY731" s="377">
        <v>0</v>
      </c>
      <c r="AZ731" s="377">
        <v>0</v>
      </c>
      <c r="BA731" s="377">
        <v>0</v>
      </c>
      <c r="BB731" s="377">
        <v>0</v>
      </c>
    </row>
    <row r="732" spans="1:54" x14ac:dyDescent="0.25">
      <c r="A732" s="348" t="s">
        <v>1656</v>
      </c>
      <c r="B732" s="379">
        <v>91</v>
      </c>
      <c r="C732" s="423">
        <v>45200</v>
      </c>
      <c r="D732" s="427" t="s">
        <v>1657</v>
      </c>
      <c r="E732" s="352">
        <v>421</v>
      </c>
      <c r="F732" s="352">
        <v>6</v>
      </c>
      <c r="G732" s="428" t="s">
        <v>301</v>
      </c>
      <c r="H732" s="353" t="s">
        <v>1769</v>
      </c>
      <c r="I732" s="350" t="s">
        <v>393</v>
      </c>
      <c r="J732" s="556">
        <v>1265383</v>
      </c>
      <c r="K732" s="353" t="s">
        <v>394</v>
      </c>
      <c r="L732" s="353">
        <v>2801.6</v>
      </c>
      <c r="M732" s="560">
        <f t="shared" si="722"/>
        <v>451.66440605368365</v>
      </c>
      <c r="N732" s="354" t="s">
        <v>395</v>
      </c>
      <c r="O732" s="354">
        <v>0</v>
      </c>
      <c r="P732" s="374">
        <f t="shared" si="723"/>
        <v>28.458531802203542</v>
      </c>
      <c r="Q732" s="354">
        <f t="shared" si="724"/>
        <v>2.6840736900684492</v>
      </c>
      <c r="R732" s="354">
        <f t="shared" si="725"/>
        <v>4.5245675847562525</v>
      </c>
      <c r="S732" s="354">
        <f t="shared" si="726"/>
        <v>4.0304242199606586</v>
      </c>
      <c r="T732" s="354">
        <f t="shared" si="727"/>
        <v>17.199360010207499</v>
      </c>
      <c r="U732" s="374">
        <f t="shared" si="728"/>
        <v>114.21643620545829</v>
      </c>
      <c r="V732" s="354">
        <f t="shared" si="729"/>
        <v>3.0233908623886596</v>
      </c>
      <c r="W732" s="354">
        <f t="shared" si="730"/>
        <v>103.13412423107808</v>
      </c>
      <c r="X732" s="354">
        <f t="shared" si="731"/>
        <v>8.0589211119915678</v>
      </c>
      <c r="Y732" s="374">
        <f t="shared" si="732"/>
        <v>16.743954880402129</v>
      </c>
      <c r="Z732" s="354">
        <f t="shared" si="733"/>
        <v>8.637537008290991</v>
      </c>
      <c r="AA732" s="354">
        <f t="shared" si="734"/>
        <v>8.1064178721111375</v>
      </c>
      <c r="AB732" s="374">
        <f t="shared" si="735"/>
        <v>91.478853126739438</v>
      </c>
      <c r="AC732" s="354">
        <f t="shared" si="736"/>
        <v>25.961019628760098</v>
      </c>
      <c r="AD732" s="354">
        <f t="shared" si="737"/>
        <v>56.511372944061243</v>
      </c>
      <c r="AE732" s="354">
        <f t="shared" si="738"/>
        <v>9.006460553918096</v>
      </c>
      <c r="AF732" s="374">
        <f t="shared" si="739"/>
        <v>73.21502857869632</v>
      </c>
      <c r="AG732" s="354">
        <f t="shared" si="740"/>
        <v>4.7052884394875889</v>
      </c>
      <c r="AH732" s="354">
        <f t="shared" si="741"/>
        <v>23.674197678477647</v>
      </c>
      <c r="AI732" s="354">
        <f t="shared" si="742"/>
        <v>0</v>
      </c>
      <c r="AJ732" s="354">
        <f t="shared" si="743"/>
        <v>44.835542460731091</v>
      </c>
      <c r="AK732" s="374">
        <f t="shared" si="744"/>
        <v>48.358016856302726</v>
      </c>
      <c r="AL732" s="354">
        <f t="shared" si="745"/>
        <v>13.854892830025904</v>
      </c>
      <c r="AM732" s="354">
        <f t="shared" si="746"/>
        <v>32.677628615431395</v>
      </c>
      <c r="AN732" s="354">
        <f t="shared" si="747"/>
        <v>1.8254954108454258</v>
      </c>
      <c r="AO732" s="374">
        <f t="shared" si="748"/>
        <v>28.040163036507433</v>
      </c>
      <c r="AP732" s="354">
        <f t="shared" si="749"/>
        <v>6.4299043210640399</v>
      </c>
      <c r="AQ732" s="354">
        <f t="shared" si="750"/>
        <v>21.610258715443393</v>
      </c>
      <c r="AR732" s="374">
        <f t="shared" si="751"/>
        <v>51.153421567373748</v>
      </c>
      <c r="AS732" s="354">
        <f t="shared" si="752"/>
        <v>22.166514128169673</v>
      </c>
      <c r="AT732" s="354">
        <f t="shared" si="753"/>
        <v>28.986907439204078</v>
      </c>
      <c r="AU732" s="355" t="s">
        <v>396</v>
      </c>
      <c r="AV732" s="354" t="s">
        <v>345</v>
      </c>
      <c r="AW732" s="377">
        <v>0</v>
      </c>
      <c r="AX732" s="377">
        <v>0</v>
      </c>
      <c r="AY732" s="377">
        <v>0</v>
      </c>
      <c r="AZ732" s="377">
        <v>0</v>
      </c>
      <c r="BA732" s="377">
        <v>0</v>
      </c>
      <c r="BB732" s="377">
        <v>0</v>
      </c>
    </row>
    <row r="733" spans="1:54" x14ac:dyDescent="0.25">
      <c r="A733" s="348" t="s">
        <v>1656</v>
      </c>
      <c r="B733" s="379">
        <v>91</v>
      </c>
      <c r="C733" s="423">
        <v>45200</v>
      </c>
      <c r="D733" s="427" t="s">
        <v>1657</v>
      </c>
      <c r="E733" s="352">
        <v>421</v>
      </c>
      <c r="F733" s="352">
        <v>6</v>
      </c>
      <c r="G733" s="428" t="s">
        <v>302</v>
      </c>
      <c r="H733" s="353" t="s">
        <v>1668</v>
      </c>
      <c r="I733" s="350" t="s">
        <v>393</v>
      </c>
      <c r="J733" s="556">
        <v>295714</v>
      </c>
      <c r="K733" s="353" t="s">
        <v>394</v>
      </c>
      <c r="L733" s="353">
        <v>2801.6</v>
      </c>
      <c r="M733" s="560">
        <f t="shared" si="722"/>
        <v>105.55182752712736</v>
      </c>
      <c r="N733" s="354" t="s">
        <v>395</v>
      </c>
      <c r="O733" s="354">
        <v>0</v>
      </c>
      <c r="P733" s="374">
        <f t="shared" si="723"/>
        <v>6.6506237821725254</v>
      </c>
      <c r="Q733" s="354">
        <f t="shared" si="724"/>
        <v>0.62725527937778625</v>
      </c>
      <c r="R733" s="354">
        <f t="shared" si="725"/>
        <v>1.0573699652663346</v>
      </c>
      <c r="S733" s="354">
        <f t="shared" si="726"/>
        <v>0.94189100673981396</v>
      </c>
      <c r="T733" s="354">
        <f t="shared" si="727"/>
        <v>4.0194087845802411</v>
      </c>
      <c r="U733" s="374">
        <f t="shared" si="728"/>
        <v>26.691838926286266</v>
      </c>
      <c r="V733" s="354">
        <f t="shared" si="729"/>
        <v>0.70655209172274336</v>
      </c>
      <c r="W733" s="354">
        <f t="shared" si="730"/>
        <v>24.101955228471557</v>
      </c>
      <c r="X733" s="354">
        <f t="shared" si="731"/>
        <v>1.8833316060919694</v>
      </c>
      <c r="Y733" s="374">
        <f t="shared" si="732"/>
        <v>3.9129827676705271</v>
      </c>
      <c r="Z733" s="354">
        <f t="shared" si="733"/>
        <v>2.0185513942180049</v>
      </c>
      <c r="AA733" s="354">
        <f t="shared" si="734"/>
        <v>1.894431373452522</v>
      </c>
      <c r="AB733" s="374">
        <f t="shared" si="735"/>
        <v>21.378173701970567</v>
      </c>
      <c r="AC733" s="354">
        <f t="shared" si="736"/>
        <v>6.0669670435742873</v>
      </c>
      <c r="AD733" s="354">
        <f t="shared" si="737"/>
        <v>13.206439582940598</v>
      </c>
      <c r="AE733" s="354">
        <f t="shared" si="738"/>
        <v>2.1047670754556806</v>
      </c>
      <c r="AF733" s="374">
        <f t="shared" si="739"/>
        <v>17.110004608186298</v>
      </c>
      <c r="AG733" s="354">
        <f t="shared" si="740"/>
        <v>1.0996035710884631</v>
      </c>
      <c r="AH733" s="354">
        <f t="shared" si="741"/>
        <v>5.532547609927855</v>
      </c>
      <c r="AI733" s="354">
        <f t="shared" si="742"/>
        <v>0</v>
      </c>
      <c r="AJ733" s="354">
        <f t="shared" si="743"/>
        <v>10.477853427169981</v>
      </c>
      <c r="AK733" s="374">
        <f t="shared" si="744"/>
        <v>11.301038971319121</v>
      </c>
      <c r="AL733" s="354">
        <f t="shared" si="745"/>
        <v>3.2378226816215165</v>
      </c>
      <c r="AM733" s="354">
        <f t="shared" si="746"/>
        <v>7.6366066782813427</v>
      </c>
      <c r="AN733" s="354">
        <f t="shared" si="747"/>
        <v>0.42660961141626225</v>
      </c>
      <c r="AO733" s="374">
        <f t="shared" si="748"/>
        <v>6.5528529877339583</v>
      </c>
      <c r="AP733" s="354">
        <f t="shared" si="749"/>
        <v>1.5026381154157529</v>
      </c>
      <c r="AQ733" s="354">
        <f t="shared" si="750"/>
        <v>5.0502148723182057</v>
      </c>
      <c r="AR733" s="374">
        <f t="shared" si="751"/>
        <v>11.954311781788089</v>
      </c>
      <c r="AS733" s="354">
        <f t="shared" si="752"/>
        <v>5.1802091215841886</v>
      </c>
      <c r="AT733" s="354">
        <f t="shared" si="753"/>
        <v>6.7741026602039014</v>
      </c>
      <c r="AU733" s="355" t="s">
        <v>396</v>
      </c>
      <c r="AV733" s="354" t="s">
        <v>345</v>
      </c>
      <c r="AW733" s="377">
        <v>0</v>
      </c>
      <c r="AX733" s="377">
        <v>0</v>
      </c>
      <c r="AY733" s="377">
        <v>0</v>
      </c>
      <c r="AZ733" s="377">
        <v>0</v>
      </c>
      <c r="BA733" s="377">
        <v>0</v>
      </c>
      <c r="BB733" s="377">
        <v>0</v>
      </c>
    </row>
    <row r="734" spans="1:54" x14ac:dyDescent="0.25">
      <c r="A734" s="348" t="s">
        <v>1658</v>
      </c>
      <c r="B734" s="379">
        <v>91</v>
      </c>
      <c r="C734" s="423">
        <v>45200</v>
      </c>
      <c r="D734" s="427" t="s">
        <v>1657</v>
      </c>
      <c r="E734" s="352">
        <v>421</v>
      </c>
      <c r="F734" s="352">
        <v>6</v>
      </c>
      <c r="G734" s="428" t="s">
        <v>303</v>
      </c>
      <c r="H734" s="350" t="s">
        <v>1669</v>
      </c>
      <c r="I734" s="350" t="s">
        <v>393</v>
      </c>
      <c r="J734" s="556">
        <v>70816</v>
      </c>
      <c r="K734" s="353" t="s">
        <v>394</v>
      </c>
      <c r="L734" s="353">
        <v>2801.6</v>
      </c>
      <c r="M734" s="560">
        <f t="shared" si="722"/>
        <v>25.276984580239862</v>
      </c>
      <c r="N734" s="354" t="s">
        <v>395</v>
      </c>
      <c r="O734" s="354">
        <v>0</v>
      </c>
      <c r="P734" s="374">
        <f t="shared" si="723"/>
        <v>1.5926556529563347</v>
      </c>
      <c r="Q734" s="354">
        <f t="shared" si="724"/>
        <v>0.15021172438375358</v>
      </c>
      <c r="R734" s="354">
        <f t="shared" si="725"/>
        <v>0.25321327857423304</v>
      </c>
      <c r="S734" s="354">
        <f t="shared" si="726"/>
        <v>0.22555899799565346</v>
      </c>
      <c r="T734" s="354">
        <f t="shared" si="727"/>
        <v>0.96254642150467806</v>
      </c>
      <c r="U734" s="374">
        <f t="shared" si="728"/>
        <v>6.3920181844751616</v>
      </c>
      <c r="V734" s="354">
        <f t="shared" si="729"/>
        <v>0.16920129898292874</v>
      </c>
      <c r="W734" s="354">
        <f t="shared" si="730"/>
        <v>5.7718067506423143</v>
      </c>
      <c r="X734" s="354">
        <f t="shared" si="731"/>
        <v>0.45101013484991875</v>
      </c>
      <c r="Y734" s="374">
        <f t="shared" si="732"/>
        <v>0.93706009074766838</v>
      </c>
      <c r="Z734" s="354">
        <f t="shared" si="733"/>
        <v>0.48339184324361451</v>
      </c>
      <c r="AA734" s="354">
        <f t="shared" si="734"/>
        <v>0.45366824750405382</v>
      </c>
      <c r="AB734" s="374">
        <f t="shared" si="735"/>
        <v>5.1195301841601939</v>
      </c>
      <c r="AC734" s="354">
        <f t="shared" si="736"/>
        <v>1.4528846728858178</v>
      </c>
      <c r="AD734" s="354">
        <f t="shared" si="737"/>
        <v>3.1626071998807004</v>
      </c>
      <c r="AE734" s="354">
        <f t="shared" si="738"/>
        <v>0.50403831139367594</v>
      </c>
      <c r="AF734" s="374">
        <f t="shared" si="739"/>
        <v>4.0974119802691815</v>
      </c>
      <c r="AG734" s="354">
        <f t="shared" si="740"/>
        <v>0.26332715559696396</v>
      </c>
      <c r="AH734" s="354">
        <f t="shared" si="741"/>
        <v>1.3249047780783152</v>
      </c>
      <c r="AI734" s="354">
        <f t="shared" si="742"/>
        <v>0</v>
      </c>
      <c r="AJ734" s="354">
        <f t="shared" si="743"/>
        <v>2.5091800465939027</v>
      </c>
      <c r="AK734" s="374">
        <f t="shared" si="744"/>
        <v>2.7063120981520483</v>
      </c>
      <c r="AL734" s="354">
        <f t="shared" si="745"/>
        <v>0.77537638063030256</v>
      </c>
      <c r="AM734" s="354">
        <f t="shared" si="746"/>
        <v>1.8287735397349179</v>
      </c>
      <c r="AN734" s="354">
        <f t="shared" si="747"/>
        <v>0.1021621777868279</v>
      </c>
      <c r="AO734" s="374">
        <f t="shared" si="748"/>
        <v>1.569242028376634</v>
      </c>
      <c r="AP734" s="354">
        <f t="shared" si="749"/>
        <v>0.3598437029740964</v>
      </c>
      <c r="AQ734" s="354">
        <f t="shared" si="750"/>
        <v>1.2093983254025376</v>
      </c>
      <c r="AR734" s="374">
        <f t="shared" si="751"/>
        <v>2.8627543611026374</v>
      </c>
      <c r="AS734" s="354">
        <f t="shared" si="752"/>
        <v>1.2405286498241743</v>
      </c>
      <c r="AT734" s="354">
        <f t="shared" si="753"/>
        <v>1.6222257112784633</v>
      </c>
      <c r="AU734" s="355" t="s">
        <v>396</v>
      </c>
      <c r="AV734" s="354" t="s">
        <v>345</v>
      </c>
      <c r="AW734" s="377">
        <v>0</v>
      </c>
      <c r="AX734" s="377">
        <v>0</v>
      </c>
      <c r="AY734" s="377">
        <v>0</v>
      </c>
      <c r="AZ734" s="377">
        <v>0</v>
      </c>
      <c r="BA734" s="377">
        <v>0</v>
      </c>
      <c r="BB734" s="377">
        <v>0</v>
      </c>
    </row>
    <row r="735" spans="1:54" x14ac:dyDescent="0.25">
      <c r="A735" s="348" t="s">
        <v>1656</v>
      </c>
      <c r="B735" s="379">
        <v>91</v>
      </c>
      <c r="C735" s="423">
        <v>45200</v>
      </c>
      <c r="D735" s="427" t="s">
        <v>1657</v>
      </c>
      <c r="E735" s="352">
        <v>421</v>
      </c>
      <c r="F735" s="352">
        <v>6</v>
      </c>
      <c r="G735" s="428" t="s">
        <v>304</v>
      </c>
      <c r="H735" s="353" t="s">
        <v>1670</v>
      </c>
      <c r="I735" s="350" t="s">
        <v>393</v>
      </c>
      <c r="J735" s="556">
        <v>124808</v>
      </c>
      <c r="K735" s="353" t="s">
        <v>394</v>
      </c>
      <c r="L735" s="353">
        <v>2801.6</v>
      </c>
      <c r="M735" s="560">
        <f t="shared" si="722"/>
        <v>44.548829240434038</v>
      </c>
      <c r="N735" s="354" t="s">
        <v>395</v>
      </c>
      <c r="O735" s="354">
        <v>0</v>
      </c>
      <c r="P735" s="374">
        <f t="shared" si="723"/>
        <v>2.8069386400555558</v>
      </c>
      <c r="Q735" s="354">
        <f t="shared" si="724"/>
        <v>0.26473713421949163</v>
      </c>
      <c r="R735" s="354">
        <f t="shared" si="725"/>
        <v>0.44626981010354838</v>
      </c>
      <c r="S735" s="354">
        <f t="shared" si="726"/>
        <v>0.39753117123025189</v>
      </c>
      <c r="T735" s="354">
        <f t="shared" si="727"/>
        <v>1.6964173883748852</v>
      </c>
      <c r="U735" s="374">
        <f t="shared" si="728"/>
        <v>11.265462685946341</v>
      </c>
      <c r="V735" s="354">
        <f t="shared" si="729"/>
        <v>0.29820486505113775</v>
      </c>
      <c r="W735" s="354">
        <f t="shared" si="730"/>
        <v>10.172385575776183</v>
      </c>
      <c r="X735" s="354">
        <f t="shared" si="731"/>
        <v>0.7948722451190221</v>
      </c>
      <c r="Y735" s="374">
        <f t="shared" si="732"/>
        <v>1.6514996018701282</v>
      </c>
      <c r="Z735" s="354">
        <f t="shared" si="733"/>
        <v>0.85194262838269652</v>
      </c>
      <c r="AA735" s="354">
        <f t="shared" si="734"/>
        <v>0.7995569734874316</v>
      </c>
      <c r="AB735" s="374">
        <f t="shared" si="735"/>
        <v>9.0227960238458191</v>
      </c>
      <c r="AC735" s="354">
        <f t="shared" si="736"/>
        <v>2.5606025510270722</v>
      </c>
      <c r="AD735" s="354">
        <f t="shared" si="737"/>
        <v>5.5738629603862186</v>
      </c>
      <c r="AE735" s="354">
        <f t="shared" si="738"/>
        <v>0.88833051243252803</v>
      </c>
      <c r="AF735" s="374">
        <f t="shared" si="739"/>
        <v>7.2213877433551179</v>
      </c>
      <c r="AG735" s="354">
        <f t="shared" si="740"/>
        <v>0.46409477569681817</v>
      </c>
      <c r="AH735" s="354">
        <f t="shared" si="741"/>
        <v>2.3350473839584045</v>
      </c>
      <c r="AI735" s="354">
        <f t="shared" si="742"/>
        <v>0</v>
      </c>
      <c r="AJ735" s="354">
        <f t="shared" si="743"/>
        <v>4.4222455836998957</v>
      </c>
      <c r="AK735" s="374">
        <f t="shared" si="744"/>
        <v>4.7696763492171383</v>
      </c>
      <c r="AL735" s="354">
        <f t="shared" si="745"/>
        <v>1.3665439351799991</v>
      </c>
      <c r="AM735" s="354">
        <f t="shared" si="746"/>
        <v>3.223079077429333</v>
      </c>
      <c r="AN735" s="354">
        <f t="shared" si="747"/>
        <v>0.1800533366078064</v>
      </c>
      <c r="AO735" s="374">
        <f t="shared" si="748"/>
        <v>2.7656738459900438</v>
      </c>
      <c r="AP735" s="354">
        <f t="shared" si="749"/>
        <v>0.63419810326467219</v>
      </c>
      <c r="AQ735" s="354">
        <f t="shared" si="750"/>
        <v>2.1314757427253719</v>
      </c>
      <c r="AR735" s="374">
        <f t="shared" si="751"/>
        <v>5.0453943501538916</v>
      </c>
      <c r="AS735" s="354">
        <f t="shared" si="752"/>
        <v>2.1863406536270835</v>
      </c>
      <c r="AT735" s="354">
        <f t="shared" si="753"/>
        <v>2.8590536965268081</v>
      </c>
      <c r="AU735" s="355" t="s">
        <v>396</v>
      </c>
      <c r="AV735" s="354" t="s">
        <v>345</v>
      </c>
      <c r="AW735" s="377">
        <v>0</v>
      </c>
      <c r="AX735" s="377">
        <v>0</v>
      </c>
      <c r="AY735" s="377">
        <v>0</v>
      </c>
      <c r="AZ735" s="377">
        <v>0</v>
      </c>
      <c r="BA735" s="377">
        <v>0</v>
      </c>
      <c r="BB735" s="377">
        <v>0</v>
      </c>
    </row>
    <row r="736" spans="1:54" x14ac:dyDescent="0.25">
      <c r="A736" s="348" t="s">
        <v>1658</v>
      </c>
      <c r="B736" s="379">
        <v>91</v>
      </c>
      <c r="C736" s="423">
        <v>45200</v>
      </c>
      <c r="D736" s="427" t="s">
        <v>1657</v>
      </c>
      <c r="E736" s="352">
        <v>421</v>
      </c>
      <c r="F736" s="352">
        <v>6</v>
      </c>
      <c r="G736" s="428" t="s">
        <v>305</v>
      </c>
      <c r="H736" s="353" t="s">
        <v>1671</v>
      </c>
      <c r="I736" s="350" t="s">
        <v>393</v>
      </c>
      <c r="J736" s="556">
        <v>133675</v>
      </c>
      <c r="K736" s="353" t="s">
        <v>394</v>
      </c>
      <c r="L736" s="353">
        <v>2801.6</v>
      </c>
      <c r="M736" s="560">
        <f t="shared" si="722"/>
        <v>47.71380639634495</v>
      </c>
      <c r="N736" s="354" t="s">
        <v>395</v>
      </c>
      <c r="O736" s="354">
        <v>0</v>
      </c>
      <c r="P736" s="374">
        <f t="shared" si="723"/>
        <v>3.0063579474827451</v>
      </c>
      <c r="Q736" s="354">
        <f t="shared" si="724"/>
        <v>0.28354541709498227</v>
      </c>
      <c r="R736" s="354">
        <f t="shared" si="725"/>
        <v>0.47797510468553162</v>
      </c>
      <c r="S736" s="354">
        <f t="shared" si="726"/>
        <v>0.4257738231059221</v>
      </c>
      <c r="T736" s="354">
        <f t="shared" si="727"/>
        <v>1.8169395743142489</v>
      </c>
      <c r="U736" s="374">
        <f t="shared" si="728"/>
        <v>12.065818894172466</v>
      </c>
      <c r="V736" s="354">
        <f t="shared" si="729"/>
        <v>0.31939086705748704</v>
      </c>
      <c r="W736" s="354">
        <f t="shared" si="730"/>
        <v>10.895083983734065</v>
      </c>
      <c r="X736" s="354">
        <f t="shared" si="731"/>
        <v>0.85134404338091529</v>
      </c>
      <c r="Y736" s="374">
        <f t="shared" si="732"/>
        <v>1.7688305980385024</v>
      </c>
      <c r="Z736" s="354">
        <f t="shared" si="733"/>
        <v>0.91246899917518887</v>
      </c>
      <c r="AA736" s="354">
        <f t="shared" si="734"/>
        <v>0.85636159886331342</v>
      </c>
      <c r="AB736" s="374">
        <f t="shared" si="735"/>
        <v>9.663821698028892</v>
      </c>
      <c r="AC736" s="354">
        <f t="shared" si="736"/>
        <v>2.7425208801402468</v>
      </c>
      <c r="AD736" s="354">
        <f t="shared" si="737"/>
        <v>5.9698587528814482</v>
      </c>
      <c r="AE736" s="354">
        <f t="shared" si="738"/>
        <v>0.95144206500719664</v>
      </c>
      <c r="AF736" s="374">
        <f t="shared" si="739"/>
        <v>7.7344321405117897</v>
      </c>
      <c r="AG736" s="354">
        <f t="shared" si="740"/>
        <v>0.49706644719306597</v>
      </c>
      <c r="AH736" s="354">
        <f t="shared" si="741"/>
        <v>2.500941117962308</v>
      </c>
      <c r="AI736" s="354">
        <f t="shared" si="742"/>
        <v>0</v>
      </c>
      <c r="AJ736" s="354">
        <f t="shared" si="743"/>
        <v>4.7364245753564163</v>
      </c>
      <c r="AK736" s="374">
        <f t="shared" si="744"/>
        <v>5.1085386031472426</v>
      </c>
      <c r="AL736" s="354">
        <f t="shared" si="745"/>
        <v>1.4636302202998719</v>
      </c>
      <c r="AM736" s="354">
        <f t="shared" si="746"/>
        <v>3.4520631343773327</v>
      </c>
      <c r="AN736" s="354">
        <f t="shared" si="747"/>
        <v>0.19284524847003817</v>
      </c>
      <c r="AO736" s="374">
        <f t="shared" si="748"/>
        <v>2.9621614909518552</v>
      </c>
      <c r="AP736" s="354">
        <f t="shared" si="749"/>
        <v>0.67925478698404795</v>
      </c>
      <c r="AQ736" s="354">
        <f t="shared" si="750"/>
        <v>2.2829067039678073</v>
      </c>
      <c r="AR736" s="374">
        <f t="shared" si="751"/>
        <v>5.4038450240114537</v>
      </c>
      <c r="AS736" s="354">
        <f t="shared" si="752"/>
        <v>2.3416694993397895</v>
      </c>
      <c r="AT736" s="354">
        <f t="shared" si="753"/>
        <v>3.0621755246716647</v>
      </c>
      <c r="AU736" s="355" t="s">
        <v>396</v>
      </c>
      <c r="AV736" s="354" t="s">
        <v>345</v>
      </c>
      <c r="AW736" s="377">
        <v>0</v>
      </c>
      <c r="AX736" s="377">
        <v>0</v>
      </c>
      <c r="AY736" s="377">
        <v>0</v>
      </c>
      <c r="AZ736" s="377">
        <v>0</v>
      </c>
      <c r="BA736" s="377">
        <v>0</v>
      </c>
      <c r="BB736" s="377">
        <v>0</v>
      </c>
    </row>
    <row r="737" spans="1:54" x14ac:dyDescent="0.25">
      <c r="A737" s="348" t="s">
        <v>1658</v>
      </c>
      <c r="B737" s="379">
        <v>91</v>
      </c>
      <c r="C737" s="423">
        <v>45200</v>
      </c>
      <c r="D737" s="427" t="s">
        <v>1657</v>
      </c>
      <c r="E737" s="352">
        <v>421</v>
      </c>
      <c r="F737" s="352">
        <v>6</v>
      </c>
      <c r="G737" s="428" t="s">
        <v>323</v>
      </c>
      <c r="H737" s="350" t="s">
        <v>1672</v>
      </c>
      <c r="I737" s="350" t="s">
        <v>393</v>
      </c>
      <c r="J737" s="556">
        <v>26422</v>
      </c>
      <c r="K737" s="353" t="s">
        <v>394</v>
      </c>
      <c r="L737" s="353">
        <v>2801.6</v>
      </c>
      <c r="M737" s="560">
        <f t="shared" si="722"/>
        <v>9.4310394060536833</v>
      </c>
      <c r="N737" s="354" t="s">
        <v>395</v>
      </c>
      <c r="O737" s="354">
        <v>0</v>
      </c>
      <c r="P737" s="374">
        <f t="shared" si="723"/>
        <v>0.59423220264364374</v>
      </c>
      <c r="Q737" s="354">
        <f t="shared" si="724"/>
        <v>5.6045161851382981E-2</v>
      </c>
      <c r="R737" s="354">
        <f t="shared" si="725"/>
        <v>9.4475842274180766E-2</v>
      </c>
      <c r="S737" s="354">
        <f t="shared" si="726"/>
        <v>8.4157815254196161E-2</v>
      </c>
      <c r="T737" s="354">
        <f t="shared" si="727"/>
        <v>0.35913355101949562</v>
      </c>
      <c r="U737" s="374">
        <f t="shared" si="728"/>
        <v>2.3849116650220674</v>
      </c>
      <c r="V737" s="354">
        <f t="shared" si="729"/>
        <v>6.3130319726148659E-2</v>
      </c>
      <c r="W737" s="354">
        <f t="shared" si="730"/>
        <v>2.1535059586177026</v>
      </c>
      <c r="X737" s="354">
        <f t="shared" si="731"/>
        <v>0.16827538667821615</v>
      </c>
      <c r="Y737" s="374">
        <f t="shared" si="732"/>
        <v>0.34962440292779734</v>
      </c>
      <c r="Z737" s="354">
        <f t="shared" si="733"/>
        <v>0.18035725375879438</v>
      </c>
      <c r="AA737" s="354">
        <f t="shared" si="734"/>
        <v>0.16926714916900293</v>
      </c>
      <c r="AB737" s="374">
        <f t="shared" si="735"/>
        <v>1.9101365020035113</v>
      </c>
      <c r="AC737" s="354">
        <f t="shared" si="736"/>
        <v>0.54208256364365504</v>
      </c>
      <c r="AD737" s="354">
        <f t="shared" si="737"/>
        <v>1.1799933268646614</v>
      </c>
      <c r="AE737" s="354">
        <f t="shared" si="738"/>
        <v>0.18806061149519468</v>
      </c>
      <c r="AF737" s="374">
        <f t="shared" si="739"/>
        <v>1.5287762559685991</v>
      </c>
      <c r="AG737" s="354">
        <f t="shared" si="740"/>
        <v>9.8249408398991489E-2</v>
      </c>
      <c r="AH737" s="354">
        <f t="shared" si="741"/>
        <v>0.49433227019861681</v>
      </c>
      <c r="AI737" s="354">
        <f t="shared" si="742"/>
        <v>0</v>
      </c>
      <c r="AJ737" s="354">
        <f t="shared" si="743"/>
        <v>0.93619457737099099</v>
      </c>
      <c r="AK737" s="374">
        <f t="shared" si="744"/>
        <v>1.0097460779678804</v>
      </c>
      <c r="AL737" s="354">
        <f t="shared" si="745"/>
        <v>0.28929895403600675</v>
      </c>
      <c r="AM737" s="354">
        <f t="shared" si="746"/>
        <v>0.68232962136912556</v>
      </c>
      <c r="AN737" s="354">
        <f t="shared" si="747"/>
        <v>3.8117502562748061E-2</v>
      </c>
      <c r="AO737" s="374">
        <f t="shared" si="748"/>
        <v>0.58549639733629999</v>
      </c>
      <c r="AP737" s="354">
        <f t="shared" si="749"/>
        <v>0.13426048237660379</v>
      </c>
      <c r="AQ737" s="354">
        <f t="shared" si="750"/>
        <v>0.45123591495969623</v>
      </c>
      <c r="AR737" s="374">
        <f t="shared" si="751"/>
        <v>1.0681159021838833</v>
      </c>
      <c r="AS737" s="354">
        <f t="shared" si="752"/>
        <v>0.46285088095422405</v>
      </c>
      <c r="AT737" s="354">
        <f t="shared" si="753"/>
        <v>0.60526502122965931</v>
      </c>
      <c r="AU737" s="355" t="s">
        <v>396</v>
      </c>
      <c r="AV737" s="354" t="s">
        <v>345</v>
      </c>
      <c r="AW737" s="377">
        <v>0</v>
      </c>
      <c r="AX737" s="377">
        <v>0</v>
      </c>
      <c r="AY737" s="377">
        <v>0</v>
      </c>
      <c r="AZ737" s="377">
        <v>0</v>
      </c>
      <c r="BA737" s="377">
        <v>0</v>
      </c>
      <c r="BB737" s="377">
        <v>0</v>
      </c>
    </row>
    <row r="738" spans="1:54" x14ac:dyDescent="0.25">
      <c r="A738" s="348" t="s">
        <v>1656</v>
      </c>
      <c r="B738" s="379">
        <v>91</v>
      </c>
      <c r="C738" s="423">
        <v>45200</v>
      </c>
      <c r="D738" s="427" t="s">
        <v>1657</v>
      </c>
      <c r="E738" s="352">
        <v>421</v>
      </c>
      <c r="F738" s="352">
        <v>6</v>
      </c>
      <c r="G738" s="428" t="s">
        <v>1128</v>
      </c>
      <c r="H738" s="350" t="s">
        <v>1673</v>
      </c>
      <c r="I738" s="350" t="s">
        <v>393</v>
      </c>
      <c r="J738" s="556">
        <v>150000</v>
      </c>
      <c r="K738" s="353" t="s">
        <v>394</v>
      </c>
      <c r="L738" s="353">
        <v>2801.6</v>
      </c>
      <c r="M738" s="560">
        <f t="shared" si="722"/>
        <v>53.540833809251858</v>
      </c>
      <c r="N738" s="354" t="s">
        <v>395</v>
      </c>
      <c r="O738" s="354">
        <v>0</v>
      </c>
      <c r="P738" s="374">
        <f t="shared" si="723"/>
        <v>3.3735080764721279</v>
      </c>
      <c r="Q738" s="354">
        <f t="shared" si="724"/>
        <v>0.31817327521411881</v>
      </c>
      <c r="R738" s="354">
        <f t="shared" si="725"/>
        <v>0.53634760204099297</v>
      </c>
      <c r="S738" s="354">
        <f t="shared" si="726"/>
        <v>0.47777126213494153</v>
      </c>
      <c r="T738" s="354">
        <f t="shared" si="727"/>
        <v>2.0388325127895066</v>
      </c>
      <c r="U738" s="374">
        <f t="shared" si="728"/>
        <v>13.539351667296577</v>
      </c>
      <c r="V738" s="354">
        <f t="shared" si="729"/>
        <v>0.35839633483166677</v>
      </c>
      <c r="W738" s="354">
        <f t="shared" si="730"/>
        <v>12.225641275931249</v>
      </c>
      <c r="X738" s="354">
        <f t="shared" si="731"/>
        <v>0.9553140565336623</v>
      </c>
      <c r="Y738" s="374">
        <f t="shared" si="732"/>
        <v>1.9848482491548558</v>
      </c>
      <c r="Z738" s="354">
        <f t="shared" si="733"/>
        <v>1.0239038704041767</v>
      </c>
      <c r="AA738" s="354">
        <f t="shared" si="734"/>
        <v>0.96094437875067895</v>
      </c>
      <c r="AB738" s="374">
        <f t="shared" si="735"/>
        <v>10.8440116304794</v>
      </c>
      <c r="AC738" s="354">
        <f t="shared" si="736"/>
        <v>3.0774500244700729</v>
      </c>
      <c r="AD738" s="354">
        <f t="shared" si="737"/>
        <v>6.6989251014192428</v>
      </c>
      <c r="AE738" s="354">
        <f t="shared" si="738"/>
        <v>1.0676365045900842</v>
      </c>
      <c r="AF738" s="374">
        <f t="shared" si="739"/>
        <v>8.6789962302357839</v>
      </c>
      <c r="AG738" s="354">
        <f t="shared" si="740"/>
        <v>0.55777046627237625</v>
      </c>
      <c r="AH738" s="354">
        <f t="shared" si="741"/>
        <v>2.8063674411396762</v>
      </c>
      <c r="AI738" s="354">
        <f t="shared" si="742"/>
        <v>0</v>
      </c>
      <c r="AJ738" s="354">
        <f t="shared" si="743"/>
        <v>5.3148583228237323</v>
      </c>
      <c r="AK738" s="374">
        <f t="shared" si="744"/>
        <v>5.7324166109750241</v>
      </c>
      <c r="AL738" s="354">
        <f t="shared" si="745"/>
        <v>1.6423754108470601</v>
      </c>
      <c r="AM738" s="354">
        <f t="shared" si="746"/>
        <v>3.8736448113454265</v>
      </c>
      <c r="AN738" s="354">
        <f t="shared" si="747"/>
        <v>0.21639638878253767</v>
      </c>
      <c r="AO738" s="374">
        <f t="shared" si="748"/>
        <v>3.3239141473183338</v>
      </c>
      <c r="AP738" s="354">
        <f t="shared" si="749"/>
        <v>0.76220847613695297</v>
      </c>
      <c r="AQ738" s="354">
        <f t="shared" si="750"/>
        <v>2.561705671181381</v>
      </c>
      <c r="AR738" s="374">
        <f t="shared" si="751"/>
        <v>6.063787197319753</v>
      </c>
      <c r="AS738" s="354">
        <f t="shared" si="752"/>
        <v>2.6276448468372422</v>
      </c>
      <c r="AT738" s="354">
        <f t="shared" si="753"/>
        <v>3.4361423504825108</v>
      </c>
      <c r="AU738" s="355" t="s">
        <v>396</v>
      </c>
      <c r="AV738" s="354" t="s">
        <v>345</v>
      </c>
      <c r="AW738" s="377">
        <v>0</v>
      </c>
      <c r="AX738" s="377">
        <v>0</v>
      </c>
      <c r="AY738" s="377">
        <v>0</v>
      </c>
      <c r="AZ738" s="377">
        <v>0</v>
      </c>
      <c r="BA738" s="377">
        <v>0</v>
      </c>
      <c r="BB738" s="377">
        <v>0</v>
      </c>
    </row>
    <row r="739" spans="1:54" x14ac:dyDescent="0.25">
      <c r="A739" s="348" t="s">
        <v>1659</v>
      </c>
      <c r="B739" s="379">
        <v>92</v>
      </c>
      <c r="C739" s="423">
        <v>45200</v>
      </c>
      <c r="D739" s="427" t="s">
        <v>1657</v>
      </c>
      <c r="E739" s="352">
        <v>6311</v>
      </c>
      <c r="F739" s="352">
        <v>6</v>
      </c>
      <c r="G739" s="428" t="s">
        <v>322</v>
      </c>
      <c r="H739" s="350" t="s">
        <v>1674</v>
      </c>
      <c r="I739" s="350" t="s">
        <v>393</v>
      </c>
      <c r="J739" s="556">
        <v>150000</v>
      </c>
      <c r="K739" s="353" t="s">
        <v>394</v>
      </c>
      <c r="L739" s="353">
        <v>2801.6</v>
      </c>
      <c r="M739" s="560">
        <f t="shared" si="722"/>
        <v>53.540833809251858</v>
      </c>
      <c r="N739" s="354" t="s">
        <v>395</v>
      </c>
      <c r="O739" s="354">
        <v>0</v>
      </c>
      <c r="P739" s="374">
        <f t="shared" si="723"/>
        <v>3.3735080764721279</v>
      </c>
      <c r="Q739" s="354">
        <f t="shared" si="724"/>
        <v>0.31817327521411881</v>
      </c>
      <c r="R739" s="354">
        <f t="shared" si="725"/>
        <v>0.53634760204099297</v>
      </c>
      <c r="S739" s="354">
        <f t="shared" si="726"/>
        <v>0.47777126213494153</v>
      </c>
      <c r="T739" s="354">
        <f t="shared" si="727"/>
        <v>2.0388325127895066</v>
      </c>
      <c r="U739" s="374">
        <f t="shared" si="728"/>
        <v>13.539351667296577</v>
      </c>
      <c r="V739" s="354">
        <f t="shared" si="729"/>
        <v>0.35839633483166677</v>
      </c>
      <c r="W739" s="354">
        <f t="shared" si="730"/>
        <v>12.225641275931249</v>
      </c>
      <c r="X739" s="354">
        <f t="shared" si="731"/>
        <v>0.9553140565336623</v>
      </c>
      <c r="Y739" s="374">
        <f t="shared" si="732"/>
        <v>1.9848482491548558</v>
      </c>
      <c r="Z739" s="354">
        <f t="shared" si="733"/>
        <v>1.0239038704041767</v>
      </c>
      <c r="AA739" s="354">
        <f t="shared" si="734"/>
        <v>0.96094437875067895</v>
      </c>
      <c r="AB739" s="374">
        <f t="shared" si="735"/>
        <v>10.8440116304794</v>
      </c>
      <c r="AC739" s="354">
        <f t="shared" si="736"/>
        <v>3.0774500244700729</v>
      </c>
      <c r="AD739" s="354">
        <f t="shared" si="737"/>
        <v>6.6989251014192428</v>
      </c>
      <c r="AE739" s="354">
        <f t="shared" si="738"/>
        <v>1.0676365045900842</v>
      </c>
      <c r="AF739" s="374">
        <f t="shared" si="739"/>
        <v>8.6789962302357839</v>
      </c>
      <c r="AG739" s="354">
        <f t="shared" si="740"/>
        <v>0.55777046627237625</v>
      </c>
      <c r="AH739" s="354">
        <f t="shared" si="741"/>
        <v>2.8063674411396762</v>
      </c>
      <c r="AI739" s="354">
        <f t="shared" si="742"/>
        <v>0</v>
      </c>
      <c r="AJ739" s="354">
        <f t="shared" si="743"/>
        <v>5.3148583228237323</v>
      </c>
      <c r="AK739" s="374">
        <f t="shared" si="744"/>
        <v>5.7324166109750241</v>
      </c>
      <c r="AL739" s="354">
        <f t="shared" si="745"/>
        <v>1.6423754108470601</v>
      </c>
      <c r="AM739" s="354">
        <f t="shared" si="746"/>
        <v>3.8736448113454265</v>
      </c>
      <c r="AN739" s="354">
        <f t="shared" si="747"/>
        <v>0.21639638878253767</v>
      </c>
      <c r="AO739" s="374">
        <f t="shared" si="748"/>
        <v>3.3239141473183338</v>
      </c>
      <c r="AP739" s="354">
        <f t="shared" si="749"/>
        <v>0.76220847613695297</v>
      </c>
      <c r="AQ739" s="354">
        <f t="shared" si="750"/>
        <v>2.561705671181381</v>
      </c>
      <c r="AR739" s="374">
        <f t="shared" si="751"/>
        <v>6.063787197319753</v>
      </c>
      <c r="AS739" s="354">
        <f t="shared" si="752"/>
        <v>2.6276448468372422</v>
      </c>
      <c r="AT739" s="354">
        <f t="shared" si="753"/>
        <v>3.4361423504825108</v>
      </c>
      <c r="AU739" s="355" t="s">
        <v>396</v>
      </c>
      <c r="AV739" s="354" t="s">
        <v>345</v>
      </c>
      <c r="AW739" s="377">
        <v>0</v>
      </c>
      <c r="AX739" s="377">
        <v>0</v>
      </c>
      <c r="AY739" s="377">
        <v>0</v>
      </c>
      <c r="AZ739" s="377">
        <v>0</v>
      </c>
      <c r="BA739" s="377">
        <v>0</v>
      </c>
      <c r="BB739" s="377">
        <v>0</v>
      </c>
    </row>
    <row r="740" spans="1:54" x14ac:dyDescent="0.25">
      <c r="A740" s="348" t="s">
        <v>1660</v>
      </c>
      <c r="B740" s="379">
        <v>93</v>
      </c>
      <c r="C740" s="423">
        <v>45200</v>
      </c>
      <c r="D740" s="427" t="s">
        <v>1661</v>
      </c>
      <c r="E740" s="352">
        <v>6171</v>
      </c>
      <c r="F740" s="352">
        <v>6</v>
      </c>
      <c r="G740" s="428" t="s">
        <v>327</v>
      </c>
      <c r="H740" s="350" t="s">
        <v>333</v>
      </c>
      <c r="I740" s="350" t="s">
        <v>393</v>
      </c>
      <c r="J740" s="556">
        <v>45000</v>
      </c>
      <c r="K740" s="353" t="s">
        <v>394</v>
      </c>
      <c r="L740" s="353">
        <v>2801.6</v>
      </c>
      <c r="M740" s="560">
        <f t="shared" si="722"/>
        <v>16.062250142775557</v>
      </c>
      <c r="N740" s="354" t="s">
        <v>395</v>
      </c>
      <c r="O740" s="354">
        <v>0</v>
      </c>
      <c r="P740" s="374">
        <f t="shared" si="723"/>
        <v>1.0120524229416383</v>
      </c>
      <c r="Q740" s="354">
        <f t="shared" si="724"/>
        <v>9.5451982564235635E-2</v>
      </c>
      <c r="R740" s="354">
        <f t="shared" si="725"/>
        <v>0.16090428061229789</v>
      </c>
      <c r="S740" s="354">
        <f t="shared" si="726"/>
        <v>0.14333137864048245</v>
      </c>
      <c r="T740" s="354">
        <f t="shared" si="727"/>
        <v>0.61164975383685194</v>
      </c>
      <c r="U740" s="374">
        <f t="shared" si="728"/>
        <v>4.0618055001889726</v>
      </c>
      <c r="V740" s="354">
        <f t="shared" si="729"/>
        <v>0.10751890044950002</v>
      </c>
      <c r="W740" s="354">
        <f t="shared" si="730"/>
        <v>3.6676923827793741</v>
      </c>
      <c r="X740" s="354">
        <f t="shared" si="731"/>
        <v>0.28659421696009862</v>
      </c>
      <c r="Y740" s="374">
        <f t="shared" si="732"/>
        <v>0.59545447474645674</v>
      </c>
      <c r="Z740" s="354">
        <f t="shared" si="733"/>
        <v>0.30717116112125303</v>
      </c>
      <c r="AA740" s="354">
        <f t="shared" si="734"/>
        <v>0.28828331362520371</v>
      </c>
      <c r="AB740" s="374">
        <f t="shared" si="735"/>
        <v>3.2532034891438202</v>
      </c>
      <c r="AC740" s="354">
        <f t="shared" si="736"/>
        <v>0.92323500734102193</v>
      </c>
      <c r="AD740" s="354">
        <f t="shared" si="737"/>
        <v>2.009677530425773</v>
      </c>
      <c r="AE740" s="354">
        <f t="shared" si="738"/>
        <v>0.32029095137702523</v>
      </c>
      <c r="AF740" s="374">
        <f t="shared" si="739"/>
        <v>2.6036988690707354</v>
      </c>
      <c r="AG740" s="354">
        <f t="shared" si="740"/>
        <v>0.16733113988171289</v>
      </c>
      <c r="AH740" s="354">
        <f t="shared" si="741"/>
        <v>0.84191023234190299</v>
      </c>
      <c r="AI740" s="354">
        <f t="shared" si="742"/>
        <v>0</v>
      </c>
      <c r="AJ740" s="354">
        <f t="shared" si="743"/>
        <v>1.5944574968471199</v>
      </c>
      <c r="AK740" s="374">
        <f t="shared" si="744"/>
        <v>1.7197249832925072</v>
      </c>
      <c r="AL740" s="354">
        <f t="shared" si="745"/>
        <v>0.49271262325411802</v>
      </c>
      <c r="AM740" s="354">
        <f t="shared" si="746"/>
        <v>1.1620934434036279</v>
      </c>
      <c r="AN740" s="354">
        <f t="shared" si="747"/>
        <v>6.4918916634761292E-2</v>
      </c>
      <c r="AO740" s="374">
        <f t="shared" si="748"/>
        <v>0.99717424419550005</v>
      </c>
      <c r="AP740" s="354">
        <f t="shared" si="749"/>
        <v>0.22866254284108589</v>
      </c>
      <c r="AQ740" s="354">
        <f t="shared" si="750"/>
        <v>0.76851170135441416</v>
      </c>
      <c r="AR740" s="374">
        <f t="shared" si="751"/>
        <v>1.8191361591959259</v>
      </c>
      <c r="AS740" s="354">
        <f t="shared" si="752"/>
        <v>0.78829345405117268</v>
      </c>
      <c r="AT740" s="354">
        <f t="shared" si="753"/>
        <v>1.0308427051447533</v>
      </c>
      <c r="AU740" s="355" t="s">
        <v>396</v>
      </c>
      <c r="AV740" s="354" t="s">
        <v>345</v>
      </c>
      <c r="AW740" s="377">
        <v>0</v>
      </c>
      <c r="AX740" s="377">
        <v>0</v>
      </c>
      <c r="AY740" s="377">
        <v>0</v>
      </c>
      <c r="AZ740" s="377">
        <v>0</v>
      </c>
      <c r="BA740" s="377">
        <v>0</v>
      </c>
      <c r="BB740" s="377">
        <v>0</v>
      </c>
    </row>
    <row r="741" spans="1:54" x14ac:dyDescent="0.25">
      <c r="A741" s="353" t="s">
        <v>1662</v>
      </c>
      <c r="B741" s="377">
        <v>87</v>
      </c>
      <c r="C741" s="423">
        <v>45200</v>
      </c>
      <c r="D741" s="429" t="s">
        <v>1661</v>
      </c>
      <c r="E741" s="353">
        <v>6341</v>
      </c>
      <c r="F741" s="352">
        <v>6</v>
      </c>
      <c r="G741" s="353" t="s">
        <v>325</v>
      </c>
      <c r="H741" s="353" t="s">
        <v>1675</v>
      </c>
      <c r="I741" s="353" t="s">
        <v>393</v>
      </c>
      <c r="J741" s="620">
        <v>3750</v>
      </c>
      <c r="K741" s="353" t="s">
        <v>394</v>
      </c>
      <c r="L741" s="353">
        <v>2801.6</v>
      </c>
      <c r="M741" s="560">
        <f t="shared" si="722"/>
        <v>1.3385208452312964</v>
      </c>
      <c r="N741" s="354" t="s">
        <v>395</v>
      </c>
      <c r="O741" s="354">
        <v>0</v>
      </c>
      <c r="P741" s="374">
        <f t="shared" si="723"/>
        <v>8.4337701911803203E-2</v>
      </c>
      <c r="Q741" s="354">
        <f t="shared" si="724"/>
        <v>7.9543318803529713E-3</v>
      </c>
      <c r="R741" s="354">
        <f t="shared" si="725"/>
        <v>1.3408690051024826E-2</v>
      </c>
      <c r="S741" s="354">
        <f t="shared" si="726"/>
        <v>1.1944281553373539E-2</v>
      </c>
      <c r="T741" s="354">
        <f t="shared" si="727"/>
        <v>5.0970812819737671E-2</v>
      </c>
      <c r="U741" s="374">
        <f t="shared" si="728"/>
        <v>0.33848379168241438</v>
      </c>
      <c r="V741" s="354">
        <f t="shared" si="729"/>
        <v>8.9599083707916673E-3</v>
      </c>
      <c r="W741" s="354">
        <f t="shared" si="730"/>
        <v>0.30564103189828118</v>
      </c>
      <c r="X741" s="354">
        <f t="shared" si="731"/>
        <v>2.3882851413341552E-2</v>
      </c>
      <c r="Y741" s="374">
        <f t="shared" si="732"/>
        <v>4.9621206228871395E-2</v>
      </c>
      <c r="Z741" s="354">
        <f t="shared" si="733"/>
        <v>2.5597596760104417E-2</v>
      </c>
      <c r="AA741" s="354">
        <f t="shared" si="734"/>
        <v>2.4023609468766974E-2</v>
      </c>
      <c r="AB741" s="374">
        <f t="shared" si="735"/>
        <v>0.271100290761985</v>
      </c>
      <c r="AC741" s="354">
        <f t="shared" si="736"/>
        <v>7.6936250611751827E-2</v>
      </c>
      <c r="AD741" s="354">
        <f t="shared" si="737"/>
        <v>0.16747312753548108</v>
      </c>
      <c r="AE741" s="354">
        <f t="shared" si="738"/>
        <v>2.6690912614752101E-2</v>
      </c>
      <c r="AF741" s="374">
        <f t="shared" si="739"/>
        <v>0.21697490575589459</v>
      </c>
      <c r="AG741" s="354">
        <f t="shared" si="740"/>
        <v>1.3944261656809405E-2</v>
      </c>
      <c r="AH741" s="354">
        <f t="shared" si="741"/>
        <v>7.0159186028491902E-2</v>
      </c>
      <c r="AI741" s="354">
        <f t="shared" si="742"/>
        <v>0</v>
      </c>
      <c r="AJ741" s="354">
        <f t="shared" si="743"/>
        <v>0.13287145807059331</v>
      </c>
      <c r="AK741" s="374">
        <f t="shared" si="744"/>
        <v>0.1433104152743756</v>
      </c>
      <c r="AL741" s="354">
        <f t="shared" si="745"/>
        <v>4.1059385271176502E-2</v>
      </c>
      <c r="AM741" s="354">
        <f t="shared" si="746"/>
        <v>9.6841120283635659E-2</v>
      </c>
      <c r="AN741" s="354">
        <f t="shared" si="747"/>
        <v>5.4099097195634419E-3</v>
      </c>
      <c r="AO741" s="374">
        <f t="shared" si="748"/>
        <v>8.3097853682958342E-2</v>
      </c>
      <c r="AP741" s="354">
        <f t="shared" si="749"/>
        <v>1.9055211903423824E-2</v>
      </c>
      <c r="AQ741" s="354">
        <f t="shared" si="750"/>
        <v>6.4042641779534518E-2</v>
      </c>
      <c r="AR741" s="374">
        <f t="shared" si="751"/>
        <v>0.15159467993299383</v>
      </c>
      <c r="AS741" s="354">
        <f t="shared" si="752"/>
        <v>6.5691121170931066E-2</v>
      </c>
      <c r="AT741" s="354">
        <f t="shared" si="753"/>
        <v>8.5903558762062779E-2</v>
      </c>
      <c r="AU741" s="355" t="s">
        <v>396</v>
      </c>
      <c r="AV741" s="354" t="s">
        <v>345</v>
      </c>
      <c r="AW741" s="377">
        <v>0</v>
      </c>
      <c r="AX741" s="377">
        <v>0</v>
      </c>
      <c r="AY741" s="377">
        <v>0</v>
      </c>
      <c r="AZ741" s="377">
        <v>0</v>
      </c>
      <c r="BA741" s="377">
        <v>0</v>
      </c>
      <c r="BB741" s="377">
        <v>0</v>
      </c>
    </row>
    <row r="742" spans="1:54" x14ac:dyDescent="0.25">
      <c r="A742" s="353" t="s">
        <v>1663</v>
      </c>
      <c r="B742" s="377">
        <v>87</v>
      </c>
      <c r="C742" s="423">
        <v>45200</v>
      </c>
      <c r="D742" s="429" t="s">
        <v>1664</v>
      </c>
      <c r="E742" s="353">
        <v>6341</v>
      </c>
      <c r="F742" s="352">
        <v>6</v>
      </c>
      <c r="G742" s="353" t="s">
        <v>325</v>
      </c>
      <c r="H742" s="353" t="s">
        <v>1675</v>
      </c>
      <c r="I742" s="353" t="s">
        <v>393</v>
      </c>
      <c r="J742" s="556">
        <v>6000</v>
      </c>
      <c r="K742" s="353" t="s">
        <v>394</v>
      </c>
      <c r="L742" s="353">
        <v>2801.6</v>
      </c>
      <c r="M742" s="560">
        <f t="shared" si="722"/>
        <v>2.1416333523700741</v>
      </c>
      <c r="N742" s="354" t="s">
        <v>395</v>
      </c>
      <c r="O742" s="354">
        <v>0</v>
      </c>
      <c r="P742" s="374">
        <f t="shared" si="723"/>
        <v>0.13494032305888512</v>
      </c>
      <c r="Q742" s="354">
        <f t="shared" si="724"/>
        <v>1.2726931008564753E-2</v>
      </c>
      <c r="R742" s="354">
        <f t="shared" si="725"/>
        <v>2.1453904081639719E-2</v>
      </c>
      <c r="S742" s="354">
        <f t="shared" si="726"/>
        <v>1.9110850485397662E-2</v>
      </c>
      <c r="T742" s="354">
        <f t="shared" si="727"/>
        <v>8.1553300511580273E-2</v>
      </c>
      <c r="U742" s="374">
        <f t="shared" si="728"/>
        <v>0.54157406669186303</v>
      </c>
      <c r="V742" s="354">
        <f t="shared" si="729"/>
        <v>1.433585339326667E-2</v>
      </c>
      <c r="W742" s="354">
        <f t="shared" si="730"/>
        <v>0.48902565103724993</v>
      </c>
      <c r="X742" s="354">
        <f t="shared" si="731"/>
        <v>3.8212562261346485E-2</v>
      </c>
      <c r="Y742" s="374">
        <f t="shared" si="732"/>
        <v>7.9393929966194224E-2</v>
      </c>
      <c r="Z742" s="354">
        <f t="shared" si="733"/>
        <v>4.0956154816167066E-2</v>
      </c>
      <c r="AA742" s="354">
        <f t="shared" si="734"/>
        <v>3.8437775150027158E-2</v>
      </c>
      <c r="AB742" s="374">
        <f t="shared" si="735"/>
        <v>0.43376046521917594</v>
      </c>
      <c r="AC742" s="354">
        <f t="shared" si="736"/>
        <v>0.1230980009788029</v>
      </c>
      <c r="AD742" s="354">
        <f t="shared" si="737"/>
        <v>0.2679570040567697</v>
      </c>
      <c r="AE742" s="354">
        <f t="shared" si="738"/>
        <v>4.2705460183603355E-2</v>
      </c>
      <c r="AF742" s="374">
        <f t="shared" si="739"/>
        <v>0.34715984920943133</v>
      </c>
      <c r="AG742" s="354">
        <f t="shared" si="740"/>
        <v>2.2310818650895046E-2</v>
      </c>
      <c r="AH742" s="354">
        <f t="shared" si="741"/>
        <v>0.11225469764558704</v>
      </c>
      <c r="AI742" s="354">
        <f t="shared" si="742"/>
        <v>0</v>
      </c>
      <c r="AJ742" s="354">
        <f t="shared" si="743"/>
        <v>0.21259433291294927</v>
      </c>
      <c r="AK742" s="374">
        <f t="shared" si="744"/>
        <v>0.22929666443900093</v>
      </c>
      <c r="AL742" s="354">
        <f t="shared" si="745"/>
        <v>6.5695016433882397E-2</v>
      </c>
      <c r="AM742" s="354">
        <f t="shared" si="746"/>
        <v>0.15494579245381704</v>
      </c>
      <c r="AN742" s="354">
        <f t="shared" si="747"/>
        <v>8.6558555513015049E-3</v>
      </c>
      <c r="AO742" s="374">
        <f t="shared" si="748"/>
        <v>0.13295656589273333</v>
      </c>
      <c r="AP742" s="354">
        <f t="shared" si="749"/>
        <v>3.0488339045478114E-2</v>
      </c>
      <c r="AQ742" s="354">
        <f t="shared" si="750"/>
        <v>0.10246822684725522</v>
      </c>
      <c r="AR742" s="374">
        <f t="shared" si="751"/>
        <v>0.2425514878927901</v>
      </c>
      <c r="AS742" s="354">
        <f t="shared" si="752"/>
        <v>0.10510579387348969</v>
      </c>
      <c r="AT742" s="354">
        <f t="shared" si="753"/>
        <v>0.13744569401930043</v>
      </c>
      <c r="AU742" s="355" t="s">
        <v>396</v>
      </c>
      <c r="AV742" s="354" t="s">
        <v>345</v>
      </c>
      <c r="AW742" s="377">
        <v>0</v>
      </c>
      <c r="AX742" s="377">
        <v>0</v>
      </c>
      <c r="AY742" s="377">
        <v>0</v>
      </c>
      <c r="AZ742" s="377">
        <v>0</v>
      </c>
      <c r="BA742" s="377">
        <v>0</v>
      </c>
      <c r="BB742" s="377">
        <v>0</v>
      </c>
    </row>
    <row r="743" spans="1:54" x14ac:dyDescent="0.25">
      <c r="A743" s="348" t="s">
        <v>457</v>
      </c>
      <c r="B743" s="349">
        <v>5723</v>
      </c>
      <c r="C743" s="352" t="s">
        <v>1733</v>
      </c>
      <c r="D743" s="351">
        <v>45230</v>
      </c>
      <c r="E743" s="352">
        <v>3600</v>
      </c>
      <c r="F743" s="352">
        <v>7</v>
      </c>
      <c r="H743" s="350" t="s">
        <v>1734</v>
      </c>
      <c r="I743" s="350" t="s">
        <v>393</v>
      </c>
      <c r="J743" s="354">
        <v>45000</v>
      </c>
      <c r="K743" s="350" t="s">
        <v>394</v>
      </c>
      <c r="L743" s="354">
        <v>2.8998300000000001E-4</v>
      </c>
      <c r="M743" s="354">
        <v>15.93</v>
      </c>
      <c r="N743" s="350" t="s">
        <v>395</v>
      </c>
      <c r="O743" s="354">
        <v>13.05</v>
      </c>
      <c r="P743" s="374">
        <f t="shared" ref="P743:P744" si="754">M743*$P$2</f>
        <v>1.0037195881121062</v>
      </c>
      <c r="Q743" s="354">
        <f t="shared" ref="Q743:Q744" si="755">P743*$Q$2</f>
        <v>9.4666069120594762E-2</v>
      </c>
      <c r="R743" s="354">
        <f t="shared" ref="R743:R744" si="756">P743*$R$2</f>
        <v>0.15957945912744848</v>
      </c>
      <c r="S743" s="354">
        <f t="shared" ref="S743:S744" si="757">P743*$S$2</f>
        <v>0.14215124540130819</v>
      </c>
      <c r="T743" s="354">
        <f t="shared" ref="T743:T744" si="758">P743*$T$2</f>
        <v>0.60661367442366088</v>
      </c>
      <c r="U743" s="374">
        <f t="shared" ref="U743:U744" si="759">M743*$U$2</f>
        <v>4.0283622184226164</v>
      </c>
      <c r="V743" s="354">
        <f t="shared" ref="V743:V744" si="760">U743*$V$2</f>
        <v>0.10663363283075901</v>
      </c>
      <c r="W743" s="354">
        <f t="shared" ref="W743:W744" si="761">U743*$W$2</f>
        <v>3.6374940707765218</v>
      </c>
      <c r="X743" s="354">
        <f t="shared" ref="X743:X744" si="762">U743*$X$2</f>
        <v>0.28423451481533596</v>
      </c>
      <c r="Y743" s="374">
        <f t="shared" ref="Y743:Y744" si="763">M743*$Y$2</f>
        <v>0.59055174078318429</v>
      </c>
      <c r="Z743" s="354">
        <f t="shared" ref="Z743:Z744" si="764">Y743*$Z$2</f>
        <v>0.30464203664904504</v>
      </c>
      <c r="AA743" s="354">
        <f t="shared" ref="AA743:AA744" si="765">Y743*$AA$2</f>
        <v>0.28590970413413919</v>
      </c>
      <c r="AB743" s="374">
        <f t="shared" ref="AB743:AB744" si="766">M743*$AB$2</f>
        <v>3.2264179128956054</v>
      </c>
      <c r="AC743" s="354">
        <f t="shared" ref="AC743:AC744" si="767">AB743*$AC$2</f>
        <v>0.91563345958457887</v>
      </c>
      <c r="AD743" s="354">
        <f t="shared" ref="AD743:AD744" si="768">AB743*$AD$2</f>
        <v>1.9931306495112593</v>
      </c>
      <c r="AE743" s="354">
        <f t="shared" ref="AE743:AE744" si="769">AB743*$AE$2</f>
        <v>0.31765380379976732</v>
      </c>
      <c r="AF743" s="374">
        <f t="shared" ref="AF743:AF744" si="770">M743*$AF$2</f>
        <v>2.5822610540623545</v>
      </c>
      <c r="AG743" s="354">
        <f t="shared" ref="AG743:AG744" si="771">AF743*$AG$2</f>
        <v>0.16595340220838281</v>
      </c>
      <c r="AH743" s="354">
        <f t="shared" ref="AH743:AH744" si="772">AF743*$AH$2</f>
        <v>0.83497828025289256</v>
      </c>
      <c r="AI743" s="354">
        <f t="shared" ref="AI743:AI744" si="773">AF743*$AI$2</f>
        <v>0</v>
      </c>
      <c r="AJ743" s="354">
        <f t="shared" ref="AJ743:AJ744" si="774">AF743*$AJ$2</f>
        <v>1.5813293716010792</v>
      </c>
      <c r="AK743" s="374">
        <f t="shared" ref="AK743:AK744" si="775">M743*$AK$2</f>
        <v>1.7055654556700699</v>
      </c>
      <c r="AL743" s="354">
        <f t="shared" ref="AL743:AL744" si="776">AK743*$AL$2</f>
        <v>0.48865582459929291</v>
      </c>
      <c r="AM743" s="354">
        <f t="shared" ref="AM743:AM744" si="777">AK743*$AM$2</f>
        <v>1.1525252308280198</v>
      </c>
      <c r="AN743" s="354">
        <f t="shared" ref="AN743:AN744" si="778">AK743*$AN$2</f>
        <v>6.4384400242757323E-2</v>
      </c>
      <c r="AO743" s="374">
        <f t="shared" ref="AO743:AO744" si="779">M743*$AO$2</f>
        <v>0.98896391033849196</v>
      </c>
      <c r="AP743" s="354">
        <f t="shared" ref="AP743:AP744" si="780">AO743*$AP$2</f>
        <v>0.22677982692834953</v>
      </c>
      <c r="AQ743" s="354">
        <f t="shared" ref="AQ743:AQ744" si="781">AO743*$AQ$2</f>
        <v>0.76218408341014243</v>
      </c>
      <c r="AR743" s="374">
        <f t="shared" ref="AR743:AR744" si="782">M743*$AR$2</f>
        <v>1.8041581197155703</v>
      </c>
      <c r="AS743" s="354">
        <f t="shared" ref="AS743:AS744" si="783">AR743*$AS$2</f>
        <v>0.78180296106789693</v>
      </c>
      <c r="AT743" s="354">
        <f t="shared" ref="AT743:AT744" si="784">AR743*$AT$2</f>
        <v>1.0223551586476733</v>
      </c>
      <c r="AU743" s="355" t="s">
        <v>396</v>
      </c>
      <c r="AV743" s="354" t="s">
        <v>404</v>
      </c>
      <c r="AW743" s="355" t="s">
        <v>405</v>
      </c>
      <c r="AX743" s="355">
        <v>0</v>
      </c>
      <c r="AY743" s="350" t="s">
        <v>410</v>
      </c>
      <c r="AZ743" s="351">
        <v>45235</v>
      </c>
      <c r="BA743" s="351">
        <v>45236</v>
      </c>
      <c r="BB743" s="350" t="s">
        <v>407</v>
      </c>
    </row>
    <row r="744" spans="1:54" x14ac:dyDescent="0.25">
      <c r="A744" s="348" t="s">
        <v>1721</v>
      </c>
      <c r="B744" s="349">
        <v>5611</v>
      </c>
      <c r="C744" s="352" t="s">
        <v>1733</v>
      </c>
      <c r="D744" s="351">
        <v>45202</v>
      </c>
      <c r="E744" s="352">
        <v>3410</v>
      </c>
      <c r="F744" s="352">
        <v>7</v>
      </c>
      <c r="H744" s="350" t="s">
        <v>1735</v>
      </c>
      <c r="I744" s="350" t="s">
        <v>393</v>
      </c>
      <c r="J744" s="354">
        <v>200000</v>
      </c>
      <c r="K744" s="350" t="s">
        <v>394</v>
      </c>
      <c r="L744" s="354">
        <v>2.8998300000000001E-4</v>
      </c>
      <c r="M744" s="354">
        <v>70.8</v>
      </c>
      <c r="N744" s="350" t="s">
        <v>395</v>
      </c>
      <c r="O744" s="354">
        <v>58</v>
      </c>
      <c r="P744" s="374">
        <f t="shared" si="754"/>
        <v>4.4609759471649157</v>
      </c>
      <c r="Q744" s="354">
        <f t="shared" si="755"/>
        <v>0.42073808498042109</v>
      </c>
      <c r="R744" s="354">
        <f t="shared" si="756"/>
        <v>0.70924204056643758</v>
      </c>
      <c r="S744" s="354">
        <f t="shared" si="757"/>
        <v>0.63178331289470302</v>
      </c>
      <c r="T744" s="354">
        <f t="shared" si="758"/>
        <v>2.6960607752162704</v>
      </c>
      <c r="U744" s="374">
        <f t="shared" si="759"/>
        <v>17.903832081878296</v>
      </c>
      <c r="V744" s="354">
        <f t="shared" si="760"/>
        <v>0.47392725702559557</v>
      </c>
      <c r="W744" s="354">
        <f t="shared" si="761"/>
        <v>16.166640314562319</v>
      </c>
      <c r="X744" s="354">
        <f t="shared" si="762"/>
        <v>1.2632645102903821</v>
      </c>
      <c r="Y744" s="374">
        <f t="shared" si="763"/>
        <v>2.6246744034808192</v>
      </c>
      <c r="Z744" s="354">
        <f t="shared" si="764"/>
        <v>1.3539646073290892</v>
      </c>
      <c r="AA744" s="354">
        <f t="shared" si="765"/>
        <v>1.2707097961517297</v>
      </c>
      <c r="AB744" s="374">
        <f t="shared" si="766"/>
        <v>14.339635168424913</v>
      </c>
      <c r="AC744" s="354">
        <f t="shared" si="767"/>
        <v>4.0694820425981284</v>
      </c>
      <c r="AD744" s="354">
        <f t="shared" si="768"/>
        <v>8.8583584422722623</v>
      </c>
      <c r="AE744" s="354">
        <f t="shared" si="769"/>
        <v>1.4117946835545214</v>
      </c>
      <c r="AF744" s="374">
        <f t="shared" si="770"/>
        <v>11.476715795832686</v>
      </c>
      <c r="AG744" s="354">
        <f t="shared" si="771"/>
        <v>0.73757067648170127</v>
      </c>
      <c r="AH744" s="354">
        <f t="shared" si="772"/>
        <v>3.7110145789017444</v>
      </c>
      <c r="AI744" s="354">
        <f t="shared" si="773"/>
        <v>0</v>
      </c>
      <c r="AJ744" s="354">
        <f t="shared" si="774"/>
        <v>7.0281305404492409</v>
      </c>
      <c r="AK744" s="374">
        <f t="shared" si="775"/>
        <v>7.5802909140891996</v>
      </c>
      <c r="AL744" s="354">
        <f t="shared" si="776"/>
        <v>2.1718036648857462</v>
      </c>
      <c r="AM744" s="354">
        <f t="shared" si="777"/>
        <v>5.1223343592356434</v>
      </c>
      <c r="AN744" s="354">
        <f t="shared" si="778"/>
        <v>0.28615288996781035</v>
      </c>
      <c r="AO744" s="374">
        <f t="shared" si="779"/>
        <v>4.3953951570599639</v>
      </c>
      <c r="AP744" s="354">
        <f t="shared" si="780"/>
        <v>1.0079103419037756</v>
      </c>
      <c r="AQ744" s="354">
        <f t="shared" si="781"/>
        <v>3.3874848151561885</v>
      </c>
      <c r="AR744" s="374">
        <f t="shared" si="782"/>
        <v>8.0184805320692014</v>
      </c>
      <c r="AS744" s="354">
        <f t="shared" si="783"/>
        <v>3.4746798269684311</v>
      </c>
      <c r="AT744" s="354">
        <f t="shared" si="784"/>
        <v>4.5438007051007707</v>
      </c>
      <c r="AU744" s="355" t="s">
        <v>396</v>
      </c>
      <c r="AV744" s="354" t="s">
        <v>404</v>
      </c>
      <c r="AW744" s="355" t="s">
        <v>405</v>
      </c>
      <c r="AX744" s="355">
        <v>0</v>
      </c>
      <c r="AY744" s="350" t="s">
        <v>410</v>
      </c>
      <c r="AZ744" s="351">
        <v>45234</v>
      </c>
      <c r="BA744" s="351">
        <v>45236</v>
      </c>
      <c r="BB744" s="350" t="s">
        <v>407</v>
      </c>
    </row>
    <row r="745" spans="1:54" x14ac:dyDescent="0.25">
      <c r="A745" s="348" t="s">
        <v>1722</v>
      </c>
      <c r="B745" s="349">
        <v>5756</v>
      </c>
      <c r="C745" s="352" t="s">
        <v>1733</v>
      </c>
      <c r="D745" s="351">
        <v>45226</v>
      </c>
      <c r="E745" s="352">
        <v>3350</v>
      </c>
      <c r="F745" s="352">
        <v>5</v>
      </c>
      <c r="H745" s="350" t="s">
        <v>1736</v>
      </c>
      <c r="I745" s="350" t="s">
        <v>393</v>
      </c>
      <c r="J745" s="354">
        <v>232600</v>
      </c>
      <c r="K745" s="350" t="s">
        <v>394</v>
      </c>
      <c r="L745" s="354">
        <v>2.8998300000000001E-4</v>
      </c>
      <c r="M745" s="354">
        <v>82.34</v>
      </c>
      <c r="N745" s="350" t="s">
        <v>395</v>
      </c>
      <c r="O745" s="354">
        <v>67.45</v>
      </c>
      <c r="P745" s="374">
        <f t="shared" ref="P745:P755" si="785">M745*$P$2</f>
        <v>5.188089823298859</v>
      </c>
      <c r="Q745" s="354">
        <f t="shared" ref="Q745:Q755" si="786">P745*$Q$2</f>
        <v>0.48931601578090228</v>
      </c>
      <c r="R745" s="354">
        <f t="shared" ref="R745:R755" si="787">P745*$R$2</f>
        <v>0.82484448616158879</v>
      </c>
      <c r="S745" s="354">
        <f t="shared" ref="S745:S755" si="788">P745*$S$2</f>
        <v>0.73476042349929171</v>
      </c>
      <c r="T745" s="354">
        <f t="shared" ref="T745:T755" si="789">P745*$T$2</f>
        <v>3.1355034495947423</v>
      </c>
      <c r="U745" s="374">
        <f t="shared" ref="U745:U755" si="790">M745*$U$2</f>
        <v>20.822055559630776</v>
      </c>
      <c r="V745" s="354">
        <f t="shared" ref="V745:V755" si="791">U745*$V$2</f>
        <v>0.55117472236564324</v>
      </c>
      <c r="W745" s="354">
        <f t="shared" ref="W745:W755" si="792">U745*$W$2</f>
        <v>18.80171134888505</v>
      </c>
      <c r="X745" s="354">
        <f t="shared" ref="X745:X755" si="793">U745*$X$2</f>
        <v>1.4691694883800857</v>
      </c>
      <c r="Y745" s="374">
        <f t="shared" ref="Y745:Y755" si="794">M745*$Y$2</f>
        <v>3.0524815025792464</v>
      </c>
      <c r="Z745" s="354">
        <f t="shared" ref="Z745:Z755" si="795">Y745*$Z$2</f>
        <v>1.5746531888061752</v>
      </c>
      <c r="AA745" s="354">
        <f t="shared" ref="AA745:AA755" si="796">Y745*$AA$2</f>
        <v>1.477828313773071</v>
      </c>
      <c r="AB745" s="374">
        <f t="shared" ref="AB745:AB755" si="797">M745*$AB$2</f>
        <v>16.676914685990216</v>
      </c>
      <c r="AC745" s="354">
        <f t="shared" ref="AC745:AC755" si="798">AB745*$AC$2</f>
        <v>4.7327846241176532</v>
      </c>
      <c r="AD745" s="354">
        <f t="shared" ref="AD745:AD755" si="799">AB745*$AD$2</f>
        <v>10.302220821139803</v>
      </c>
      <c r="AE745" s="354">
        <f t="shared" ref="AE745:AE755" si="800">AB745*$AE$2</f>
        <v>1.6419092407327585</v>
      </c>
      <c r="AF745" s="374">
        <f t="shared" ref="AF745:AF755" si="801">M745*$AF$2</f>
        <v>13.347355630351178</v>
      </c>
      <c r="AG745" s="354">
        <f t="shared" ref="AG745:AG755" si="802">AF745*$AG$2</f>
        <v>0.85779052968224978</v>
      </c>
      <c r="AH745" s="354">
        <f t="shared" ref="AH745:AH755" si="803">AF745*$AH$2</f>
        <v>4.3158889890786671</v>
      </c>
      <c r="AI745" s="354">
        <f t="shared" ref="AI745:AI755" si="804">AF745*$AI$2</f>
        <v>0</v>
      </c>
      <c r="AJ745" s="354">
        <f t="shared" ref="AJ745:AJ755" si="805">AF745*$AJ$2</f>
        <v>8.173676111590261</v>
      </c>
      <c r="AK745" s="374">
        <f t="shared" ref="AK745:AK755" si="806">M745*$AK$2</f>
        <v>8.8158355065834009</v>
      </c>
      <c r="AL745" s="354">
        <f t="shared" ref="AL745:AL755" si="807">AK745*$AL$2</f>
        <v>2.5257953921849206</v>
      </c>
      <c r="AM745" s="354">
        <f t="shared" ref="AM745:AM755" si="808">AK745*$AM$2</f>
        <v>5.9572459200489112</v>
      </c>
      <c r="AN745" s="354">
        <f t="shared" ref="AN745:AN755" si="809">AK745*$AN$2</f>
        <v>0.33279419434956931</v>
      </c>
      <c r="AO745" s="374">
        <f t="shared" ref="AO745:AO755" si="810">M745*$AO$2</f>
        <v>5.1118197349197381</v>
      </c>
      <c r="AP745" s="354">
        <f t="shared" ref="AP745:AP755" si="811">AO745*$AP$2</f>
        <v>1.1721940332253797</v>
      </c>
      <c r="AQ745" s="354">
        <f t="shared" ref="AQ745:AQ755" si="812">AO745*$AQ$2</f>
        <v>3.9396257016943586</v>
      </c>
      <c r="AR745" s="374">
        <f t="shared" ref="AR745:AR755" si="813">M745*$AR$2</f>
        <v>9.3254475566465835</v>
      </c>
      <c r="AS745" s="354">
        <f t="shared" ref="AS745:AS755" si="814">AR745*$AS$2</f>
        <v>4.0410330078048116</v>
      </c>
      <c r="AT745" s="354">
        <f t="shared" ref="AT745:AT755" si="815">AR745*$AT$2</f>
        <v>5.2844145488417729</v>
      </c>
      <c r="AU745" s="355" t="s">
        <v>396</v>
      </c>
      <c r="AV745" s="354" t="s">
        <v>404</v>
      </c>
      <c r="AW745" s="355" t="s">
        <v>405</v>
      </c>
      <c r="AX745" s="355">
        <v>0</v>
      </c>
      <c r="AY745" s="350" t="s">
        <v>410</v>
      </c>
      <c r="AZ745" s="351">
        <v>45235</v>
      </c>
      <c r="BA745" s="351">
        <v>45236</v>
      </c>
      <c r="BB745" s="350" t="s">
        <v>407</v>
      </c>
    </row>
    <row r="746" spans="1:54" x14ac:dyDescent="0.25">
      <c r="A746" s="348" t="s">
        <v>1723</v>
      </c>
      <c r="B746" s="349">
        <v>5700</v>
      </c>
      <c r="C746" s="352" t="s">
        <v>1733</v>
      </c>
      <c r="D746" s="351">
        <v>45205</v>
      </c>
      <c r="E746" s="352">
        <v>3490</v>
      </c>
      <c r="F746" s="352">
        <v>7</v>
      </c>
      <c r="H746" s="350" t="s">
        <v>461</v>
      </c>
      <c r="I746" s="350" t="s">
        <v>393</v>
      </c>
      <c r="J746" s="354">
        <v>96500</v>
      </c>
      <c r="K746" s="350" t="s">
        <v>394</v>
      </c>
      <c r="L746" s="354">
        <v>2.8998300000000001E-4</v>
      </c>
      <c r="M746" s="354">
        <v>34.159999999999997</v>
      </c>
      <c r="N746" s="350" t="s">
        <v>395</v>
      </c>
      <c r="O746" s="354">
        <v>27.98</v>
      </c>
      <c r="P746" s="374">
        <f t="shared" si="785"/>
        <v>2.1523578863722248</v>
      </c>
      <c r="Q746" s="354">
        <f t="shared" si="786"/>
        <v>0.20300018337473424</v>
      </c>
      <c r="R746" s="354">
        <f t="shared" si="787"/>
        <v>0.3421992670303603</v>
      </c>
      <c r="S746" s="354">
        <f t="shared" si="788"/>
        <v>0.30482652497857421</v>
      </c>
      <c r="T746" s="354">
        <f t="shared" si="789"/>
        <v>1.3008112440873982</v>
      </c>
      <c r="U746" s="374">
        <f t="shared" si="790"/>
        <v>8.638346100522071</v>
      </c>
      <c r="V746" s="354">
        <f t="shared" si="791"/>
        <v>0.22866320762703879</v>
      </c>
      <c r="W746" s="354">
        <f t="shared" si="792"/>
        <v>7.8001756093989956</v>
      </c>
      <c r="X746" s="354">
        <f t="shared" si="793"/>
        <v>0.60950728349603744</v>
      </c>
      <c r="Y746" s="374">
        <f t="shared" si="794"/>
        <v>1.2663683280071296</v>
      </c>
      <c r="Z746" s="354">
        <f t="shared" si="795"/>
        <v>0.65326879924239667</v>
      </c>
      <c r="AA746" s="354">
        <f t="shared" si="796"/>
        <v>0.61309952876473284</v>
      </c>
      <c r="AB746" s="374">
        <f t="shared" si="797"/>
        <v>6.9186714315451265</v>
      </c>
      <c r="AC746" s="354">
        <f t="shared" si="798"/>
        <v>1.963467606993673</v>
      </c>
      <c r="AD746" s="354">
        <f t="shared" si="799"/>
        <v>4.2740328303392721</v>
      </c>
      <c r="AE746" s="354">
        <f t="shared" si="800"/>
        <v>0.68117099421218152</v>
      </c>
      <c r="AF746" s="374">
        <f t="shared" si="801"/>
        <v>5.5373532709836795</v>
      </c>
      <c r="AG746" s="354">
        <f t="shared" si="802"/>
        <v>0.3558674337374988</v>
      </c>
      <c r="AH746" s="354">
        <f t="shared" si="803"/>
        <v>1.7905121188599376</v>
      </c>
      <c r="AI746" s="354">
        <f t="shared" si="804"/>
        <v>0</v>
      </c>
      <c r="AJ746" s="354">
        <f t="shared" si="805"/>
        <v>3.3909737183862436</v>
      </c>
      <c r="AK746" s="374">
        <f t="shared" si="806"/>
        <v>3.65738329979219</v>
      </c>
      <c r="AL746" s="354">
        <f t="shared" si="807"/>
        <v>1.0478645931143657</v>
      </c>
      <c r="AM746" s="354">
        <f t="shared" si="808"/>
        <v>2.4714539789758412</v>
      </c>
      <c r="AN746" s="354">
        <f t="shared" si="809"/>
        <v>0.13806472770198305</v>
      </c>
      <c r="AO746" s="374">
        <f t="shared" si="810"/>
        <v>2.1207160814289319</v>
      </c>
      <c r="AP746" s="354">
        <f t="shared" si="811"/>
        <v>0.48630250394679342</v>
      </c>
      <c r="AQ746" s="354">
        <f t="shared" si="812"/>
        <v>1.6344135774821384</v>
      </c>
      <c r="AR746" s="374">
        <f t="shared" si="813"/>
        <v>3.8688036013486427</v>
      </c>
      <c r="AS746" s="354">
        <f t="shared" si="814"/>
        <v>1.6764839391135817</v>
      </c>
      <c r="AT746" s="354">
        <f t="shared" si="815"/>
        <v>2.1923196622350609</v>
      </c>
      <c r="AU746" s="355" t="s">
        <v>396</v>
      </c>
      <c r="AV746" s="354" t="s">
        <v>404</v>
      </c>
      <c r="AW746" s="355" t="s">
        <v>405</v>
      </c>
      <c r="AX746" s="355">
        <v>0</v>
      </c>
      <c r="AY746" s="350" t="s">
        <v>410</v>
      </c>
      <c r="AZ746" s="351">
        <v>45235</v>
      </c>
      <c r="BA746" s="351">
        <v>45236</v>
      </c>
      <c r="BB746" s="350" t="s">
        <v>407</v>
      </c>
    </row>
    <row r="747" spans="1:54" x14ac:dyDescent="0.25">
      <c r="A747" s="348" t="s">
        <v>1724</v>
      </c>
      <c r="B747" s="349">
        <v>5703</v>
      </c>
      <c r="C747" s="352" t="s">
        <v>1733</v>
      </c>
      <c r="D747" s="351">
        <v>45208</v>
      </c>
      <c r="E747" s="352">
        <v>3490</v>
      </c>
      <c r="F747" s="352">
        <v>7</v>
      </c>
      <c r="H747" s="350" t="s">
        <v>1478</v>
      </c>
      <c r="I747" s="350" t="s">
        <v>393</v>
      </c>
      <c r="J747" s="354">
        <v>50000</v>
      </c>
      <c r="K747" s="350" t="s">
        <v>394</v>
      </c>
      <c r="L747" s="354">
        <v>2.8998300000000001E-4</v>
      </c>
      <c r="M747" s="354">
        <v>17.7</v>
      </c>
      <c r="N747" s="350" t="s">
        <v>395</v>
      </c>
      <c r="O747" s="354">
        <v>14.5</v>
      </c>
      <c r="P747" s="374">
        <f t="shared" si="785"/>
        <v>1.1152439867912289</v>
      </c>
      <c r="Q747" s="354">
        <f t="shared" si="786"/>
        <v>0.10518452124510527</v>
      </c>
      <c r="R747" s="354">
        <f t="shared" si="787"/>
        <v>0.1773105101416094</v>
      </c>
      <c r="S747" s="354">
        <f t="shared" si="788"/>
        <v>0.15794582822367575</v>
      </c>
      <c r="T747" s="354">
        <f t="shared" si="789"/>
        <v>0.6740151938040676</v>
      </c>
      <c r="U747" s="374">
        <f t="shared" si="790"/>
        <v>4.4759580204695739</v>
      </c>
      <c r="V747" s="354">
        <f t="shared" si="791"/>
        <v>0.11848181425639889</v>
      </c>
      <c r="W747" s="354">
        <f t="shared" si="792"/>
        <v>4.0416600786405796</v>
      </c>
      <c r="X747" s="354">
        <f t="shared" si="793"/>
        <v>0.31581612757259553</v>
      </c>
      <c r="Y747" s="374">
        <f t="shared" si="794"/>
        <v>0.65616860087020479</v>
      </c>
      <c r="Z747" s="354">
        <f t="shared" si="795"/>
        <v>0.3384911518322723</v>
      </c>
      <c r="AA747" s="354">
        <f t="shared" si="796"/>
        <v>0.31767744903793244</v>
      </c>
      <c r="AB747" s="374">
        <f t="shared" si="797"/>
        <v>3.5849087921062281</v>
      </c>
      <c r="AC747" s="354">
        <f t="shared" si="798"/>
        <v>1.0173705106495321</v>
      </c>
      <c r="AD747" s="354">
        <f t="shared" si="799"/>
        <v>2.2145896105680656</v>
      </c>
      <c r="AE747" s="354">
        <f t="shared" si="800"/>
        <v>0.35294867088863036</v>
      </c>
      <c r="AF747" s="374">
        <f t="shared" si="801"/>
        <v>2.8691789489581714</v>
      </c>
      <c r="AG747" s="354">
        <f t="shared" si="802"/>
        <v>0.18439266912042532</v>
      </c>
      <c r="AH747" s="354">
        <f t="shared" si="803"/>
        <v>0.92775364472543609</v>
      </c>
      <c r="AI747" s="354">
        <f t="shared" si="804"/>
        <v>0</v>
      </c>
      <c r="AJ747" s="354">
        <f t="shared" si="805"/>
        <v>1.7570326351123102</v>
      </c>
      <c r="AK747" s="374">
        <f t="shared" si="806"/>
        <v>1.8950727285222999</v>
      </c>
      <c r="AL747" s="354">
        <f t="shared" si="807"/>
        <v>0.54295091622143654</v>
      </c>
      <c r="AM747" s="354">
        <f t="shared" si="808"/>
        <v>1.2805835898089108</v>
      </c>
      <c r="AN747" s="354">
        <f t="shared" si="809"/>
        <v>7.1538222491952588E-2</v>
      </c>
      <c r="AO747" s="374">
        <f t="shared" si="810"/>
        <v>1.098848789264991</v>
      </c>
      <c r="AP747" s="354">
        <f t="shared" si="811"/>
        <v>0.2519775854759439</v>
      </c>
      <c r="AQ747" s="354">
        <f t="shared" si="812"/>
        <v>0.84687120378904712</v>
      </c>
      <c r="AR747" s="374">
        <f t="shared" si="813"/>
        <v>2.0046201330173004</v>
      </c>
      <c r="AS747" s="354">
        <f t="shared" si="814"/>
        <v>0.86866995674210778</v>
      </c>
      <c r="AT747" s="354">
        <f t="shared" si="815"/>
        <v>1.1359501762751927</v>
      </c>
      <c r="AU747" s="355" t="s">
        <v>396</v>
      </c>
      <c r="AV747" s="354" t="s">
        <v>404</v>
      </c>
      <c r="AW747" s="355" t="s">
        <v>405</v>
      </c>
      <c r="AX747" s="355">
        <v>0</v>
      </c>
      <c r="AY747" s="350" t="s">
        <v>410</v>
      </c>
      <c r="AZ747" s="351">
        <v>45235</v>
      </c>
      <c r="BA747" s="351">
        <v>45236</v>
      </c>
      <c r="BB747" s="350" t="s">
        <v>407</v>
      </c>
    </row>
    <row r="748" spans="1:54" x14ac:dyDescent="0.25">
      <c r="A748" s="348" t="s">
        <v>1725</v>
      </c>
      <c r="B748" s="349">
        <v>5705</v>
      </c>
      <c r="C748" s="352" t="s">
        <v>1733</v>
      </c>
      <c r="D748" s="351">
        <v>45211</v>
      </c>
      <c r="E748" s="352">
        <v>3490</v>
      </c>
      <c r="F748" s="352">
        <v>7</v>
      </c>
      <c r="H748" s="350" t="s">
        <v>1737</v>
      </c>
      <c r="I748" s="350" t="s">
        <v>393</v>
      </c>
      <c r="J748" s="354">
        <v>4000</v>
      </c>
      <c r="K748" s="350" t="s">
        <v>394</v>
      </c>
      <c r="L748" s="354">
        <v>2.8998300000000001E-4</v>
      </c>
      <c r="M748" s="354">
        <v>1.42</v>
      </c>
      <c r="N748" s="350" t="s">
        <v>395</v>
      </c>
      <c r="O748" s="354">
        <v>1.1599999999999999</v>
      </c>
      <c r="P748" s="374">
        <f t="shared" si="785"/>
        <v>8.9471551482686165E-2</v>
      </c>
      <c r="Q748" s="354">
        <f t="shared" si="786"/>
        <v>8.4385322128841516E-3</v>
      </c>
      <c r="R748" s="354">
        <f t="shared" si="787"/>
        <v>1.4224910983112168E-2</v>
      </c>
      <c r="S748" s="354">
        <f t="shared" si="788"/>
        <v>1.2671360230373987E-2</v>
      </c>
      <c r="T748" s="354">
        <f t="shared" si="789"/>
        <v>5.4073535322134242E-2</v>
      </c>
      <c r="U748" s="374">
        <f t="shared" si="790"/>
        <v>0.35908815757439522</v>
      </c>
      <c r="V748" s="354">
        <f t="shared" si="791"/>
        <v>9.5053206917562957E-3</v>
      </c>
      <c r="W748" s="354">
        <f t="shared" si="792"/>
        <v>0.32424617580054371</v>
      </c>
      <c r="X748" s="354">
        <f t="shared" si="793"/>
        <v>2.5336661082095237E-2</v>
      </c>
      <c r="Y748" s="374">
        <f t="shared" si="794"/>
        <v>5.2641774759078573E-2</v>
      </c>
      <c r="Z748" s="354">
        <f t="shared" si="795"/>
        <v>2.7155787322137099E-2</v>
      </c>
      <c r="AA748" s="354">
        <f t="shared" si="796"/>
        <v>2.5485987436941471E-2</v>
      </c>
      <c r="AB748" s="374">
        <f t="shared" si="797"/>
        <v>0.28760285224807025</v>
      </c>
      <c r="AC748" s="354">
        <f t="shared" si="798"/>
        <v>8.1619555091657359E-2</v>
      </c>
      <c r="AD748" s="354">
        <f t="shared" si="799"/>
        <v>0.17766764107382221</v>
      </c>
      <c r="AE748" s="354">
        <f t="shared" si="800"/>
        <v>2.8315656082590682E-2</v>
      </c>
      <c r="AF748" s="374">
        <f t="shared" si="801"/>
        <v>0.23018271793901715</v>
      </c>
      <c r="AG748" s="354">
        <f t="shared" si="802"/>
        <v>1.4793084189322257E-2</v>
      </c>
      <c r="AH748" s="354">
        <f t="shared" si="803"/>
        <v>7.4429953418650815E-2</v>
      </c>
      <c r="AI748" s="354">
        <f t="shared" si="804"/>
        <v>0</v>
      </c>
      <c r="AJ748" s="354">
        <f t="shared" si="805"/>
        <v>0.14095968033104408</v>
      </c>
      <c r="AK748" s="374">
        <f t="shared" si="806"/>
        <v>0.15203408330517887</v>
      </c>
      <c r="AL748" s="354">
        <f t="shared" si="807"/>
        <v>4.3558774069742366E-2</v>
      </c>
      <c r="AM748" s="354">
        <f t="shared" si="808"/>
        <v>0.10273608460613862</v>
      </c>
      <c r="AN748" s="354">
        <f t="shared" si="809"/>
        <v>5.7392246292978909E-3</v>
      </c>
      <c r="AO748" s="374">
        <f t="shared" si="810"/>
        <v>8.8156230551202669E-2</v>
      </c>
      <c r="AP748" s="354">
        <f t="shared" si="811"/>
        <v>2.0215150925188718E-2</v>
      </c>
      <c r="AQ748" s="354">
        <f t="shared" si="812"/>
        <v>6.794107962601395E-2</v>
      </c>
      <c r="AR748" s="374">
        <f t="shared" si="813"/>
        <v>0.16082263214037099</v>
      </c>
      <c r="AS748" s="354">
        <f t="shared" si="814"/>
        <v>6.9689906134112592E-2</v>
      </c>
      <c r="AT748" s="354">
        <f t="shared" si="815"/>
        <v>9.1132726006258394E-2</v>
      </c>
      <c r="AU748" s="355" t="s">
        <v>396</v>
      </c>
      <c r="AV748" s="354" t="s">
        <v>404</v>
      </c>
      <c r="AW748" s="355" t="s">
        <v>405</v>
      </c>
      <c r="AX748" s="355">
        <v>0</v>
      </c>
      <c r="AY748" s="350" t="s">
        <v>410</v>
      </c>
      <c r="AZ748" s="351">
        <v>45235</v>
      </c>
      <c r="BA748" s="351">
        <v>45236</v>
      </c>
      <c r="BB748" s="350" t="s">
        <v>407</v>
      </c>
    </row>
    <row r="749" spans="1:54" x14ac:dyDescent="0.25">
      <c r="A749" s="348" t="s">
        <v>1726</v>
      </c>
      <c r="B749" s="349">
        <v>5709</v>
      </c>
      <c r="C749" s="352" t="s">
        <v>1733</v>
      </c>
      <c r="D749" s="351">
        <v>45216</v>
      </c>
      <c r="E749" s="352">
        <v>3490</v>
      </c>
      <c r="F749" s="352">
        <v>7</v>
      </c>
      <c r="H749" s="350" t="s">
        <v>1738</v>
      </c>
      <c r="I749" s="350" t="s">
        <v>393</v>
      </c>
      <c r="J749" s="354">
        <v>7000</v>
      </c>
      <c r="K749" s="350" t="s">
        <v>394</v>
      </c>
      <c r="L749" s="354">
        <v>2.8998300000000001E-4</v>
      </c>
      <c r="M749" s="354">
        <v>2.48</v>
      </c>
      <c r="N749" s="350" t="s">
        <v>395</v>
      </c>
      <c r="O749" s="354">
        <v>2.0299999999999998</v>
      </c>
      <c r="P749" s="374">
        <f t="shared" si="785"/>
        <v>0.156260174420466</v>
      </c>
      <c r="Q749" s="354">
        <f t="shared" si="786"/>
        <v>1.4737718230952606E-2</v>
      </c>
      <c r="R749" s="354">
        <f t="shared" si="787"/>
        <v>2.4843506505717029E-2</v>
      </c>
      <c r="S749" s="354">
        <f t="shared" si="788"/>
        <v>2.213026293755457E-2</v>
      </c>
      <c r="T749" s="354">
        <f t="shared" si="789"/>
        <v>9.443828704147389E-2</v>
      </c>
      <c r="U749" s="374">
        <f t="shared" si="790"/>
        <v>0.62713988083415506</v>
      </c>
      <c r="V749" s="354">
        <f t="shared" si="791"/>
        <v>1.6600841771518039E-2</v>
      </c>
      <c r="W749" s="354">
        <f t="shared" si="792"/>
        <v>0.56628909576432984</v>
      </c>
      <c r="X749" s="354">
        <f t="shared" si="793"/>
        <v>4.4249943298307171E-2</v>
      </c>
      <c r="Y749" s="374">
        <f t="shared" si="794"/>
        <v>9.1937747466559763E-2</v>
      </c>
      <c r="Z749" s="354">
        <f t="shared" si="795"/>
        <v>4.7427008844295779E-2</v>
      </c>
      <c r="AA749" s="354">
        <f t="shared" si="796"/>
        <v>4.4510738622263978E-2</v>
      </c>
      <c r="AB749" s="374">
        <f t="shared" si="797"/>
        <v>0.50229230533465796</v>
      </c>
      <c r="AC749" s="354">
        <f t="shared" si="798"/>
        <v>0.14254682861078188</v>
      </c>
      <c r="AD749" s="354">
        <f t="shared" si="799"/>
        <v>0.3102927815937177</v>
      </c>
      <c r="AE749" s="354">
        <f t="shared" si="800"/>
        <v>4.9452695130158382E-2</v>
      </c>
      <c r="AF749" s="374">
        <f t="shared" si="801"/>
        <v>0.40200925386532571</v>
      </c>
      <c r="AG749" s="354">
        <f t="shared" si="802"/>
        <v>2.583580900670366E-2</v>
      </c>
      <c r="AH749" s="354">
        <f t="shared" si="803"/>
        <v>0.12999034118186903</v>
      </c>
      <c r="AI749" s="354">
        <f t="shared" si="804"/>
        <v>0</v>
      </c>
      <c r="AJ749" s="354">
        <f t="shared" si="805"/>
        <v>0.24618310367675306</v>
      </c>
      <c r="AK749" s="374">
        <f t="shared" si="806"/>
        <v>0.26552431450481945</v>
      </c>
      <c r="AL749" s="354">
        <f t="shared" si="807"/>
        <v>7.6074478657014846E-2</v>
      </c>
      <c r="AM749" s="354">
        <f t="shared" si="808"/>
        <v>0.1794264012839604</v>
      </c>
      <c r="AN749" s="354">
        <f t="shared" si="809"/>
        <v>1.0023434563844205E-2</v>
      </c>
      <c r="AO749" s="374">
        <f t="shared" si="810"/>
        <v>0.15396299420210044</v>
      </c>
      <c r="AP749" s="354">
        <f t="shared" si="811"/>
        <v>3.5305334010188746E-2</v>
      </c>
      <c r="AQ749" s="354">
        <f t="shared" si="812"/>
        <v>0.11865766019191169</v>
      </c>
      <c r="AR749" s="374">
        <f t="shared" si="813"/>
        <v>0.2808733293719155</v>
      </c>
      <c r="AS749" s="354">
        <f t="shared" si="814"/>
        <v>0.12171194874126706</v>
      </c>
      <c r="AT749" s="354">
        <f t="shared" si="815"/>
        <v>0.15916138063064847</v>
      </c>
      <c r="AU749" s="355" t="s">
        <v>396</v>
      </c>
      <c r="AV749" s="354" t="s">
        <v>404</v>
      </c>
      <c r="AW749" s="355" t="s">
        <v>405</v>
      </c>
      <c r="AX749" s="355">
        <v>0</v>
      </c>
      <c r="AY749" s="350" t="s">
        <v>410</v>
      </c>
      <c r="AZ749" s="351">
        <v>45235</v>
      </c>
      <c r="BA749" s="351">
        <v>45236</v>
      </c>
      <c r="BB749" s="350" t="s">
        <v>407</v>
      </c>
    </row>
    <row r="750" spans="1:54" x14ac:dyDescent="0.25">
      <c r="A750" s="348" t="s">
        <v>1727</v>
      </c>
      <c r="B750" s="349">
        <v>5713</v>
      </c>
      <c r="C750" s="352" t="s">
        <v>1733</v>
      </c>
      <c r="D750" s="351">
        <v>45222</v>
      </c>
      <c r="E750" s="352">
        <v>3340</v>
      </c>
      <c r="F750" s="352">
        <v>7</v>
      </c>
      <c r="H750" s="350" t="s">
        <v>1739</v>
      </c>
      <c r="I750" s="350" t="s">
        <v>393</v>
      </c>
      <c r="J750" s="354">
        <v>40000</v>
      </c>
      <c r="K750" s="350" t="s">
        <v>394</v>
      </c>
      <c r="L750" s="354">
        <v>2.8998300000000001E-4</v>
      </c>
      <c r="M750" s="354">
        <v>14.16</v>
      </c>
      <c r="N750" s="350" t="s">
        <v>395</v>
      </c>
      <c r="O750" s="354">
        <v>11.6</v>
      </c>
      <c r="P750" s="374">
        <f t="shared" si="785"/>
        <v>0.89219518943298326</v>
      </c>
      <c r="Q750" s="354">
        <f t="shared" si="786"/>
        <v>8.4147616996084237E-2</v>
      </c>
      <c r="R750" s="354">
        <f t="shared" si="787"/>
        <v>0.14184840811328756</v>
      </c>
      <c r="S750" s="354">
        <f t="shared" si="788"/>
        <v>0.12635666257894063</v>
      </c>
      <c r="T750" s="354">
        <f t="shared" si="789"/>
        <v>0.53921215504325415</v>
      </c>
      <c r="U750" s="374">
        <f t="shared" si="790"/>
        <v>3.5807664163756594</v>
      </c>
      <c r="V750" s="354">
        <f t="shared" si="791"/>
        <v>9.4785451405119125E-2</v>
      </c>
      <c r="W750" s="354">
        <f t="shared" si="792"/>
        <v>3.2333280629124639</v>
      </c>
      <c r="X750" s="354">
        <f t="shared" si="793"/>
        <v>0.25265290205807645</v>
      </c>
      <c r="Y750" s="374">
        <f t="shared" si="794"/>
        <v>0.52493488069616379</v>
      </c>
      <c r="Z750" s="354">
        <f t="shared" si="795"/>
        <v>0.27079292146581779</v>
      </c>
      <c r="AA750" s="354">
        <f t="shared" si="796"/>
        <v>0.25414195923034594</v>
      </c>
      <c r="AB750" s="374">
        <f t="shared" si="797"/>
        <v>2.8679270336849827</v>
      </c>
      <c r="AC750" s="354">
        <f t="shared" si="798"/>
        <v>0.81389640851962564</v>
      </c>
      <c r="AD750" s="354">
        <f t="shared" si="799"/>
        <v>1.7716716884544528</v>
      </c>
      <c r="AE750" s="354">
        <f t="shared" si="800"/>
        <v>0.28235893671090434</v>
      </c>
      <c r="AF750" s="374">
        <f t="shared" si="801"/>
        <v>2.2953431591665372</v>
      </c>
      <c r="AG750" s="354">
        <f t="shared" si="802"/>
        <v>0.14751413529634025</v>
      </c>
      <c r="AH750" s="354">
        <f t="shared" si="803"/>
        <v>0.74220291578034892</v>
      </c>
      <c r="AI750" s="354">
        <f t="shared" si="804"/>
        <v>0</v>
      </c>
      <c r="AJ750" s="354">
        <f t="shared" si="805"/>
        <v>1.4056261080898482</v>
      </c>
      <c r="AK750" s="374">
        <f t="shared" si="806"/>
        <v>1.5160581828178399</v>
      </c>
      <c r="AL750" s="354">
        <f t="shared" si="807"/>
        <v>0.43436073297714922</v>
      </c>
      <c r="AM750" s="354">
        <f t="shared" si="808"/>
        <v>1.0244668718471286</v>
      </c>
      <c r="AN750" s="354">
        <f t="shared" si="809"/>
        <v>5.7230577993562064E-2</v>
      </c>
      <c r="AO750" s="374">
        <f t="shared" si="810"/>
        <v>0.87907903141199284</v>
      </c>
      <c r="AP750" s="354">
        <f t="shared" si="811"/>
        <v>0.20158206838075513</v>
      </c>
      <c r="AQ750" s="354">
        <f t="shared" si="812"/>
        <v>0.67749696303123774</v>
      </c>
      <c r="AR750" s="374">
        <f t="shared" si="813"/>
        <v>1.6036961064138404</v>
      </c>
      <c r="AS750" s="354">
        <f t="shared" si="814"/>
        <v>0.69493596539368629</v>
      </c>
      <c r="AT750" s="354">
        <f t="shared" si="815"/>
        <v>0.90876014102015423</v>
      </c>
      <c r="AU750" s="355" t="s">
        <v>396</v>
      </c>
      <c r="AV750" s="354" t="s">
        <v>404</v>
      </c>
      <c r="AW750" s="355" t="s">
        <v>405</v>
      </c>
      <c r="AX750" s="355">
        <v>0</v>
      </c>
      <c r="AY750" s="350" t="s">
        <v>410</v>
      </c>
      <c r="AZ750" s="351">
        <v>45235</v>
      </c>
      <c r="BA750" s="351">
        <v>45236</v>
      </c>
      <c r="BB750" s="350" t="s">
        <v>407</v>
      </c>
    </row>
    <row r="751" spans="1:54" x14ac:dyDescent="0.25">
      <c r="A751" s="348" t="s">
        <v>1728</v>
      </c>
      <c r="B751" s="349">
        <v>5719</v>
      </c>
      <c r="C751" s="352" t="s">
        <v>1733</v>
      </c>
      <c r="D751" s="351">
        <v>45225</v>
      </c>
      <c r="E751" s="352">
        <v>3490</v>
      </c>
      <c r="F751" s="352">
        <v>7</v>
      </c>
      <c r="H751" s="350" t="s">
        <v>1740</v>
      </c>
      <c r="I751" s="350" t="s">
        <v>393</v>
      </c>
      <c r="J751" s="354">
        <v>30000</v>
      </c>
      <c r="K751" s="350" t="s">
        <v>394</v>
      </c>
      <c r="L751" s="354">
        <v>2.8998300000000001E-4</v>
      </c>
      <c r="M751" s="354">
        <v>10.62</v>
      </c>
      <c r="N751" s="350" t="s">
        <v>395</v>
      </c>
      <c r="O751" s="354">
        <v>8.6999999999999993</v>
      </c>
      <c r="P751" s="374">
        <f t="shared" si="785"/>
        <v>0.66914639207473736</v>
      </c>
      <c r="Q751" s="354">
        <f t="shared" si="786"/>
        <v>6.3110712747063161E-2</v>
      </c>
      <c r="R751" s="354">
        <f t="shared" si="787"/>
        <v>0.10638630608496565</v>
      </c>
      <c r="S751" s="354">
        <f t="shared" si="788"/>
        <v>9.4767496934205456E-2</v>
      </c>
      <c r="T751" s="354">
        <f t="shared" si="789"/>
        <v>0.40440911628244058</v>
      </c>
      <c r="U751" s="374">
        <f t="shared" si="790"/>
        <v>2.6855748122817444</v>
      </c>
      <c r="V751" s="354">
        <f t="shared" si="791"/>
        <v>7.1089088553839344E-2</v>
      </c>
      <c r="W751" s="354">
        <f t="shared" si="792"/>
        <v>2.4249960471843481</v>
      </c>
      <c r="X751" s="354">
        <f t="shared" si="793"/>
        <v>0.18948967654355731</v>
      </c>
      <c r="Y751" s="374">
        <f t="shared" si="794"/>
        <v>0.39370116052212284</v>
      </c>
      <c r="Z751" s="354">
        <f t="shared" si="795"/>
        <v>0.20309469109936337</v>
      </c>
      <c r="AA751" s="354">
        <f t="shared" si="796"/>
        <v>0.19060646942275947</v>
      </c>
      <c r="AB751" s="374">
        <f t="shared" si="797"/>
        <v>2.1509452752637368</v>
      </c>
      <c r="AC751" s="354">
        <f t="shared" si="798"/>
        <v>0.61042230638971917</v>
      </c>
      <c r="AD751" s="354">
        <f t="shared" si="799"/>
        <v>1.3287537663408393</v>
      </c>
      <c r="AE751" s="354">
        <f t="shared" si="800"/>
        <v>0.21176920253317821</v>
      </c>
      <c r="AF751" s="374">
        <f t="shared" si="801"/>
        <v>1.7215073693749028</v>
      </c>
      <c r="AG751" s="354">
        <f t="shared" si="802"/>
        <v>0.11063560147225518</v>
      </c>
      <c r="AH751" s="354">
        <f t="shared" si="803"/>
        <v>0.55665218683526163</v>
      </c>
      <c r="AI751" s="354">
        <f t="shared" si="804"/>
        <v>0</v>
      </c>
      <c r="AJ751" s="354">
        <f t="shared" si="805"/>
        <v>1.054219581067386</v>
      </c>
      <c r="AK751" s="374">
        <f t="shared" si="806"/>
        <v>1.1370436371133799</v>
      </c>
      <c r="AL751" s="354">
        <f t="shared" si="807"/>
        <v>0.3257705497328619</v>
      </c>
      <c r="AM751" s="354">
        <f t="shared" si="808"/>
        <v>0.76835015388534644</v>
      </c>
      <c r="AN751" s="354">
        <f t="shared" si="809"/>
        <v>4.2922933495171546E-2</v>
      </c>
      <c r="AO751" s="374">
        <f t="shared" si="810"/>
        <v>0.6593092735589946</v>
      </c>
      <c r="AP751" s="354">
        <f t="shared" si="811"/>
        <v>0.15118655128556632</v>
      </c>
      <c r="AQ751" s="354">
        <f t="shared" si="812"/>
        <v>0.50812272227342825</v>
      </c>
      <c r="AR751" s="374">
        <f t="shared" si="813"/>
        <v>1.20277207981038</v>
      </c>
      <c r="AS751" s="354">
        <f t="shared" si="814"/>
        <v>0.52120197404526458</v>
      </c>
      <c r="AT751" s="354">
        <f t="shared" si="815"/>
        <v>0.68157010576511556</v>
      </c>
      <c r="AU751" s="355" t="s">
        <v>396</v>
      </c>
      <c r="AV751" s="354" t="s">
        <v>404</v>
      </c>
      <c r="AW751" s="355" t="s">
        <v>405</v>
      </c>
      <c r="AX751" s="355">
        <v>0</v>
      </c>
      <c r="AY751" s="350" t="s">
        <v>410</v>
      </c>
      <c r="AZ751" s="351">
        <v>45235</v>
      </c>
      <c r="BA751" s="351">
        <v>45236</v>
      </c>
      <c r="BB751" s="350" t="s">
        <v>407</v>
      </c>
    </row>
    <row r="752" spans="1:54" x14ac:dyDescent="0.25">
      <c r="A752" s="348" t="s">
        <v>1729</v>
      </c>
      <c r="B752" s="349">
        <v>5615</v>
      </c>
      <c r="C752" s="352" t="s">
        <v>1733</v>
      </c>
      <c r="D752" s="351">
        <v>45201</v>
      </c>
      <c r="E752" s="352">
        <v>3170</v>
      </c>
      <c r="F752" s="352">
        <v>1</v>
      </c>
      <c r="H752" s="350" t="s">
        <v>1741</v>
      </c>
      <c r="I752" s="350" t="s">
        <v>393</v>
      </c>
      <c r="J752" s="354">
        <v>1500000</v>
      </c>
      <c r="K752" s="350" t="s">
        <v>394</v>
      </c>
      <c r="L752" s="354">
        <v>2.8998300000000001E-4</v>
      </c>
      <c r="M752" s="354">
        <v>530.97</v>
      </c>
      <c r="N752" s="350" t="s">
        <v>395</v>
      </c>
      <c r="O752" s="354">
        <v>434.97</v>
      </c>
      <c r="P752" s="374">
        <f t="shared" si="785"/>
        <v>33.455429359691465</v>
      </c>
      <c r="Q752" s="354">
        <f t="shared" si="786"/>
        <v>3.1553573585035908</v>
      </c>
      <c r="R752" s="354">
        <f t="shared" si="787"/>
        <v>5.3190147779599073</v>
      </c>
      <c r="S752" s="354">
        <f t="shared" si="788"/>
        <v>4.7381071419166734</v>
      </c>
      <c r="T752" s="354">
        <f t="shared" si="789"/>
        <v>20.219313415488465</v>
      </c>
      <c r="U752" s="374">
        <f t="shared" si="790"/>
        <v>134.27115424456102</v>
      </c>
      <c r="V752" s="354">
        <f t="shared" si="791"/>
        <v>3.5542536110576348</v>
      </c>
      <c r="W752" s="354">
        <f t="shared" si="792"/>
        <v>121.24295208789768</v>
      </c>
      <c r="X752" s="354">
        <f t="shared" si="793"/>
        <v>9.47394854560571</v>
      </c>
      <c r="Y752" s="374">
        <f t="shared" si="794"/>
        <v>19.683945875935176</v>
      </c>
      <c r="Z752" s="354">
        <f t="shared" si="795"/>
        <v>10.154160841151503</v>
      </c>
      <c r="AA752" s="354">
        <f t="shared" si="796"/>
        <v>9.5297850347836714</v>
      </c>
      <c r="AB752" s="374">
        <f t="shared" si="797"/>
        <v>107.54118764659006</v>
      </c>
      <c r="AC752" s="354">
        <f t="shared" si="798"/>
        <v>30.519390962688252</v>
      </c>
      <c r="AD752" s="354">
        <f t="shared" si="799"/>
        <v>66.433934775329149</v>
      </c>
      <c r="AE752" s="354">
        <f t="shared" si="800"/>
        <v>10.587861908572661</v>
      </c>
      <c r="AF752" s="374">
        <f t="shared" si="801"/>
        <v>86.070505453577425</v>
      </c>
      <c r="AG752" s="354">
        <f t="shared" si="802"/>
        <v>5.531467543665098</v>
      </c>
      <c r="AH752" s="354">
        <f t="shared" si="803"/>
        <v>27.831036877958468</v>
      </c>
      <c r="AI752" s="354">
        <f t="shared" si="804"/>
        <v>0</v>
      </c>
      <c r="AJ752" s="354">
        <f t="shared" si="805"/>
        <v>52.708001031953863</v>
      </c>
      <c r="AK752" s="374">
        <f t="shared" si="806"/>
        <v>56.848969867993539</v>
      </c>
      <c r="AL752" s="354">
        <f t="shared" si="807"/>
        <v>16.287607230852892</v>
      </c>
      <c r="AM752" s="354">
        <f t="shared" si="808"/>
        <v>38.415337213606634</v>
      </c>
      <c r="AN752" s="354">
        <f t="shared" si="809"/>
        <v>2.1460254235340148</v>
      </c>
      <c r="AO752" s="374">
        <f t="shared" si="810"/>
        <v>32.963601222374706</v>
      </c>
      <c r="AP752" s="354">
        <f t="shared" si="811"/>
        <v>7.558900483624968</v>
      </c>
      <c r="AQ752" s="354">
        <f t="shared" si="812"/>
        <v>25.404700738749739</v>
      </c>
      <c r="AR752" s="374">
        <f t="shared" si="813"/>
        <v>60.135206329276613</v>
      </c>
      <c r="AS752" s="354">
        <f t="shared" si="814"/>
        <v>26.058626380302655</v>
      </c>
      <c r="AT752" s="354">
        <f t="shared" si="815"/>
        <v>34.076579948973965</v>
      </c>
      <c r="AU752" s="355" t="s">
        <v>396</v>
      </c>
      <c r="AV752" s="354" t="s">
        <v>404</v>
      </c>
      <c r="AW752" s="355" t="s">
        <v>405</v>
      </c>
      <c r="AX752" s="355">
        <v>0</v>
      </c>
      <c r="AY752" s="350" t="s">
        <v>410</v>
      </c>
      <c r="AZ752" s="351">
        <v>45234</v>
      </c>
      <c r="BA752" s="351">
        <v>45236</v>
      </c>
      <c r="BB752" s="350" t="s">
        <v>407</v>
      </c>
    </row>
    <row r="753" spans="1:54" x14ac:dyDescent="0.25">
      <c r="A753" s="348" t="s">
        <v>1730</v>
      </c>
      <c r="B753" s="349">
        <v>5729</v>
      </c>
      <c r="C753" s="352" t="s">
        <v>1733</v>
      </c>
      <c r="D753" s="351">
        <v>45210</v>
      </c>
      <c r="E753" s="352">
        <v>3340</v>
      </c>
      <c r="F753" s="352">
        <v>5</v>
      </c>
      <c r="H753" s="350" t="s">
        <v>1742</v>
      </c>
      <c r="I753" s="350" t="s">
        <v>393</v>
      </c>
      <c r="J753" s="354">
        <v>214760</v>
      </c>
      <c r="K753" s="350" t="s">
        <v>394</v>
      </c>
      <c r="L753" s="354">
        <v>2.8998300000000001E-4</v>
      </c>
      <c r="M753" s="354">
        <v>76.02</v>
      </c>
      <c r="N753" s="350" t="s">
        <v>395</v>
      </c>
      <c r="O753" s="354">
        <v>62.28</v>
      </c>
      <c r="P753" s="374">
        <f t="shared" si="785"/>
        <v>4.7898784110660575</v>
      </c>
      <c r="Q753" s="354">
        <f t="shared" si="786"/>
        <v>0.45175860480524876</v>
      </c>
      <c r="R753" s="354">
        <f t="shared" si="787"/>
        <v>0.76153361474379355</v>
      </c>
      <c r="S753" s="354">
        <f t="shared" si="788"/>
        <v>0.67836394698100733</v>
      </c>
      <c r="T753" s="354">
        <f t="shared" si="789"/>
        <v>2.8948381374567917</v>
      </c>
      <c r="U753" s="374">
        <f t="shared" si="790"/>
        <v>19.223860379440509</v>
      </c>
      <c r="V753" s="354">
        <f t="shared" si="791"/>
        <v>0.50886935139951661</v>
      </c>
      <c r="W753" s="354">
        <f t="shared" si="792"/>
        <v>17.358587524195304</v>
      </c>
      <c r="X753" s="354">
        <f t="shared" si="793"/>
        <v>1.3564035038456899</v>
      </c>
      <c r="Y753" s="374">
        <f t="shared" si="794"/>
        <v>2.8181885332289811</v>
      </c>
      <c r="Z753" s="354">
        <f t="shared" si="795"/>
        <v>1.4537908114287761</v>
      </c>
      <c r="AA753" s="354">
        <f t="shared" si="796"/>
        <v>1.3643977218002048</v>
      </c>
      <c r="AB753" s="374">
        <f t="shared" si="797"/>
        <v>15.39687945626641</v>
      </c>
      <c r="AC753" s="354">
        <f t="shared" si="798"/>
        <v>4.3695201253998546</v>
      </c>
      <c r="AD753" s="354">
        <f t="shared" si="799"/>
        <v>9.5114747003042002</v>
      </c>
      <c r="AE753" s="354">
        <f t="shared" si="800"/>
        <v>1.5158846305623548</v>
      </c>
      <c r="AF753" s="374">
        <f t="shared" si="801"/>
        <v>12.322880435016959</v>
      </c>
      <c r="AG753" s="354">
        <f t="shared" si="802"/>
        <v>0.79195088737484354</v>
      </c>
      <c r="AH753" s="354">
        <f t="shared" si="803"/>
        <v>3.9846232809055171</v>
      </c>
      <c r="AI753" s="354">
        <f t="shared" si="804"/>
        <v>0</v>
      </c>
      <c r="AJ753" s="354">
        <f t="shared" si="805"/>
        <v>7.5463062667365994</v>
      </c>
      <c r="AK753" s="374">
        <f t="shared" si="806"/>
        <v>8.139176769619505</v>
      </c>
      <c r="AL753" s="354">
        <f t="shared" si="807"/>
        <v>2.3319281723815597</v>
      </c>
      <c r="AM753" s="354">
        <f t="shared" si="808"/>
        <v>5.4999979941962369</v>
      </c>
      <c r="AN753" s="354">
        <f t="shared" si="809"/>
        <v>0.3072506030417082</v>
      </c>
      <c r="AO753" s="374">
        <f t="shared" si="810"/>
        <v>4.7194624271143848</v>
      </c>
      <c r="AP753" s="354">
        <f t="shared" si="811"/>
        <v>1.0822223755865115</v>
      </c>
      <c r="AQ753" s="354">
        <f t="shared" si="812"/>
        <v>3.6372400515278733</v>
      </c>
      <c r="AR753" s="374">
        <f t="shared" si="813"/>
        <v>8.6096735882471851</v>
      </c>
      <c r="AS753" s="354">
        <f t="shared" si="814"/>
        <v>3.7308638481093239</v>
      </c>
      <c r="AT753" s="354">
        <f t="shared" si="815"/>
        <v>4.8788097401378616</v>
      </c>
      <c r="AU753" s="355" t="s">
        <v>396</v>
      </c>
      <c r="AV753" s="354" t="s">
        <v>404</v>
      </c>
      <c r="AW753" s="355" t="s">
        <v>405</v>
      </c>
      <c r="AX753" s="355">
        <v>0</v>
      </c>
      <c r="AY753" s="350" t="s">
        <v>410</v>
      </c>
      <c r="AZ753" s="351">
        <v>45235</v>
      </c>
      <c r="BA753" s="351">
        <v>45236</v>
      </c>
      <c r="BB753" s="350" t="s">
        <v>407</v>
      </c>
    </row>
    <row r="754" spans="1:54" x14ac:dyDescent="0.25">
      <c r="A754" s="348" t="s">
        <v>1731</v>
      </c>
      <c r="B754" s="349">
        <v>5619</v>
      </c>
      <c r="C754" s="352" t="s">
        <v>1733</v>
      </c>
      <c r="D754" s="351">
        <v>45222</v>
      </c>
      <c r="E754" s="352">
        <v>3400</v>
      </c>
      <c r="F754" s="352">
        <v>7</v>
      </c>
      <c r="H754" s="350" t="s">
        <v>1743</v>
      </c>
      <c r="I754" s="350" t="s">
        <v>393</v>
      </c>
      <c r="J754" s="354">
        <v>107000</v>
      </c>
      <c r="K754" s="350" t="s">
        <v>394</v>
      </c>
      <c r="L754" s="354">
        <v>2.8998300000000001E-4</v>
      </c>
      <c r="M754" s="354">
        <v>37.880000000000003</v>
      </c>
      <c r="N754" s="350" t="s">
        <v>395</v>
      </c>
      <c r="O754" s="354">
        <v>31.03</v>
      </c>
      <c r="P754" s="374">
        <f t="shared" si="785"/>
        <v>2.386748148002924</v>
      </c>
      <c r="Q754" s="354">
        <f t="shared" si="786"/>
        <v>0.22510676072116317</v>
      </c>
      <c r="R754" s="354">
        <f t="shared" si="787"/>
        <v>0.37946452678893589</v>
      </c>
      <c r="S754" s="354">
        <f t="shared" si="788"/>
        <v>0.33802191938490611</v>
      </c>
      <c r="T754" s="354">
        <f t="shared" si="789"/>
        <v>1.4424686746496092</v>
      </c>
      <c r="U754" s="374">
        <f t="shared" si="790"/>
        <v>9.5790559217733033</v>
      </c>
      <c r="V754" s="354">
        <f t="shared" si="791"/>
        <v>0.25356447028431583</v>
      </c>
      <c r="W754" s="354">
        <f t="shared" si="792"/>
        <v>8.6496092530454902</v>
      </c>
      <c r="X754" s="354">
        <f t="shared" si="793"/>
        <v>0.67588219844349828</v>
      </c>
      <c r="Y754" s="374">
        <f t="shared" si="794"/>
        <v>1.4042749492069695</v>
      </c>
      <c r="Z754" s="354">
        <f t="shared" si="795"/>
        <v>0.72440931250884044</v>
      </c>
      <c r="AA754" s="354">
        <f t="shared" si="796"/>
        <v>0.67986563669812894</v>
      </c>
      <c r="AB754" s="374">
        <f t="shared" si="797"/>
        <v>7.6721098895471149</v>
      </c>
      <c r="AC754" s="354">
        <f t="shared" si="798"/>
        <v>2.1772878499098463</v>
      </c>
      <c r="AD754" s="354">
        <f t="shared" si="799"/>
        <v>4.7394720027298494</v>
      </c>
      <c r="AE754" s="354">
        <f t="shared" si="800"/>
        <v>0.7553500369074192</v>
      </c>
      <c r="AF754" s="374">
        <f t="shared" si="801"/>
        <v>6.1403671517816694</v>
      </c>
      <c r="AG754" s="354">
        <f t="shared" si="802"/>
        <v>0.39462114724755437</v>
      </c>
      <c r="AH754" s="354">
        <f t="shared" si="803"/>
        <v>1.9854976306327417</v>
      </c>
      <c r="AI754" s="354">
        <f t="shared" si="804"/>
        <v>0</v>
      </c>
      <c r="AJ754" s="354">
        <f t="shared" si="805"/>
        <v>3.7602483739013737</v>
      </c>
      <c r="AK754" s="374">
        <f t="shared" si="806"/>
        <v>4.0556697715494199</v>
      </c>
      <c r="AL754" s="354">
        <f t="shared" si="807"/>
        <v>1.1619763110998882</v>
      </c>
      <c r="AM754" s="354">
        <f t="shared" si="808"/>
        <v>2.7405935809017823</v>
      </c>
      <c r="AN754" s="354">
        <f t="shared" si="809"/>
        <v>0.1530998795477494</v>
      </c>
      <c r="AO754" s="374">
        <f t="shared" si="810"/>
        <v>2.351660572732083</v>
      </c>
      <c r="AP754" s="354">
        <f t="shared" si="811"/>
        <v>0.53926050496207667</v>
      </c>
      <c r="AQ754" s="354">
        <f t="shared" si="812"/>
        <v>1.8124000677700063</v>
      </c>
      <c r="AR754" s="374">
        <f t="shared" si="813"/>
        <v>4.2901135954065168</v>
      </c>
      <c r="AS754" s="354">
        <f t="shared" si="814"/>
        <v>1.8590518622254828</v>
      </c>
      <c r="AT754" s="354">
        <f t="shared" si="815"/>
        <v>2.4310617331810342</v>
      </c>
      <c r="AU754" s="355" t="s">
        <v>396</v>
      </c>
      <c r="AV754" s="354" t="s">
        <v>404</v>
      </c>
      <c r="AW754" s="355" t="s">
        <v>405</v>
      </c>
      <c r="AX754" s="355">
        <v>0</v>
      </c>
      <c r="AY754" s="350" t="s">
        <v>410</v>
      </c>
      <c r="AZ754" s="351">
        <v>45235</v>
      </c>
      <c r="BA754" s="351">
        <v>45236</v>
      </c>
      <c r="BB754" s="350" t="s">
        <v>407</v>
      </c>
    </row>
    <row r="755" spans="1:54" x14ac:dyDescent="0.25">
      <c r="A755" s="348" t="s">
        <v>1732</v>
      </c>
      <c r="B755" s="349">
        <v>5632</v>
      </c>
      <c r="C755" s="352" t="s">
        <v>1733</v>
      </c>
      <c r="D755" s="351">
        <v>45197</v>
      </c>
      <c r="E755" s="352">
        <v>3460</v>
      </c>
      <c r="F755" s="352">
        <v>3</v>
      </c>
      <c r="H755" s="350" t="s">
        <v>1744</v>
      </c>
      <c r="I755" s="350" t="s">
        <v>393</v>
      </c>
      <c r="J755" s="354">
        <v>400000</v>
      </c>
      <c r="K755" s="350" t="s">
        <v>394</v>
      </c>
      <c r="L755" s="354">
        <v>2.8998300000000001E-4</v>
      </c>
      <c r="M755" s="354">
        <v>141.59</v>
      </c>
      <c r="N755" s="350" t="s">
        <v>395</v>
      </c>
      <c r="O755" s="354">
        <v>115.99</v>
      </c>
      <c r="P755" s="374">
        <f t="shared" si="785"/>
        <v>8.921321812981363</v>
      </c>
      <c r="Q755" s="354">
        <f t="shared" si="786"/>
        <v>0.84141674367765296</v>
      </c>
      <c r="R755" s="354">
        <f t="shared" si="787"/>
        <v>1.4183839057034169</v>
      </c>
      <c r="S755" s="354">
        <f t="shared" si="788"/>
        <v>1.2634773908582064</v>
      </c>
      <c r="T755" s="354">
        <f t="shared" si="789"/>
        <v>5.3917407508880197</v>
      </c>
      <c r="U755" s="374">
        <f t="shared" si="790"/>
        <v>35.805135373914524</v>
      </c>
      <c r="V755" s="354">
        <f t="shared" si="791"/>
        <v>0.94778757517308043</v>
      </c>
      <c r="W755" s="354">
        <f t="shared" si="792"/>
        <v>32.330997205351402</v>
      </c>
      <c r="X755" s="354">
        <f t="shared" si="793"/>
        <v>2.5263505933900454</v>
      </c>
      <c r="Y755" s="374">
        <f t="shared" si="794"/>
        <v>5.2489780902379826</v>
      </c>
      <c r="Z755" s="354">
        <f t="shared" si="795"/>
        <v>2.7077379767192897</v>
      </c>
      <c r="AA755" s="354">
        <f t="shared" si="796"/>
        <v>2.5412401135186924</v>
      </c>
      <c r="AB755" s="374">
        <f t="shared" si="797"/>
        <v>28.677244964650896</v>
      </c>
      <c r="AC755" s="354">
        <f t="shared" si="798"/>
        <v>8.1383892995970193</v>
      </c>
      <c r="AD755" s="354">
        <f t="shared" si="799"/>
        <v>17.715465703973585</v>
      </c>
      <c r="AE755" s="354">
        <f t="shared" si="800"/>
        <v>2.8233899610802924</v>
      </c>
      <c r="AF755" s="374">
        <f t="shared" si="801"/>
        <v>22.951810586609465</v>
      </c>
      <c r="AG755" s="354">
        <f t="shared" si="802"/>
        <v>1.4750371763141821</v>
      </c>
      <c r="AH755" s="354">
        <f t="shared" si="803"/>
        <v>7.4215050032019496</v>
      </c>
      <c r="AI755" s="354">
        <f t="shared" si="804"/>
        <v>0</v>
      </c>
      <c r="AJ755" s="354">
        <f t="shared" si="805"/>
        <v>14.055268407093335</v>
      </c>
      <c r="AK755" s="374">
        <f t="shared" si="806"/>
        <v>15.159511165619913</v>
      </c>
      <c r="AL755" s="354">
        <f t="shared" si="807"/>
        <v>4.3433005778414238</v>
      </c>
      <c r="AM755" s="354">
        <f t="shared" si="808"/>
        <v>10.243945224917722</v>
      </c>
      <c r="AN755" s="354">
        <f t="shared" si="809"/>
        <v>0.57226536286076646</v>
      </c>
      <c r="AO755" s="374">
        <f t="shared" si="810"/>
        <v>8.7901694955949203</v>
      </c>
      <c r="AP755" s="354">
        <f t="shared" si="811"/>
        <v>2.0156783235897682</v>
      </c>
      <c r="AQ755" s="354">
        <f t="shared" si="812"/>
        <v>6.7744911720051526</v>
      </c>
      <c r="AR755" s="374">
        <f t="shared" si="813"/>
        <v>16.035828510390935</v>
      </c>
      <c r="AS755" s="354">
        <f t="shared" si="814"/>
        <v>6.9488688799500018</v>
      </c>
      <c r="AT755" s="354">
        <f t="shared" si="815"/>
        <v>9.0869596304409335</v>
      </c>
      <c r="AU755" s="355" t="s">
        <v>396</v>
      </c>
      <c r="AV755" s="354" t="s">
        <v>404</v>
      </c>
      <c r="AW755" s="355" t="s">
        <v>405</v>
      </c>
      <c r="AX755" s="355">
        <v>0</v>
      </c>
      <c r="AY755" s="350" t="s">
        <v>410</v>
      </c>
      <c r="AZ755" s="351">
        <v>45235</v>
      </c>
      <c r="BA755" s="351">
        <v>45236</v>
      </c>
      <c r="BB755" s="350" t="s">
        <v>407</v>
      </c>
    </row>
    <row r="756" spans="1:54" x14ac:dyDescent="0.25">
      <c r="A756" s="348" t="s">
        <v>1732</v>
      </c>
      <c r="B756" s="349">
        <v>5632</v>
      </c>
      <c r="C756" s="352" t="s">
        <v>1733</v>
      </c>
      <c r="D756" s="351">
        <v>45197</v>
      </c>
      <c r="E756" s="352">
        <v>3460</v>
      </c>
      <c r="F756" s="352">
        <v>3</v>
      </c>
      <c r="H756" s="350" t="s">
        <v>1759</v>
      </c>
      <c r="I756" s="350" t="s">
        <v>393</v>
      </c>
      <c r="J756" s="354">
        <v>367000</v>
      </c>
      <c r="K756" s="350" t="s">
        <v>394</v>
      </c>
      <c r="L756" s="354">
        <v>2.8998300000000001E-4</v>
      </c>
      <c r="M756" s="354">
        <v>129.91</v>
      </c>
      <c r="N756" s="350" t="s">
        <v>395</v>
      </c>
      <c r="O756" s="354">
        <v>106.42</v>
      </c>
      <c r="P756" s="374">
        <f t="shared" ref="P756:P773" si="816">M756*$P$2</f>
        <v>8.1853867979688442</v>
      </c>
      <c r="Q756" s="354">
        <f t="shared" ref="Q756:Q773" si="817">P756*$Q$2</f>
        <v>0.77200684491252125</v>
      </c>
      <c r="R756" s="354">
        <f t="shared" ref="R756:R773" si="818">P756*$R$2</f>
        <v>1.3013790040958462</v>
      </c>
      <c r="S756" s="354">
        <f t="shared" ref="S756:S773" si="819">P756*$S$2</f>
        <v>1.1592509912168201</v>
      </c>
      <c r="T756" s="354">
        <f t="shared" ref="T756:T773" si="820">P756*$T$2</f>
        <v>4.9469668828862385</v>
      </c>
      <c r="U756" s="374">
        <f t="shared" ref="U756:U773" si="821">M756*$U$2</f>
        <v>32.851508838373014</v>
      </c>
      <c r="V756" s="354">
        <f t="shared" ref="V756:V773" si="822">U756*$V$2</f>
        <v>0.86960296553947913</v>
      </c>
      <c r="W756" s="354">
        <f t="shared" ref="W756:W773" si="823">U756*$W$2</f>
        <v>29.663958238203261</v>
      </c>
      <c r="X756" s="354">
        <f t="shared" ref="X756:X773" si="824">U756*$X$2</f>
        <v>2.3179476346302761</v>
      </c>
      <c r="Y756" s="374">
        <f t="shared" ref="Y756:Y773" si="825">M756*$Y$2</f>
        <v>4.8159809570083789</v>
      </c>
      <c r="Z756" s="354">
        <f t="shared" ref="Z756:Z773" si="826">Y756*$Z$2</f>
        <v>2.484372064097768</v>
      </c>
      <c r="AA756" s="354">
        <f t="shared" ref="AA756:AA773" si="827">Y756*$AA$2</f>
        <v>2.3316088929106105</v>
      </c>
      <c r="AB756" s="374">
        <f t="shared" ref="AB756:AB773" si="828">M756*$AB$2</f>
        <v>26.31161023630057</v>
      </c>
      <c r="AC756" s="354">
        <f t="shared" ref="AC756:AC773" si="829">AB756*$AC$2</f>
        <v>7.4670397196881755</v>
      </c>
      <c r="AD756" s="354">
        <f t="shared" ref="AD756:AD773" si="830">AB756*$AD$2</f>
        <v>16.254086797112848</v>
      </c>
      <c r="AE756" s="354">
        <f t="shared" ref="AE756:AE773" si="831">AB756*$AE$2</f>
        <v>2.5904837194995465</v>
      </c>
      <c r="AF756" s="374">
        <f t="shared" ref="AF756:AF773" si="832">M756*$AF$2</f>
        <v>21.058476681308253</v>
      </c>
      <c r="AG756" s="354">
        <f t="shared" ref="AG756:AG773" si="833">AF756*$AG$2</f>
        <v>1.3533588500245455</v>
      </c>
      <c r="AH756" s="354">
        <f t="shared" ref="AH756:AH773" si="834">AF756*$AH$2</f>
        <v>6.8092924286034702</v>
      </c>
      <c r="AI756" s="354">
        <f t="shared" ref="AI756:AI773" si="835">AF756*$AI$2</f>
        <v>0</v>
      </c>
      <c r="AJ756" s="354">
        <f t="shared" ref="AJ756:AJ773" si="836">AF756*$AJ$2</f>
        <v>12.89582540268024</v>
      </c>
      <c r="AK756" s="374">
        <f t="shared" ref="AK756:AK773" si="837">M756*$AK$2</f>
        <v>13.908977297306892</v>
      </c>
      <c r="AL756" s="354">
        <f t="shared" ref="AL756:AL773" si="838">AK756*$AL$2</f>
        <v>3.9850143235212894</v>
      </c>
      <c r="AM756" s="354">
        <f t="shared" ref="AM756:AM773" si="839">AK756*$AM$2</f>
        <v>9.3989047543545539</v>
      </c>
      <c r="AN756" s="354">
        <f t="shared" ref="AN756:AN773" si="840">AK756*$AN$2</f>
        <v>0.52505821943104858</v>
      </c>
      <c r="AO756" s="374">
        <f t="shared" ref="AO756:AO773" si="841">M756*$AO$2</f>
        <v>8.0650534583850284</v>
      </c>
      <c r="AP756" s="354">
        <f t="shared" ref="AP756:AP773" si="842">AO756*$AP$2</f>
        <v>1.8494015892192019</v>
      </c>
      <c r="AQ756" s="354">
        <f t="shared" ref="AQ756:AQ773" si="843">AO756*$AQ$2</f>
        <v>6.2156518691658267</v>
      </c>
      <c r="AR756" s="374">
        <f t="shared" ref="AR756:AR773" si="844">M756*$AR$2</f>
        <v>14.713005733349011</v>
      </c>
      <c r="AS756" s="354">
        <f t="shared" ref="AS756:AS773" si="845">AR756*$AS$2</f>
        <v>6.3756448632975831</v>
      </c>
      <c r="AT756" s="354">
        <f t="shared" ref="AT756:AT773" si="846">AR756*$AT$2</f>
        <v>8.3373608700514286</v>
      </c>
      <c r="AU756" s="355" t="s">
        <v>396</v>
      </c>
      <c r="AV756" s="354" t="s">
        <v>404</v>
      </c>
      <c r="AW756" s="355" t="s">
        <v>405</v>
      </c>
      <c r="AX756" s="355">
        <v>0</v>
      </c>
      <c r="AY756" s="350" t="s">
        <v>410</v>
      </c>
      <c r="AZ756" s="351">
        <v>45235</v>
      </c>
      <c r="BA756" s="351">
        <v>45236</v>
      </c>
      <c r="BB756" s="350" t="s">
        <v>407</v>
      </c>
    </row>
    <row r="757" spans="1:54" x14ac:dyDescent="0.25">
      <c r="A757" s="348" t="s">
        <v>1745</v>
      </c>
      <c r="B757" s="349">
        <v>5622</v>
      </c>
      <c r="C757" s="352" t="s">
        <v>1733</v>
      </c>
      <c r="D757" s="351">
        <v>45223</v>
      </c>
      <c r="E757" s="352">
        <v>3410</v>
      </c>
      <c r="F757" s="352">
        <v>7</v>
      </c>
      <c r="H757" s="350" t="s">
        <v>1749</v>
      </c>
      <c r="I757" s="350" t="s">
        <v>393</v>
      </c>
      <c r="J757" s="354">
        <v>50000</v>
      </c>
      <c r="K757" s="350" t="s">
        <v>394</v>
      </c>
      <c r="L757" s="354">
        <v>2.8998300000000001E-4</v>
      </c>
      <c r="M757" s="354">
        <v>17.7</v>
      </c>
      <c r="N757" s="350" t="s">
        <v>395</v>
      </c>
      <c r="O757" s="354">
        <v>14.5</v>
      </c>
      <c r="P757" s="374">
        <f t="shared" si="816"/>
        <v>1.1152439867912289</v>
      </c>
      <c r="Q757" s="354">
        <f t="shared" si="817"/>
        <v>0.10518452124510527</v>
      </c>
      <c r="R757" s="354">
        <f t="shared" si="818"/>
        <v>0.1773105101416094</v>
      </c>
      <c r="S757" s="354">
        <f t="shared" si="819"/>
        <v>0.15794582822367575</v>
      </c>
      <c r="T757" s="354">
        <f t="shared" si="820"/>
        <v>0.6740151938040676</v>
      </c>
      <c r="U757" s="374">
        <f t="shared" si="821"/>
        <v>4.4759580204695739</v>
      </c>
      <c r="V757" s="354">
        <f t="shared" si="822"/>
        <v>0.11848181425639889</v>
      </c>
      <c r="W757" s="354">
        <f t="shared" si="823"/>
        <v>4.0416600786405796</v>
      </c>
      <c r="X757" s="354">
        <f t="shared" si="824"/>
        <v>0.31581612757259553</v>
      </c>
      <c r="Y757" s="374">
        <f t="shared" si="825"/>
        <v>0.65616860087020479</v>
      </c>
      <c r="Z757" s="354">
        <f t="shared" si="826"/>
        <v>0.3384911518322723</v>
      </c>
      <c r="AA757" s="354">
        <f t="shared" si="827"/>
        <v>0.31767744903793244</v>
      </c>
      <c r="AB757" s="374">
        <f t="shared" si="828"/>
        <v>3.5849087921062281</v>
      </c>
      <c r="AC757" s="354">
        <f t="shared" si="829"/>
        <v>1.0173705106495321</v>
      </c>
      <c r="AD757" s="354">
        <f t="shared" si="830"/>
        <v>2.2145896105680656</v>
      </c>
      <c r="AE757" s="354">
        <f t="shared" si="831"/>
        <v>0.35294867088863036</v>
      </c>
      <c r="AF757" s="374">
        <f t="shared" si="832"/>
        <v>2.8691789489581714</v>
      </c>
      <c r="AG757" s="354">
        <f t="shared" si="833"/>
        <v>0.18439266912042532</v>
      </c>
      <c r="AH757" s="354">
        <f t="shared" si="834"/>
        <v>0.92775364472543609</v>
      </c>
      <c r="AI757" s="354">
        <f t="shared" si="835"/>
        <v>0</v>
      </c>
      <c r="AJ757" s="354">
        <f t="shared" si="836"/>
        <v>1.7570326351123102</v>
      </c>
      <c r="AK757" s="374">
        <f t="shared" si="837"/>
        <v>1.8950727285222999</v>
      </c>
      <c r="AL757" s="354">
        <f t="shared" si="838"/>
        <v>0.54295091622143654</v>
      </c>
      <c r="AM757" s="354">
        <f t="shared" si="839"/>
        <v>1.2805835898089108</v>
      </c>
      <c r="AN757" s="354">
        <f t="shared" si="840"/>
        <v>7.1538222491952588E-2</v>
      </c>
      <c r="AO757" s="374">
        <f t="shared" si="841"/>
        <v>1.098848789264991</v>
      </c>
      <c r="AP757" s="354">
        <f t="shared" si="842"/>
        <v>0.2519775854759439</v>
      </c>
      <c r="AQ757" s="354">
        <f t="shared" si="843"/>
        <v>0.84687120378904712</v>
      </c>
      <c r="AR757" s="374">
        <f t="shared" si="844"/>
        <v>2.0046201330173004</v>
      </c>
      <c r="AS757" s="354">
        <f t="shared" si="845"/>
        <v>0.86866995674210778</v>
      </c>
      <c r="AT757" s="354">
        <f t="shared" si="846"/>
        <v>1.1359501762751927</v>
      </c>
      <c r="AU757" s="355" t="s">
        <v>396</v>
      </c>
      <c r="AV757" s="354" t="s">
        <v>404</v>
      </c>
      <c r="AW757" s="355" t="s">
        <v>405</v>
      </c>
      <c r="AX757" s="355">
        <v>0</v>
      </c>
      <c r="AY757" s="350" t="s">
        <v>410</v>
      </c>
      <c r="AZ757" s="351">
        <v>45235</v>
      </c>
      <c r="BA757" s="351">
        <v>45236</v>
      </c>
      <c r="BB757" s="350" t="s">
        <v>407</v>
      </c>
    </row>
    <row r="758" spans="1:54" x14ac:dyDescent="0.25">
      <c r="A758" s="348" t="s">
        <v>1746</v>
      </c>
      <c r="B758" s="349">
        <v>5617</v>
      </c>
      <c r="C758" s="352" t="s">
        <v>1733</v>
      </c>
      <c r="D758" s="351">
        <v>45203</v>
      </c>
      <c r="E758" s="352">
        <v>3490</v>
      </c>
      <c r="F758" s="352">
        <v>7</v>
      </c>
      <c r="H758" s="350" t="s">
        <v>461</v>
      </c>
      <c r="I758" s="350" t="s">
        <v>393</v>
      </c>
      <c r="J758" s="354">
        <v>200000</v>
      </c>
      <c r="K758" s="350" t="s">
        <v>394</v>
      </c>
      <c r="L758" s="354">
        <v>2.8998300000000001E-4</v>
      </c>
      <c r="M758" s="354">
        <v>70.8</v>
      </c>
      <c r="N758" s="350" t="s">
        <v>395</v>
      </c>
      <c r="O758" s="354">
        <v>58</v>
      </c>
      <c r="P758" s="374">
        <f t="shared" si="816"/>
        <v>4.4609759471649157</v>
      </c>
      <c r="Q758" s="354">
        <f t="shared" si="817"/>
        <v>0.42073808498042109</v>
      </c>
      <c r="R758" s="354">
        <f t="shared" si="818"/>
        <v>0.70924204056643758</v>
      </c>
      <c r="S758" s="354">
        <f t="shared" si="819"/>
        <v>0.63178331289470302</v>
      </c>
      <c r="T758" s="354">
        <f t="shared" si="820"/>
        <v>2.6960607752162704</v>
      </c>
      <c r="U758" s="374">
        <f t="shared" si="821"/>
        <v>17.903832081878296</v>
      </c>
      <c r="V758" s="354">
        <f t="shared" si="822"/>
        <v>0.47392725702559557</v>
      </c>
      <c r="W758" s="354">
        <f t="shared" si="823"/>
        <v>16.166640314562319</v>
      </c>
      <c r="X758" s="354">
        <f t="shared" si="824"/>
        <v>1.2632645102903821</v>
      </c>
      <c r="Y758" s="374">
        <f t="shared" si="825"/>
        <v>2.6246744034808192</v>
      </c>
      <c r="Z758" s="354">
        <f t="shared" si="826"/>
        <v>1.3539646073290892</v>
      </c>
      <c r="AA758" s="354">
        <f t="shared" si="827"/>
        <v>1.2707097961517297</v>
      </c>
      <c r="AB758" s="374">
        <f t="shared" si="828"/>
        <v>14.339635168424913</v>
      </c>
      <c r="AC758" s="354">
        <f t="shared" si="829"/>
        <v>4.0694820425981284</v>
      </c>
      <c r="AD758" s="354">
        <f t="shared" si="830"/>
        <v>8.8583584422722623</v>
      </c>
      <c r="AE758" s="354">
        <f t="shared" si="831"/>
        <v>1.4117946835545214</v>
      </c>
      <c r="AF758" s="374">
        <f t="shared" si="832"/>
        <v>11.476715795832686</v>
      </c>
      <c r="AG758" s="354">
        <f t="shared" si="833"/>
        <v>0.73757067648170127</v>
      </c>
      <c r="AH758" s="354">
        <f t="shared" si="834"/>
        <v>3.7110145789017444</v>
      </c>
      <c r="AI758" s="354">
        <f t="shared" si="835"/>
        <v>0</v>
      </c>
      <c r="AJ758" s="354">
        <f t="shared" si="836"/>
        <v>7.0281305404492409</v>
      </c>
      <c r="AK758" s="374">
        <f t="shared" si="837"/>
        <v>7.5802909140891996</v>
      </c>
      <c r="AL758" s="354">
        <f t="shared" si="838"/>
        <v>2.1718036648857462</v>
      </c>
      <c r="AM758" s="354">
        <f t="shared" si="839"/>
        <v>5.1223343592356434</v>
      </c>
      <c r="AN758" s="354">
        <f t="shared" si="840"/>
        <v>0.28615288996781035</v>
      </c>
      <c r="AO758" s="374">
        <f t="shared" si="841"/>
        <v>4.3953951570599639</v>
      </c>
      <c r="AP758" s="354">
        <f t="shared" si="842"/>
        <v>1.0079103419037756</v>
      </c>
      <c r="AQ758" s="354">
        <f t="shared" si="843"/>
        <v>3.3874848151561885</v>
      </c>
      <c r="AR758" s="374">
        <f t="shared" si="844"/>
        <v>8.0184805320692014</v>
      </c>
      <c r="AS758" s="354">
        <f t="shared" si="845"/>
        <v>3.4746798269684311</v>
      </c>
      <c r="AT758" s="354">
        <f t="shared" si="846"/>
        <v>4.5438007051007707</v>
      </c>
      <c r="AU758" s="355" t="s">
        <v>396</v>
      </c>
      <c r="AV758" s="354" t="s">
        <v>404</v>
      </c>
      <c r="AW758" s="355" t="s">
        <v>405</v>
      </c>
      <c r="AX758" s="355">
        <v>0</v>
      </c>
      <c r="AY758" s="350" t="s">
        <v>410</v>
      </c>
      <c r="AZ758" s="351">
        <v>45234</v>
      </c>
      <c r="BA758" s="351">
        <v>45236</v>
      </c>
      <c r="BB758" s="350" t="s">
        <v>407</v>
      </c>
    </row>
    <row r="759" spans="1:54" x14ac:dyDescent="0.25">
      <c r="A759" s="348" t="s">
        <v>1747</v>
      </c>
      <c r="B759" s="349">
        <v>5734</v>
      </c>
      <c r="C759" s="352" t="s">
        <v>1733</v>
      </c>
      <c r="D759" s="351">
        <v>45209</v>
      </c>
      <c r="E759" s="352">
        <v>3420</v>
      </c>
      <c r="F759" s="352">
        <v>7</v>
      </c>
      <c r="H759" s="350" t="s">
        <v>1750</v>
      </c>
      <c r="I759" s="350" t="s">
        <v>393</v>
      </c>
      <c r="J759" s="354">
        <v>500000</v>
      </c>
      <c r="K759" s="350" t="s">
        <v>394</v>
      </c>
      <c r="L759" s="354">
        <v>2.8998300000000001E-4</v>
      </c>
      <c r="M759" s="354">
        <v>176.99</v>
      </c>
      <c r="N759" s="350" t="s">
        <v>395</v>
      </c>
      <c r="O759" s="354">
        <v>144.99</v>
      </c>
      <c r="P759" s="374">
        <f t="shared" si="816"/>
        <v>11.15180978656382</v>
      </c>
      <c r="Q759" s="354">
        <f t="shared" si="817"/>
        <v>1.0517857861678634</v>
      </c>
      <c r="R759" s="354">
        <f t="shared" si="818"/>
        <v>1.7730049259866356</v>
      </c>
      <c r="S759" s="354">
        <f t="shared" si="819"/>
        <v>1.5793690473055577</v>
      </c>
      <c r="T759" s="354">
        <f t="shared" si="820"/>
        <v>6.7397711384961543</v>
      </c>
      <c r="U759" s="374">
        <f t="shared" si="821"/>
        <v>44.75705141485367</v>
      </c>
      <c r="V759" s="354">
        <f t="shared" si="822"/>
        <v>1.1847512036858781</v>
      </c>
      <c r="W759" s="354">
        <f t="shared" si="823"/>
        <v>40.414317362632559</v>
      </c>
      <c r="X759" s="354">
        <f t="shared" si="824"/>
        <v>3.1579828485352364</v>
      </c>
      <c r="Y759" s="374">
        <f t="shared" si="825"/>
        <v>6.561315291978393</v>
      </c>
      <c r="Z759" s="354">
        <f t="shared" si="826"/>
        <v>3.384720280383835</v>
      </c>
      <c r="AA759" s="354">
        <f t="shared" si="827"/>
        <v>3.1765950115945576</v>
      </c>
      <c r="AB759" s="374">
        <f t="shared" si="828"/>
        <v>35.847062548863356</v>
      </c>
      <c r="AC759" s="354">
        <f t="shared" si="829"/>
        <v>10.173130320896085</v>
      </c>
      <c r="AD759" s="354">
        <f t="shared" si="830"/>
        <v>22.144644925109716</v>
      </c>
      <c r="AE759" s="354">
        <f t="shared" si="831"/>
        <v>3.5292873028575538</v>
      </c>
      <c r="AF759" s="374">
        <f t="shared" si="832"/>
        <v>28.69016848452581</v>
      </c>
      <c r="AG759" s="354">
        <f t="shared" si="833"/>
        <v>1.8438225145550329</v>
      </c>
      <c r="AH759" s="354">
        <f t="shared" si="834"/>
        <v>9.277012292652822</v>
      </c>
      <c r="AI759" s="354">
        <f t="shared" si="835"/>
        <v>0</v>
      </c>
      <c r="AJ759" s="354">
        <f t="shared" si="836"/>
        <v>17.569333677317957</v>
      </c>
      <c r="AK759" s="374">
        <f t="shared" si="837"/>
        <v>18.949656622664513</v>
      </c>
      <c r="AL759" s="354">
        <f t="shared" si="838"/>
        <v>5.4292024102842973</v>
      </c>
      <c r="AM759" s="354">
        <f t="shared" si="839"/>
        <v>12.805112404535544</v>
      </c>
      <c r="AN759" s="354">
        <f t="shared" si="840"/>
        <v>0.71534180784467161</v>
      </c>
      <c r="AO759" s="374">
        <f t="shared" si="841"/>
        <v>10.987867074124903</v>
      </c>
      <c r="AP759" s="354">
        <f t="shared" si="842"/>
        <v>2.5196334945416563</v>
      </c>
      <c r="AQ759" s="354">
        <f t="shared" si="843"/>
        <v>8.4682335795832469</v>
      </c>
      <c r="AR759" s="374">
        <f t="shared" si="844"/>
        <v>20.045068776425538</v>
      </c>
      <c r="AS759" s="354">
        <f t="shared" si="845"/>
        <v>8.6862087934342185</v>
      </c>
      <c r="AT759" s="354">
        <f t="shared" si="846"/>
        <v>11.358859982991321</v>
      </c>
      <c r="AU759" s="355" t="s">
        <v>396</v>
      </c>
      <c r="AV759" s="354" t="s">
        <v>404</v>
      </c>
      <c r="AW759" s="355" t="s">
        <v>405</v>
      </c>
      <c r="AX759" s="355">
        <v>0</v>
      </c>
      <c r="AY759" s="350" t="s">
        <v>410</v>
      </c>
      <c r="AZ759" s="351">
        <v>45235</v>
      </c>
      <c r="BA759" s="351">
        <v>45236</v>
      </c>
      <c r="BB759" s="350" t="s">
        <v>407</v>
      </c>
    </row>
    <row r="760" spans="1:54" x14ac:dyDescent="0.25">
      <c r="A760" s="348" t="s">
        <v>1748</v>
      </c>
      <c r="B760" s="349">
        <v>5608</v>
      </c>
      <c r="C760" s="352" t="s">
        <v>1733</v>
      </c>
      <c r="D760" s="351">
        <v>45229</v>
      </c>
      <c r="E760" s="352">
        <v>3110</v>
      </c>
      <c r="F760" s="352">
        <v>1</v>
      </c>
      <c r="H760" s="350" t="s">
        <v>437</v>
      </c>
      <c r="I760" s="350" t="s">
        <v>393</v>
      </c>
      <c r="J760" s="354">
        <v>2043487.1</v>
      </c>
      <c r="K760" s="350" t="s">
        <v>394</v>
      </c>
      <c r="L760" s="354">
        <v>2.8998300000000001E-4</v>
      </c>
      <c r="M760" s="354">
        <v>723.36</v>
      </c>
      <c r="N760" s="350" t="s">
        <v>395</v>
      </c>
      <c r="O760" s="354">
        <v>613.04999999999995</v>
      </c>
      <c r="P760" s="374">
        <f t="shared" si="816"/>
        <v>45.577564422898497</v>
      </c>
      <c r="Q760" s="354">
        <f t="shared" si="817"/>
        <v>4.2986596207830141</v>
      </c>
      <c r="R760" s="354">
        <f t="shared" si="818"/>
        <v>7.2462898653126881</v>
      </c>
      <c r="S760" s="354">
        <f t="shared" si="819"/>
        <v>6.4548979832699489</v>
      </c>
      <c r="T760" s="354">
        <f t="shared" si="820"/>
        <v>27.545515852548608</v>
      </c>
      <c r="U760" s="374">
        <f t="shared" si="821"/>
        <v>182.92254201620742</v>
      </c>
      <c r="V760" s="354">
        <f t="shared" si="822"/>
        <v>4.8420906870343909</v>
      </c>
      <c r="W760" s="354">
        <f t="shared" si="823"/>
        <v>165.17374206132487</v>
      </c>
      <c r="X760" s="354">
        <f t="shared" si="824"/>
        <v>12.906709267848175</v>
      </c>
      <c r="Y760" s="374">
        <f t="shared" si="825"/>
        <v>26.816164922343013</v>
      </c>
      <c r="Z760" s="354">
        <f t="shared" si="826"/>
        <v>13.833387547423305</v>
      </c>
      <c r="AA760" s="354">
        <f t="shared" si="827"/>
        <v>12.982777374919708</v>
      </c>
      <c r="AB760" s="374">
        <f t="shared" si="828"/>
        <v>146.50732338180572</v>
      </c>
      <c r="AC760" s="354">
        <f t="shared" si="829"/>
        <v>41.577691106409347</v>
      </c>
      <c r="AD760" s="354">
        <f t="shared" si="830"/>
        <v>90.505397779690171</v>
      </c>
      <c r="AE760" s="354">
        <f t="shared" si="831"/>
        <v>14.424234495706196</v>
      </c>
      <c r="AF760" s="374">
        <f t="shared" si="832"/>
        <v>117.25702172420243</v>
      </c>
      <c r="AG760" s="354">
        <f t="shared" si="833"/>
        <v>7.5357220980198232</v>
      </c>
      <c r="AH760" s="354">
        <f t="shared" si="834"/>
        <v>37.915247256982575</v>
      </c>
      <c r="AI760" s="354">
        <f t="shared" si="835"/>
        <v>0</v>
      </c>
      <c r="AJ760" s="354">
        <f t="shared" si="836"/>
        <v>71.806052369200046</v>
      </c>
      <c r="AK760" s="374">
        <f t="shared" si="837"/>
        <v>77.447446830728296</v>
      </c>
      <c r="AL760" s="354">
        <f t="shared" si="838"/>
        <v>22.189207613442843</v>
      </c>
      <c r="AM760" s="354">
        <f t="shared" si="839"/>
        <v>52.334629690631282</v>
      </c>
      <c r="AN760" s="354">
        <f t="shared" si="840"/>
        <v>2.9236095266541704</v>
      </c>
      <c r="AO760" s="374">
        <f t="shared" si="841"/>
        <v>44.907528825012655</v>
      </c>
      <c r="AP760" s="354">
        <f t="shared" si="842"/>
        <v>10.297768713552474</v>
      </c>
      <c r="AQ760" s="354">
        <f t="shared" si="843"/>
        <v>34.609760111460183</v>
      </c>
      <c r="AR760" s="374">
        <f t="shared" si="844"/>
        <v>81.924407876801951</v>
      </c>
      <c r="AS760" s="354">
        <f t="shared" si="845"/>
        <v>35.500627113501196</v>
      </c>
      <c r="AT760" s="354">
        <f t="shared" si="846"/>
        <v>46.423780763300762</v>
      </c>
      <c r="AU760" s="355" t="s">
        <v>396</v>
      </c>
      <c r="AV760" s="354" t="s">
        <v>404</v>
      </c>
      <c r="AW760" s="355" t="s">
        <v>405</v>
      </c>
      <c r="AX760" s="355">
        <v>102955</v>
      </c>
      <c r="AY760" s="350" t="s">
        <v>406</v>
      </c>
      <c r="AZ760" s="351">
        <v>45233</v>
      </c>
      <c r="BA760" s="351">
        <v>45232</v>
      </c>
      <c r="BB760" s="350" t="s">
        <v>407</v>
      </c>
    </row>
    <row r="761" spans="1:54" x14ac:dyDescent="0.25">
      <c r="A761" s="348" t="s">
        <v>1748</v>
      </c>
      <c r="B761" s="349">
        <v>5608</v>
      </c>
      <c r="C761" s="352" t="s">
        <v>1733</v>
      </c>
      <c r="D761" s="351">
        <v>45229</v>
      </c>
      <c r="E761" s="352">
        <v>3110</v>
      </c>
      <c r="F761" s="352">
        <v>1</v>
      </c>
      <c r="H761" s="350" t="s">
        <v>437</v>
      </c>
      <c r="I761" s="350" t="s">
        <v>393</v>
      </c>
      <c r="J761" s="354">
        <v>595528.80000000005</v>
      </c>
      <c r="K761" s="350" t="s">
        <v>394</v>
      </c>
      <c r="L761" s="354">
        <v>2.8998300000000001E-4</v>
      </c>
      <c r="M761" s="354">
        <v>210.81</v>
      </c>
      <c r="N761" s="350" t="s">
        <v>395</v>
      </c>
      <c r="O761" s="354">
        <v>178.66</v>
      </c>
      <c r="P761" s="374">
        <f t="shared" si="816"/>
        <v>13.282744907088079</v>
      </c>
      <c r="Q761" s="354">
        <f t="shared" si="817"/>
        <v>1.2527654759141607</v>
      </c>
      <c r="R761" s="354">
        <f t="shared" si="818"/>
        <v>2.111798228415406</v>
      </c>
      <c r="S761" s="354">
        <f t="shared" si="819"/>
        <v>1.8811615846233383</v>
      </c>
      <c r="T761" s="354">
        <f t="shared" si="820"/>
        <v>8.0276351980698024</v>
      </c>
      <c r="U761" s="374">
        <f t="shared" si="821"/>
        <v>53.309418660745251</v>
      </c>
      <c r="V761" s="354">
        <f t="shared" si="822"/>
        <v>1.4111384894571444</v>
      </c>
      <c r="W761" s="354">
        <f t="shared" si="823"/>
        <v>48.136856563741283</v>
      </c>
      <c r="X761" s="354">
        <f t="shared" si="824"/>
        <v>3.7614236075468286</v>
      </c>
      <c r="Y761" s="374">
        <f t="shared" si="825"/>
        <v>7.8150792513812357</v>
      </c>
      <c r="Z761" s="354">
        <f t="shared" si="826"/>
        <v>4.03148698970403</v>
      </c>
      <c r="AA761" s="354">
        <f t="shared" si="827"/>
        <v>3.7835922616772057</v>
      </c>
      <c r="AB761" s="374">
        <f t="shared" si="828"/>
        <v>42.696871325644857</v>
      </c>
      <c r="AC761" s="354">
        <f t="shared" si="829"/>
        <v>12.117055217515697</v>
      </c>
      <c r="AD761" s="354">
        <f t="shared" si="830"/>
        <v>26.376137616036946</v>
      </c>
      <c r="AE761" s="354">
        <f t="shared" si="831"/>
        <v>4.2036784920922132</v>
      </c>
      <c r="AF761" s="374">
        <f t="shared" si="832"/>
        <v>34.172407583608596</v>
      </c>
      <c r="AG761" s="354">
        <f t="shared" si="833"/>
        <v>2.196147942219032</v>
      </c>
      <c r="AH761" s="354">
        <f t="shared" si="834"/>
        <v>11.049703155060406</v>
      </c>
      <c r="AI761" s="354">
        <f t="shared" si="835"/>
        <v>0</v>
      </c>
      <c r="AJ761" s="354">
        <f t="shared" si="836"/>
        <v>20.926556486329158</v>
      </c>
      <c r="AK761" s="374">
        <f t="shared" si="837"/>
        <v>22.57063739546814</v>
      </c>
      <c r="AL761" s="354">
        <f t="shared" si="838"/>
        <v>6.4666374377763303</v>
      </c>
      <c r="AM761" s="354">
        <f t="shared" si="839"/>
        <v>15.251967602690199</v>
      </c>
      <c r="AN761" s="354">
        <f t="shared" si="840"/>
        <v>0.85203235500161156</v>
      </c>
      <c r="AO761" s="374">
        <f t="shared" si="841"/>
        <v>13.087475325703547</v>
      </c>
      <c r="AP761" s="354">
        <f t="shared" si="842"/>
        <v>3.001095751083827</v>
      </c>
      <c r="AQ761" s="354">
        <f t="shared" si="843"/>
        <v>10.08637957461972</v>
      </c>
      <c r="AR761" s="374">
        <f t="shared" si="844"/>
        <v>23.875365550360289</v>
      </c>
      <c r="AS761" s="354">
        <f t="shared" si="845"/>
        <v>10.346006416994562</v>
      </c>
      <c r="AT761" s="354">
        <f t="shared" si="846"/>
        <v>13.529359133365729</v>
      </c>
      <c r="AU761" s="355" t="s">
        <v>396</v>
      </c>
      <c r="AV761" s="354" t="s">
        <v>404</v>
      </c>
      <c r="AW761" s="355" t="s">
        <v>405</v>
      </c>
      <c r="AX761" s="355">
        <v>103265</v>
      </c>
      <c r="AY761" s="350" t="s">
        <v>406</v>
      </c>
      <c r="AZ761" s="351">
        <v>45233</v>
      </c>
      <c r="BA761" s="351">
        <v>45232</v>
      </c>
      <c r="BB761" s="350" t="s">
        <v>407</v>
      </c>
    </row>
    <row r="762" spans="1:54" x14ac:dyDescent="0.25">
      <c r="A762" s="348" t="s">
        <v>1748</v>
      </c>
      <c r="B762" s="349">
        <v>5608</v>
      </c>
      <c r="C762" s="352" t="s">
        <v>1733</v>
      </c>
      <c r="D762" s="351">
        <v>45229</v>
      </c>
      <c r="E762" s="352">
        <v>3110</v>
      </c>
      <c r="F762" s="352">
        <v>1</v>
      </c>
      <c r="H762" s="350" t="s">
        <v>437</v>
      </c>
      <c r="I762" s="350" t="s">
        <v>393</v>
      </c>
      <c r="J762" s="354">
        <v>5592445</v>
      </c>
      <c r="K762" s="350" t="s">
        <v>394</v>
      </c>
      <c r="L762" s="354">
        <v>2.8998300000000001E-4</v>
      </c>
      <c r="M762" s="354">
        <v>1979.62</v>
      </c>
      <c r="N762" s="350" t="s">
        <v>395</v>
      </c>
      <c r="O762" s="354">
        <v>1677.73</v>
      </c>
      <c r="P762" s="374">
        <f t="shared" si="816"/>
        <v>124.73216390574309</v>
      </c>
      <c r="Q762" s="354">
        <f t="shared" si="817"/>
        <v>11.764145872725159</v>
      </c>
      <c r="R762" s="354">
        <f t="shared" si="818"/>
        <v>19.830928366470783</v>
      </c>
      <c r="S762" s="354">
        <f t="shared" si="819"/>
        <v>17.665125450178135</v>
      </c>
      <c r="T762" s="354">
        <f t="shared" si="820"/>
        <v>75.383839432678442</v>
      </c>
      <c r="U762" s="374">
        <f t="shared" si="821"/>
        <v>500.60429471649593</v>
      </c>
      <c r="V762" s="354">
        <f t="shared" si="822"/>
        <v>13.25135418860183</v>
      </c>
      <c r="W762" s="354">
        <f t="shared" si="823"/>
        <v>452.03113699878332</v>
      </c>
      <c r="X762" s="354">
        <f t="shared" si="824"/>
        <v>35.321803529110824</v>
      </c>
      <c r="Y762" s="374">
        <f t="shared" si="825"/>
        <v>73.387824048286703</v>
      </c>
      <c r="Z762" s="354">
        <f t="shared" si="826"/>
        <v>37.857844858203549</v>
      </c>
      <c r="AA762" s="354">
        <f t="shared" si="827"/>
        <v>35.529979190083154</v>
      </c>
      <c r="AB762" s="374">
        <f t="shared" si="828"/>
        <v>400.94673124459496</v>
      </c>
      <c r="AC762" s="354">
        <f t="shared" si="829"/>
        <v>113.78570679615969</v>
      </c>
      <c r="AD762" s="354">
        <f t="shared" si="830"/>
        <v>247.68620818490135</v>
      </c>
      <c r="AE762" s="354">
        <f t="shared" si="831"/>
        <v>39.474816263533924</v>
      </c>
      <c r="AF762" s="374">
        <f t="shared" si="832"/>
        <v>320.89740287777261</v>
      </c>
      <c r="AG762" s="354">
        <f t="shared" si="833"/>
        <v>20.623017833004315</v>
      </c>
      <c r="AH762" s="354">
        <f t="shared" si="834"/>
        <v>103.76269323002079</v>
      </c>
      <c r="AI762" s="354">
        <f t="shared" si="835"/>
        <v>0</v>
      </c>
      <c r="AJ762" s="354">
        <f t="shared" si="836"/>
        <v>196.51169181474754</v>
      </c>
      <c r="AK762" s="374">
        <f t="shared" si="837"/>
        <v>211.95050140323815</v>
      </c>
      <c r="AL762" s="354">
        <f t="shared" si="838"/>
        <v>60.725225580241819</v>
      </c>
      <c r="AM762" s="354">
        <f t="shared" si="839"/>
        <v>143.22423085070713</v>
      </c>
      <c r="AN762" s="354">
        <f t="shared" si="840"/>
        <v>8.0010449722892183</v>
      </c>
      <c r="AO762" s="374">
        <f t="shared" si="841"/>
        <v>122.89847684772664</v>
      </c>
      <c r="AP762" s="354">
        <f t="shared" si="842"/>
        <v>28.181913432762038</v>
      </c>
      <c r="AQ762" s="354">
        <f t="shared" si="843"/>
        <v>94.716563414964611</v>
      </c>
      <c r="AR762" s="374">
        <f t="shared" si="844"/>
        <v>224.2026049561417</v>
      </c>
      <c r="AS762" s="354">
        <f t="shared" si="845"/>
        <v>97.154599986769</v>
      </c>
      <c r="AT762" s="354">
        <f t="shared" si="846"/>
        <v>127.04800496937271</v>
      </c>
      <c r="AU762" s="355" t="s">
        <v>396</v>
      </c>
      <c r="AV762" s="354" t="s">
        <v>404</v>
      </c>
      <c r="AW762" s="355" t="s">
        <v>405</v>
      </c>
      <c r="AX762" s="355">
        <v>117871</v>
      </c>
      <c r="AY762" s="350" t="s">
        <v>406</v>
      </c>
      <c r="AZ762" s="351">
        <v>45233</v>
      </c>
      <c r="BA762" s="351">
        <v>45232</v>
      </c>
      <c r="BB762" s="350" t="s">
        <v>407</v>
      </c>
    </row>
    <row r="763" spans="1:54" x14ac:dyDescent="0.25">
      <c r="A763" s="348" t="s">
        <v>1748</v>
      </c>
      <c r="B763" s="349">
        <v>5608</v>
      </c>
      <c r="C763" s="352" t="s">
        <v>1733</v>
      </c>
      <c r="D763" s="351">
        <v>45229</v>
      </c>
      <c r="E763" s="352">
        <v>3110</v>
      </c>
      <c r="F763" s="352">
        <v>1</v>
      </c>
      <c r="H763" s="350" t="s">
        <v>437</v>
      </c>
      <c r="I763" s="350" t="s">
        <v>393</v>
      </c>
      <c r="J763" s="354">
        <v>3083644.8</v>
      </c>
      <c r="K763" s="350" t="s">
        <v>394</v>
      </c>
      <c r="L763" s="354">
        <v>2.8998300000000001E-4</v>
      </c>
      <c r="M763" s="354">
        <v>1091.55</v>
      </c>
      <c r="N763" s="350" t="s">
        <v>395</v>
      </c>
      <c r="O763" s="354">
        <v>925.09</v>
      </c>
      <c r="P763" s="374">
        <f t="shared" si="816"/>
        <v>68.77652959220147</v>
      </c>
      <c r="Q763" s="354">
        <f t="shared" si="817"/>
        <v>6.4866759415307724</v>
      </c>
      <c r="R763" s="354">
        <f t="shared" si="818"/>
        <v>10.934649002546541</v>
      </c>
      <c r="S763" s="354">
        <f t="shared" si="819"/>
        <v>9.7404389151160036</v>
      </c>
      <c r="T763" s="354">
        <f t="shared" si="820"/>
        <v>41.566174282306783</v>
      </c>
      <c r="U763" s="374">
        <f t="shared" si="821"/>
        <v>276.03005521150078</v>
      </c>
      <c r="V763" s="354">
        <f t="shared" si="822"/>
        <v>7.3067132402018204</v>
      </c>
      <c r="W763" s="354">
        <f t="shared" si="823"/>
        <v>249.24712196836865</v>
      </c>
      <c r="X763" s="354">
        <f t="shared" si="824"/>
        <v>19.476220002930319</v>
      </c>
      <c r="Y763" s="374">
        <f t="shared" si="825"/>
        <v>40.46558397061424</v>
      </c>
      <c r="Z763" s="354">
        <f t="shared" si="826"/>
        <v>20.874577219351234</v>
      </c>
      <c r="AA763" s="354">
        <f t="shared" si="827"/>
        <v>19.591006751263006</v>
      </c>
      <c r="AB763" s="374">
        <f t="shared" si="828"/>
        <v>221.07950237421204</v>
      </c>
      <c r="AC763" s="354">
        <f t="shared" si="829"/>
        <v>62.740722084717326</v>
      </c>
      <c r="AD763" s="354">
        <f t="shared" si="830"/>
        <v>136.57261522121877</v>
      </c>
      <c r="AE763" s="354">
        <f t="shared" si="831"/>
        <v>21.76616506827596</v>
      </c>
      <c r="AF763" s="374">
        <f t="shared" si="832"/>
        <v>176.94080687770011</v>
      </c>
      <c r="AG763" s="354">
        <f t="shared" si="833"/>
        <v>11.371402145672331</v>
      </c>
      <c r="AH763" s="354">
        <f t="shared" si="834"/>
        <v>57.214095531076261</v>
      </c>
      <c r="AI763" s="354">
        <f t="shared" si="835"/>
        <v>0</v>
      </c>
      <c r="AJ763" s="354">
        <f t="shared" si="836"/>
        <v>108.35530920095154</v>
      </c>
      <c r="AK763" s="374">
        <f t="shared" si="837"/>
        <v>116.8681715716676</v>
      </c>
      <c r="AL763" s="354">
        <f t="shared" si="838"/>
        <v>33.483506926638931</v>
      </c>
      <c r="AM763" s="354">
        <f t="shared" si="839"/>
        <v>78.972938839317322</v>
      </c>
      <c r="AN763" s="354">
        <f t="shared" si="840"/>
        <v>4.4117258057113471</v>
      </c>
      <c r="AO763" s="374">
        <f t="shared" si="841"/>
        <v>67.765446097299488</v>
      </c>
      <c r="AP763" s="354">
        <f t="shared" si="842"/>
        <v>15.539329572105455</v>
      </c>
      <c r="AQ763" s="354">
        <f t="shared" si="843"/>
        <v>52.226116525194037</v>
      </c>
      <c r="AR763" s="374">
        <f t="shared" si="844"/>
        <v>123.62390430480419</v>
      </c>
      <c r="AS763" s="354">
        <f t="shared" si="845"/>
        <v>53.570434535697608</v>
      </c>
      <c r="AT763" s="354">
        <f t="shared" si="846"/>
        <v>70.053469769106584</v>
      </c>
      <c r="AU763" s="355" t="s">
        <v>396</v>
      </c>
      <c r="AV763" s="354" t="s">
        <v>404</v>
      </c>
      <c r="AW763" s="355" t="s">
        <v>405</v>
      </c>
      <c r="AX763" s="355">
        <v>103321</v>
      </c>
      <c r="AY763" s="350" t="s">
        <v>406</v>
      </c>
      <c r="AZ763" s="351">
        <v>45233</v>
      </c>
      <c r="BA763" s="351">
        <v>45232</v>
      </c>
      <c r="BB763" s="350" t="s">
        <v>407</v>
      </c>
    </row>
    <row r="764" spans="1:54" x14ac:dyDescent="0.25">
      <c r="A764" s="348" t="s">
        <v>1748</v>
      </c>
      <c r="B764" s="349">
        <v>5608</v>
      </c>
      <c r="C764" s="352" t="s">
        <v>1733</v>
      </c>
      <c r="D764" s="351">
        <v>45229</v>
      </c>
      <c r="E764" s="352">
        <v>3110</v>
      </c>
      <c r="F764" s="352">
        <v>1</v>
      </c>
      <c r="H764" s="350" t="s">
        <v>437</v>
      </c>
      <c r="I764" s="350" t="s">
        <v>393</v>
      </c>
      <c r="J764" s="354">
        <v>598983.6</v>
      </c>
      <c r="K764" s="350" t="s">
        <v>394</v>
      </c>
      <c r="L764" s="354">
        <v>2.8998300000000001E-4</v>
      </c>
      <c r="M764" s="354">
        <v>212.03</v>
      </c>
      <c r="N764" s="350" t="s">
        <v>395</v>
      </c>
      <c r="O764" s="354">
        <v>179.7</v>
      </c>
      <c r="P764" s="374">
        <f t="shared" si="816"/>
        <v>13.359614831601371</v>
      </c>
      <c r="Q764" s="354">
        <f t="shared" si="817"/>
        <v>1.2600154824632583</v>
      </c>
      <c r="R764" s="354">
        <f t="shared" si="818"/>
        <v>2.1240196308093471</v>
      </c>
      <c r="S764" s="354">
        <f t="shared" si="819"/>
        <v>1.8920482462297157</v>
      </c>
      <c r="T764" s="354">
        <f t="shared" si="820"/>
        <v>8.0740927425014952</v>
      </c>
      <c r="U764" s="374">
        <f t="shared" si="821"/>
        <v>53.617931021478185</v>
      </c>
      <c r="V764" s="354">
        <f t="shared" si="822"/>
        <v>1.4193050325866814</v>
      </c>
      <c r="W764" s="354">
        <f t="shared" si="823"/>
        <v>48.415434264076964</v>
      </c>
      <c r="X764" s="354">
        <f t="shared" si="824"/>
        <v>3.7831917248145444</v>
      </c>
      <c r="Y764" s="374">
        <f t="shared" si="825"/>
        <v>7.8603066916672049</v>
      </c>
      <c r="Z764" s="354">
        <f t="shared" si="826"/>
        <v>4.054818018248401</v>
      </c>
      <c r="AA764" s="354">
        <f t="shared" si="827"/>
        <v>3.8054886734188034</v>
      </c>
      <c r="AB764" s="374">
        <f t="shared" si="828"/>
        <v>42.943966733914323</v>
      </c>
      <c r="AC764" s="354">
        <f t="shared" si="829"/>
        <v>12.187179060622613</v>
      </c>
      <c r="AD764" s="354">
        <f t="shared" si="830"/>
        <v>26.528781645691918</v>
      </c>
      <c r="AE764" s="354">
        <f t="shared" si="831"/>
        <v>4.2280060275997906</v>
      </c>
      <c r="AF764" s="374">
        <f t="shared" si="832"/>
        <v>34.370170200429442</v>
      </c>
      <c r="AG764" s="354">
        <f t="shared" si="833"/>
        <v>2.2088574934239427</v>
      </c>
      <c r="AH764" s="354">
        <f t="shared" si="834"/>
        <v>11.113650016448261</v>
      </c>
      <c r="AI764" s="354">
        <f t="shared" si="835"/>
        <v>0</v>
      </c>
      <c r="AJ764" s="354">
        <f t="shared" si="836"/>
        <v>21.047662690557239</v>
      </c>
      <c r="AK764" s="374">
        <f t="shared" si="837"/>
        <v>22.701258227603574</v>
      </c>
      <c r="AL764" s="354">
        <f t="shared" si="838"/>
        <v>6.5040611732447005</v>
      </c>
      <c r="AM764" s="354">
        <f t="shared" si="839"/>
        <v>15.34023381622505</v>
      </c>
      <c r="AN764" s="354">
        <f t="shared" si="840"/>
        <v>0.85696323813382524</v>
      </c>
      <c r="AO764" s="374">
        <f t="shared" si="841"/>
        <v>13.163215185754579</v>
      </c>
      <c r="AP764" s="354">
        <f t="shared" si="842"/>
        <v>3.0184636976533552</v>
      </c>
      <c r="AQ764" s="354">
        <f t="shared" si="843"/>
        <v>10.144751488101225</v>
      </c>
      <c r="AR764" s="374">
        <f t="shared" si="844"/>
        <v>24.013537107551311</v>
      </c>
      <c r="AS764" s="354">
        <f t="shared" si="845"/>
        <v>10.405880843391476</v>
      </c>
      <c r="AT764" s="354">
        <f t="shared" si="846"/>
        <v>13.607656264159838</v>
      </c>
      <c r="AU764" s="355" t="s">
        <v>396</v>
      </c>
      <c r="AV764" s="354" t="s">
        <v>404</v>
      </c>
      <c r="AW764" s="355" t="s">
        <v>405</v>
      </c>
      <c r="AX764" s="355">
        <v>117427</v>
      </c>
      <c r="AY764" s="350" t="s">
        <v>406</v>
      </c>
      <c r="AZ764" s="351">
        <v>45233</v>
      </c>
      <c r="BA764" s="351">
        <v>45232</v>
      </c>
      <c r="BB764" s="350" t="s">
        <v>407</v>
      </c>
    </row>
    <row r="765" spans="1:54" x14ac:dyDescent="0.25">
      <c r="A765" s="348" t="s">
        <v>1748</v>
      </c>
      <c r="B765" s="349">
        <v>5608</v>
      </c>
      <c r="C765" s="352" t="s">
        <v>1733</v>
      </c>
      <c r="D765" s="351">
        <v>45229</v>
      </c>
      <c r="E765" s="352">
        <v>3110</v>
      </c>
      <c r="F765" s="352">
        <v>1</v>
      </c>
      <c r="H765" s="350" t="s">
        <v>437</v>
      </c>
      <c r="I765" s="350" t="s">
        <v>393</v>
      </c>
      <c r="J765" s="354">
        <v>3194579.2</v>
      </c>
      <c r="K765" s="350" t="s">
        <v>394</v>
      </c>
      <c r="L765" s="354">
        <v>2.8998300000000001E-4</v>
      </c>
      <c r="M765" s="354">
        <v>1130.82</v>
      </c>
      <c r="N765" s="350" t="s">
        <v>395</v>
      </c>
      <c r="O765" s="354">
        <v>958.37</v>
      </c>
      <c r="P765" s="374">
        <f t="shared" si="816"/>
        <v>71.250859047641669</v>
      </c>
      <c r="Q765" s="354">
        <f t="shared" si="817"/>
        <v>6.7200429556152512</v>
      </c>
      <c r="R765" s="354">
        <f t="shared" si="818"/>
        <v>11.328037914030212</v>
      </c>
      <c r="S765" s="354">
        <f t="shared" si="819"/>
        <v>10.090864489937685</v>
      </c>
      <c r="T765" s="354">
        <f t="shared" si="820"/>
        <v>43.061574093644957</v>
      </c>
      <c r="U765" s="374">
        <f t="shared" si="821"/>
        <v>285.96061292132225</v>
      </c>
      <c r="V765" s="354">
        <f t="shared" si="822"/>
        <v>7.5695822145435603</v>
      </c>
      <c r="W765" s="354">
        <f t="shared" si="823"/>
        <v>258.21412712589495</v>
      </c>
      <c r="X765" s="354">
        <f t="shared" si="824"/>
        <v>20.176903580883756</v>
      </c>
      <c r="Y765" s="374">
        <f t="shared" si="825"/>
        <v>41.921388544409318</v>
      </c>
      <c r="Z765" s="354">
        <f t="shared" si="826"/>
        <v>21.625568605365544</v>
      </c>
      <c r="AA765" s="354">
        <f t="shared" si="827"/>
        <v>20.295819939043771</v>
      </c>
      <c r="AB765" s="374">
        <f t="shared" si="828"/>
        <v>229.03313899941043</v>
      </c>
      <c r="AC765" s="354">
        <f t="shared" si="829"/>
        <v>64.997905132921119</v>
      </c>
      <c r="AD765" s="354">
        <f t="shared" si="830"/>
        <v>141.48600132330961</v>
      </c>
      <c r="AE765" s="354">
        <f t="shared" si="831"/>
        <v>22.549232543179716</v>
      </c>
      <c r="AF765" s="374">
        <f t="shared" si="832"/>
        <v>183.30649373225307</v>
      </c>
      <c r="AG765" s="354">
        <f t="shared" si="833"/>
        <v>11.780503847161546</v>
      </c>
      <c r="AH765" s="354">
        <f t="shared" si="834"/>
        <v>59.272450651323034</v>
      </c>
      <c r="AI765" s="354">
        <f t="shared" si="835"/>
        <v>0</v>
      </c>
      <c r="AJ765" s="354">
        <f t="shared" si="836"/>
        <v>112.25353923376851</v>
      </c>
      <c r="AK765" s="374">
        <f t="shared" si="837"/>
        <v>121.07266343884673</v>
      </c>
      <c r="AL765" s="354">
        <f t="shared" si="838"/>
        <v>34.688121756018354</v>
      </c>
      <c r="AM765" s="354">
        <f t="shared" si="839"/>
        <v>81.814098024164551</v>
      </c>
      <c r="AN765" s="354">
        <f t="shared" si="840"/>
        <v>4.570443658663832</v>
      </c>
      <c r="AO765" s="374">
        <f t="shared" si="841"/>
        <v>70.203400445007745</v>
      </c>
      <c r="AP765" s="354">
        <f t="shared" si="842"/>
        <v>16.098378147339371</v>
      </c>
      <c r="AQ765" s="354">
        <f t="shared" si="843"/>
        <v>54.105022297668377</v>
      </c>
      <c r="AR765" s="374">
        <f t="shared" si="844"/>
        <v>128.07144287110867</v>
      </c>
      <c r="AS765" s="354">
        <f t="shared" si="845"/>
        <v>55.497703982096624</v>
      </c>
      <c r="AT765" s="354">
        <f t="shared" si="846"/>
        <v>72.573738889012049</v>
      </c>
      <c r="AU765" s="355" t="s">
        <v>396</v>
      </c>
      <c r="AV765" s="354" t="s">
        <v>404</v>
      </c>
      <c r="AW765" s="355" t="s">
        <v>405</v>
      </c>
      <c r="AX765" s="355">
        <v>117872</v>
      </c>
      <c r="AY765" s="350" t="s">
        <v>406</v>
      </c>
      <c r="AZ765" s="351">
        <v>45233</v>
      </c>
      <c r="BA765" s="351">
        <v>45232</v>
      </c>
      <c r="BB765" s="350" t="s">
        <v>407</v>
      </c>
    </row>
    <row r="766" spans="1:54" x14ac:dyDescent="0.25">
      <c r="A766" s="348" t="s">
        <v>1748</v>
      </c>
      <c r="B766" s="349">
        <v>5608</v>
      </c>
      <c r="C766" s="352" t="s">
        <v>1733</v>
      </c>
      <c r="D766" s="351">
        <v>45229</v>
      </c>
      <c r="E766" s="352">
        <v>3110</v>
      </c>
      <c r="F766" s="352">
        <v>1</v>
      </c>
      <c r="H766" s="350" t="s">
        <v>437</v>
      </c>
      <c r="I766" s="350" t="s">
        <v>393</v>
      </c>
      <c r="J766" s="354">
        <v>802216.5</v>
      </c>
      <c r="K766" s="350" t="s">
        <v>394</v>
      </c>
      <c r="L766" s="354">
        <v>2.8998300000000001E-4</v>
      </c>
      <c r="M766" s="354">
        <v>283.97000000000003</v>
      </c>
      <c r="N766" s="350" t="s">
        <v>395</v>
      </c>
      <c r="O766" s="354">
        <v>240.66</v>
      </c>
      <c r="P766" s="374">
        <f t="shared" si="816"/>
        <v>17.892420052491826</v>
      </c>
      <c r="Q766" s="354">
        <f t="shared" si="817"/>
        <v>1.6875281637272626</v>
      </c>
      <c r="R766" s="354">
        <f t="shared" si="818"/>
        <v>2.8446816703340581</v>
      </c>
      <c r="S766" s="354">
        <f t="shared" si="819"/>
        <v>2.5340043412811983</v>
      </c>
      <c r="T766" s="354">
        <f t="shared" si="820"/>
        <v>10.813564665793283</v>
      </c>
      <c r="U766" s="374">
        <f t="shared" si="821"/>
        <v>71.810045145352831</v>
      </c>
      <c r="V766" s="354">
        <f t="shared" si="822"/>
        <v>1.9008633217169266</v>
      </c>
      <c r="W766" s="354">
        <f t="shared" si="823"/>
        <v>64.842384888789013</v>
      </c>
      <c r="X766" s="354">
        <f t="shared" si="824"/>
        <v>5.0667969348468906</v>
      </c>
      <c r="Y766" s="374">
        <f t="shared" si="825"/>
        <v>10.52724280164475</v>
      </c>
      <c r="Z766" s="354">
        <f t="shared" si="826"/>
        <v>5.4305837506107553</v>
      </c>
      <c r="AA766" s="354">
        <f t="shared" si="827"/>
        <v>5.0966590510339937</v>
      </c>
      <c r="AB766" s="374">
        <f t="shared" si="828"/>
        <v>57.514494333017275</v>
      </c>
      <c r="AC766" s="354">
        <f t="shared" si="829"/>
        <v>16.322186661533767</v>
      </c>
      <c r="AD766" s="354">
        <f t="shared" si="830"/>
        <v>35.52977467305162</v>
      </c>
      <c r="AE766" s="354">
        <f t="shared" si="831"/>
        <v>5.6625329984318862</v>
      </c>
      <c r="AF766" s="374">
        <f t="shared" si="832"/>
        <v>46.031680572635707</v>
      </c>
      <c r="AG766" s="354">
        <f t="shared" si="833"/>
        <v>2.9583043079167899</v>
      </c>
      <c r="AH766" s="354">
        <f t="shared" si="834"/>
        <v>14.884418219925545</v>
      </c>
      <c r="AI766" s="354">
        <f t="shared" si="835"/>
        <v>0</v>
      </c>
      <c r="AJ766" s="354">
        <f t="shared" si="836"/>
        <v>28.188958044793377</v>
      </c>
      <c r="AK766" s="374">
        <f t="shared" si="837"/>
        <v>30.403604673360316</v>
      </c>
      <c r="AL766" s="354">
        <f t="shared" si="838"/>
        <v>8.71083455815827</v>
      </c>
      <c r="AM766" s="354">
        <f t="shared" si="839"/>
        <v>20.545046440567031</v>
      </c>
      <c r="AN766" s="354">
        <f t="shared" si="840"/>
        <v>1.1477236746350157</v>
      </c>
      <c r="AO766" s="374">
        <f t="shared" si="841"/>
        <v>17.62938365466551</v>
      </c>
      <c r="AP766" s="354">
        <f t="shared" si="842"/>
        <v>4.0426031043843951</v>
      </c>
      <c r="AQ766" s="354">
        <f t="shared" si="843"/>
        <v>13.586780550281116</v>
      </c>
      <c r="AR766" s="374">
        <f t="shared" si="844"/>
        <v>32.161128766831801</v>
      </c>
      <c r="AS766" s="354">
        <f t="shared" si="845"/>
        <v>13.936508904861942</v>
      </c>
      <c r="AT766" s="354">
        <f t="shared" si="846"/>
        <v>18.22461986196986</v>
      </c>
      <c r="AU766" s="355" t="s">
        <v>396</v>
      </c>
      <c r="AV766" s="354" t="s">
        <v>404</v>
      </c>
      <c r="AW766" s="355" t="s">
        <v>405</v>
      </c>
      <c r="AX766" s="355">
        <v>103328</v>
      </c>
      <c r="AY766" s="350" t="s">
        <v>406</v>
      </c>
      <c r="AZ766" s="351">
        <v>45233</v>
      </c>
      <c r="BA766" s="351">
        <v>45232</v>
      </c>
      <c r="BB766" s="350" t="s">
        <v>407</v>
      </c>
    </row>
    <row r="767" spans="1:54" x14ac:dyDescent="0.25">
      <c r="A767" s="348" t="s">
        <v>1748</v>
      </c>
      <c r="B767" s="349">
        <v>5608</v>
      </c>
      <c r="C767" s="352" t="s">
        <v>1733</v>
      </c>
      <c r="D767" s="351">
        <v>45229</v>
      </c>
      <c r="E767" s="352">
        <v>3110</v>
      </c>
      <c r="F767" s="352">
        <v>1</v>
      </c>
      <c r="H767" s="350" t="s">
        <v>437</v>
      </c>
      <c r="I767" s="350" t="s">
        <v>393</v>
      </c>
      <c r="J767" s="354">
        <v>684495.7</v>
      </c>
      <c r="K767" s="350" t="s">
        <v>394</v>
      </c>
      <c r="L767" s="354">
        <v>2.8998300000000001E-4</v>
      </c>
      <c r="M767" s="354">
        <v>242.3</v>
      </c>
      <c r="N767" s="350" t="s">
        <v>395</v>
      </c>
      <c r="O767" s="354">
        <v>205.35</v>
      </c>
      <c r="P767" s="374">
        <f t="shared" si="816"/>
        <v>15.266871073418915</v>
      </c>
      <c r="Q767" s="354">
        <f t="shared" si="817"/>
        <v>1.4398988416773453</v>
      </c>
      <c r="R767" s="354">
        <f t="shared" si="818"/>
        <v>2.4272506557803371</v>
      </c>
      <c r="S767" s="354">
        <f t="shared" si="819"/>
        <v>2.1621623829715615</v>
      </c>
      <c r="T767" s="354">
        <f t="shared" si="820"/>
        <v>9.2267729637698075</v>
      </c>
      <c r="U767" s="374">
        <f t="shared" si="821"/>
        <v>61.272577873433782</v>
      </c>
      <c r="V767" s="354">
        <f t="shared" si="822"/>
        <v>1.6219290166285569</v>
      </c>
      <c r="W767" s="354">
        <f t="shared" si="823"/>
        <v>55.327358025684333</v>
      </c>
      <c r="X767" s="354">
        <f t="shared" si="824"/>
        <v>4.3232908311208984</v>
      </c>
      <c r="Y767" s="374">
        <f t="shared" si="825"/>
        <v>8.9824662141723515</v>
      </c>
      <c r="Z767" s="354">
        <f t="shared" si="826"/>
        <v>4.633695259263253</v>
      </c>
      <c r="AA767" s="354">
        <f t="shared" si="827"/>
        <v>4.3487709549090976</v>
      </c>
      <c r="AB767" s="374">
        <f t="shared" si="828"/>
        <v>49.07476838007566</v>
      </c>
      <c r="AC767" s="354">
        <f t="shared" si="829"/>
        <v>13.927055069513086</v>
      </c>
      <c r="AD767" s="354">
        <f t="shared" si="830"/>
        <v>30.316105233934596</v>
      </c>
      <c r="AE767" s="354">
        <f t="shared" si="831"/>
        <v>4.8316080766279743</v>
      </c>
      <c r="AF767" s="374">
        <f t="shared" si="832"/>
        <v>39.276952504664692</v>
      </c>
      <c r="AG767" s="354">
        <f t="shared" si="833"/>
        <v>2.5242002106146364</v>
      </c>
      <c r="AH767" s="354">
        <f t="shared" si="834"/>
        <v>12.700265995309222</v>
      </c>
      <c r="AI767" s="354">
        <f t="shared" si="835"/>
        <v>0</v>
      </c>
      <c r="AJ767" s="354">
        <f t="shared" si="836"/>
        <v>24.052486298740838</v>
      </c>
      <c r="AK767" s="374">
        <f t="shared" si="837"/>
        <v>25.942153792144254</v>
      </c>
      <c r="AL767" s="354">
        <f t="shared" si="838"/>
        <v>7.4325992655623772</v>
      </c>
      <c r="AM767" s="354">
        <f t="shared" si="839"/>
        <v>17.530248802864357</v>
      </c>
      <c r="AN767" s="354">
        <f t="shared" si="840"/>
        <v>0.97930572371752045</v>
      </c>
      <c r="AO767" s="374">
        <f t="shared" si="841"/>
        <v>15.042432860955218</v>
      </c>
      <c r="AP767" s="354">
        <f t="shared" si="842"/>
        <v>3.4493880768825544</v>
      </c>
      <c r="AQ767" s="354">
        <f t="shared" si="843"/>
        <v>11.593044784072664</v>
      </c>
      <c r="AR767" s="374">
        <f t="shared" si="844"/>
        <v>27.441777301135136</v>
      </c>
      <c r="AS767" s="354">
        <f t="shared" si="845"/>
        <v>11.891453701616538</v>
      </c>
      <c r="AT767" s="354">
        <f t="shared" si="846"/>
        <v>15.550323599518601</v>
      </c>
      <c r="AU767" s="355" t="s">
        <v>396</v>
      </c>
      <c r="AV767" s="354" t="s">
        <v>404</v>
      </c>
      <c r="AW767" s="355" t="s">
        <v>405</v>
      </c>
      <c r="AX767" s="355">
        <v>117293</v>
      </c>
      <c r="AY767" s="350" t="s">
        <v>406</v>
      </c>
      <c r="AZ767" s="351">
        <v>45233</v>
      </c>
      <c r="BA767" s="351">
        <v>45232</v>
      </c>
      <c r="BB767" s="350" t="s">
        <v>407</v>
      </c>
    </row>
    <row r="768" spans="1:54" x14ac:dyDescent="0.25">
      <c r="A768" s="348" t="s">
        <v>1748</v>
      </c>
      <c r="B768" s="349">
        <v>5608</v>
      </c>
      <c r="C768" s="352" t="s">
        <v>1733</v>
      </c>
      <c r="D768" s="351">
        <v>45229</v>
      </c>
      <c r="E768" s="352">
        <v>3120</v>
      </c>
      <c r="F768" s="352">
        <v>1</v>
      </c>
      <c r="H768" s="350" t="s">
        <v>438</v>
      </c>
      <c r="I768" s="350" t="s">
        <v>393</v>
      </c>
      <c r="J768" s="354">
        <v>4410</v>
      </c>
      <c r="K768" s="350" t="s">
        <v>394</v>
      </c>
      <c r="L768" s="354">
        <v>2.8998300000000001E-4</v>
      </c>
      <c r="M768" s="354">
        <v>1.56</v>
      </c>
      <c r="N768" s="350" t="s">
        <v>395</v>
      </c>
      <c r="O768" s="354">
        <v>1.32</v>
      </c>
      <c r="P768" s="374">
        <f t="shared" si="816"/>
        <v>9.829269036126087E-2</v>
      </c>
      <c r="Q768" s="354">
        <f t="shared" si="817"/>
        <v>9.2705001775347032E-3</v>
      </c>
      <c r="R768" s="354">
        <f t="shared" si="818"/>
        <v>1.5627366995531678E-2</v>
      </c>
      <c r="S768" s="354">
        <f t="shared" si="819"/>
        <v>1.3920649267171424E-2</v>
      </c>
      <c r="T768" s="354">
        <f t="shared" si="820"/>
        <v>5.9404728945443255E-2</v>
      </c>
      <c r="U768" s="374">
        <f t="shared" si="821"/>
        <v>0.39449121536342013</v>
      </c>
      <c r="V768" s="354">
        <f t="shared" si="822"/>
        <v>1.0442464985309735E-2</v>
      </c>
      <c r="W768" s="354">
        <f t="shared" si="823"/>
        <v>0.35621410862594943</v>
      </c>
      <c r="X768" s="354">
        <f t="shared" si="824"/>
        <v>2.7834641752160966E-2</v>
      </c>
      <c r="Y768" s="374">
        <f t="shared" si="825"/>
        <v>5.783180889025534E-2</v>
      </c>
      <c r="Z768" s="354">
        <f t="shared" si="826"/>
        <v>2.9833118466573154E-2</v>
      </c>
      <c r="AA768" s="354">
        <f t="shared" si="827"/>
        <v>2.7998690423682183E-2</v>
      </c>
      <c r="AB768" s="374">
        <f t="shared" si="828"/>
        <v>0.31595806303309132</v>
      </c>
      <c r="AC768" s="354">
        <f t="shared" si="829"/>
        <v>8.9666553480975714E-2</v>
      </c>
      <c r="AD768" s="354">
        <f t="shared" si="830"/>
        <v>0.19518416906701597</v>
      </c>
      <c r="AE768" s="354">
        <f t="shared" si="831"/>
        <v>3.1107340485099628E-2</v>
      </c>
      <c r="AF768" s="374">
        <f t="shared" si="832"/>
        <v>0.25287678872173713</v>
      </c>
      <c r="AG768" s="354">
        <f t="shared" si="833"/>
        <v>1.6251557278410367E-2</v>
      </c>
      <c r="AH768" s="354">
        <f t="shared" si="834"/>
        <v>8.1768117840207932E-2</v>
      </c>
      <c r="AI768" s="354">
        <f t="shared" si="835"/>
        <v>0</v>
      </c>
      <c r="AJ768" s="354">
        <f t="shared" si="836"/>
        <v>0.15485711360311885</v>
      </c>
      <c r="AK768" s="374">
        <f t="shared" si="837"/>
        <v>0.16702335912399932</v>
      </c>
      <c r="AL768" s="354">
        <f t="shared" si="838"/>
        <v>4.7853301090702884E-2</v>
      </c>
      <c r="AM768" s="354">
        <f t="shared" si="839"/>
        <v>0.1128649943560396</v>
      </c>
      <c r="AN768" s="354">
        <f t="shared" si="840"/>
        <v>6.3050636772568379E-3</v>
      </c>
      <c r="AO768" s="374">
        <f t="shared" si="841"/>
        <v>9.6847689901321254E-2</v>
      </c>
      <c r="AP768" s="354">
        <f t="shared" si="842"/>
        <v>2.220819397415099E-2</v>
      </c>
      <c r="AQ768" s="354">
        <f t="shared" si="843"/>
        <v>7.4639495927170271E-2</v>
      </c>
      <c r="AR768" s="374">
        <f t="shared" si="844"/>
        <v>0.17667838460491461</v>
      </c>
      <c r="AS768" s="354">
        <f t="shared" si="845"/>
        <v>7.6560741950151875E-2</v>
      </c>
      <c r="AT768" s="354">
        <f t="shared" si="846"/>
        <v>0.10011764265476275</v>
      </c>
      <c r="AU768" s="355" t="s">
        <v>396</v>
      </c>
      <c r="AV768" s="354" t="s">
        <v>404</v>
      </c>
      <c r="AW768" s="355" t="s">
        <v>405</v>
      </c>
      <c r="AX768" s="355">
        <v>103265</v>
      </c>
      <c r="AY768" s="350" t="s">
        <v>406</v>
      </c>
      <c r="AZ768" s="351">
        <v>45233</v>
      </c>
      <c r="BA768" s="351">
        <v>45232</v>
      </c>
      <c r="BB768" s="350" t="s">
        <v>407</v>
      </c>
    </row>
    <row r="769" spans="1:54" x14ac:dyDescent="0.25">
      <c r="A769" s="348" t="s">
        <v>1748</v>
      </c>
      <c r="B769" s="349">
        <v>5608</v>
      </c>
      <c r="C769" s="352" t="s">
        <v>1733</v>
      </c>
      <c r="D769" s="351">
        <v>45229</v>
      </c>
      <c r="E769" s="352">
        <v>3120</v>
      </c>
      <c r="F769" s="352">
        <v>1</v>
      </c>
      <c r="H769" s="350" t="s">
        <v>438</v>
      </c>
      <c r="I769" s="350" t="s">
        <v>393</v>
      </c>
      <c r="J769" s="354">
        <v>29400</v>
      </c>
      <c r="K769" s="350" t="s">
        <v>394</v>
      </c>
      <c r="L769" s="354">
        <v>2.8998300000000001E-4</v>
      </c>
      <c r="M769" s="354">
        <v>10.41</v>
      </c>
      <c r="N769" s="350" t="s">
        <v>395</v>
      </c>
      <c r="O769" s="354">
        <v>8.82</v>
      </c>
      <c r="P769" s="374">
        <f t="shared" si="816"/>
        <v>0.65591468375687534</v>
      </c>
      <c r="Q769" s="354">
        <f t="shared" si="817"/>
        <v>6.1862760800087339E-2</v>
      </c>
      <c r="R769" s="354">
        <f t="shared" si="818"/>
        <v>0.10428262206633639</v>
      </c>
      <c r="S769" s="354">
        <f t="shared" si="819"/>
        <v>9.2893563379009295E-2</v>
      </c>
      <c r="T769" s="354">
        <f t="shared" si="820"/>
        <v>0.39641232584747704</v>
      </c>
      <c r="U769" s="374">
        <f t="shared" si="821"/>
        <v>2.6324702255982073</v>
      </c>
      <c r="V769" s="354">
        <f t="shared" si="822"/>
        <v>6.9683372113509195E-2</v>
      </c>
      <c r="W769" s="354">
        <f t="shared" si="823"/>
        <v>2.3770441479462394</v>
      </c>
      <c r="X769" s="354">
        <f t="shared" si="824"/>
        <v>0.18574270553845873</v>
      </c>
      <c r="Y769" s="374">
        <f t="shared" si="825"/>
        <v>0.38591610932535775</v>
      </c>
      <c r="Z769" s="354">
        <f t="shared" si="826"/>
        <v>0.19907869438270931</v>
      </c>
      <c r="AA769" s="354">
        <f t="shared" si="827"/>
        <v>0.18683741494264841</v>
      </c>
      <c r="AB769" s="374">
        <f t="shared" si="828"/>
        <v>2.1084124590862054</v>
      </c>
      <c r="AC769" s="354">
        <f t="shared" si="829"/>
        <v>0.59835180880574179</v>
      </c>
      <c r="AD769" s="354">
        <f t="shared" si="830"/>
        <v>1.3024789743510488</v>
      </c>
      <c r="AE769" s="354">
        <f t="shared" si="831"/>
        <v>0.20758167592941482</v>
      </c>
      <c r="AF769" s="374">
        <f t="shared" si="832"/>
        <v>1.6874662632008228</v>
      </c>
      <c r="AG769" s="354">
        <f t="shared" si="833"/>
        <v>0.10844789183862302</v>
      </c>
      <c r="AH769" s="354">
        <f t="shared" si="834"/>
        <v>0.54564494020292598</v>
      </c>
      <c r="AI769" s="354">
        <f t="shared" si="835"/>
        <v>0</v>
      </c>
      <c r="AJ769" s="354">
        <f t="shared" si="836"/>
        <v>1.0333734311592739</v>
      </c>
      <c r="AK769" s="374">
        <f t="shared" si="837"/>
        <v>1.1145597233851494</v>
      </c>
      <c r="AL769" s="354">
        <f t="shared" si="838"/>
        <v>0.31932875920142118</v>
      </c>
      <c r="AM769" s="354">
        <f t="shared" si="839"/>
        <v>0.75315678926049512</v>
      </c>
      <c r="AN769" s="354">
        <f t="shared" si="840"/>
        <v>4.2074174923233135E-2</v>
      </c>
      <c r="AO769" s="374">
        <f t="shared" si="841"/>
        <v>0.64627208453381679</v>
      </c>
      <c r="AP769" s="354">
        <f t="shared" si="842"/>
        <v>0.14819698671212295</v>
      </c>
      <c r="AQ769" s="354">
        <f t="shared" si="843"/>
        <v>0.49807509782169385</v>
      </c>
      <c r="AR769" s="374">
        <f t="shared" si="844"/>
        <v>1.1789884511135649</v>
      </c>
      <c r="AS769" s="354">
        <f t="shared" si="845"/>
        <v>0.51089572032120578</v>
      </c>
      <c r="AT769" s="354">
        <f t="shared" si="846"/>
        <v>0.6680927307923592</v>
      </c>
      <c r="AU769" s="355" t="s">
        <v>396</v>
      </c>
      <c r="AV769" s="354" t="s">
        <v>404</v>
      </c>
      <c r="AW769" s="355" t="s">
        <v>405</v>
      </c>
      <c r="AX769" s="355">
        <v>117871</v>
      </c>
      <c r="AY769" s="350" t="s">
        <v>406</v>
      </c>
      <c r="AZ769" s="351">
        <v>45233</v>
      </c>
      <c r="BA769" s="351">
        <v>45232</v>
      </c>
      <c r="BB769" s="350" t="s">
        <v>407</v>
      </c>
    </row>
    <row r="770" spans="1:54" x14ac:dyDescent="0.25">
      <c r="A770" s="348" t="s">
        <v>1748</v>
      </c>
      <c r="B770" s="349">
        <v>5608</v>
      </c>
      <c r="C770" s="352" t="s">
        <v>1733</v>
      </c>
      <c r="D770" s="351">
        <v>45229</v>
      </c>
      <c r="E770" s="352">
        <v>3120</v>
      </c>
      <c r="F770" s="352">
        <v>1</v>
      </c>
      <c r="G770" s="352"/>
      <c r="H770" s="350" t="s">
        <v>438</v>
      </c>
      <c r="I770" s="350" t="s">
        <v>393</v>
      </c>
      <c r="J770" s="354">
        <v>23520</v>
      </c>
      <c r="K770" s="350" t="s">
        <v>394</v>
      </c>
      <c r="L770" s="354">
        <v>2.8998300000000001E-4</v>
      </c>
      <c r="M770" s="354">
        <v>8.33</v>
      </c>
      <c r="N770" s="350" t="s">
        <v>395</v>
      </c>
      <c r="O770" s="354">
        <v>7.06</v>
      </c>
      <c r="P770" s="374">
        <f t="shared" si="816"/>
        <v>0.52485776327519418</v>
      </c>
      <c r="Q770" s="354">
        <f t="shared" si="817"/>
        <v>4.950209389670774E-2</v>
      </c>
      <c r="R770" s="354">
        <f t="shared" si="818"/>
        <v>8.3446132738960815E-2</v>
      </c>
      <c r="S770" s="354">
        <f t="shared" si="819"/>
        <v>7.4332697689447405E-2</v>
      </c>
      <c r="T770" s="354">
        <f t="shared" si="820"/>
        <v>0.31720602058688607</v>
      </c>
      <c r="U770" s="374">
        <f t="shared" si="821"/>
        <v>2.1064819384469806</v>
      </c>
      <c r="V770" s="354">
        <f t="shared" si="822"/>
        <v>5.5760085466429549E-2</v>
      </c>
      <c r="W770" s="354">
        <f t="shared" si="823"/>
        <v>1.9020920031116404</v>
      </c>
      <c r="X770" s="354">
        <f t="shared" si="824"/>
        <v>0.14862984986891078</v>
      </c>
      <c r="Y770" s="374">
        <f t="shared" si="825"/>
        <v>0.30880703080501726</v>
      </c>
      <c r="Z770" s="354">
        <f t="shared" si="826"/>
        <v>0.15930120309394508</v>
      </c>
      <c r="AA770" s="354">
        <f t="shared" si="827"/>
        <v>0.14950582771107215</v>
      </c>
      <c r="AB770" s="374">
        <f t="shared" si="828"/>
        <v>1.6871350417087503</v>
      </c>
      <c r="AC770" s="354">
        <f t="shared" si="829"/>
        <v>0.47879640416444075</v>
      </c>
      <c r="AD770" s="354">
        <f t="shared" si="830"/>
        <v>1.0422334155950275</v>
      </c>
      <c r="AE770" s="354">
        <f t="shared" si="831"/>
        <v>0.16610522194928198</v>
      </c>
      <c r="AF770" s="374">
        <f t="shared" si="832"/>
        <v>1.3502972115718401</v>
      </c>
      <c r="AG770" s="354">
        <f t="shared" si="833"/>
        <v>8.6779148800742542E-2</v>
      </c>
      <c r="AH770" s="354">
        <f t="shared" si="834"/>
        <v>0.43662078308264879</v>
      </c>
      <c r="AI770" s="354">
        <f t="shared" si="835"/>
        <v>0</v>
      </c>
      <c r="AJ770" s="354">
        <f t="shared" si="836"/>
        <v>0.82689727968844884</v>
      </c>
      <c r="AK770" s="374">
        <f t="shared" si="837"/>
        <v>0.89186191121981684</v>
      </c>
      <c r="AL770" s="354">
        <f t="shared" si="838"/>
        <v>0.25552435774715065</v>
      </c>
      <c r="AM770" s="354">
        <f t="shared" si="839"/>
        <v>0.60267013011910886</v>
      </c>
      <c r="AN770" s="354">
        <f t="shared" si="840"/>
        <v>3.3667423353557345E-2</v>
      </c>
      <c r="AO770" s="374">
        <f t="shared" si="841"/>
        <v>0.51714183133205516</v>
      </c>
      <c r="AP770" s="354">
        <f t="shared" si="842"/>
        <v>0.11858606141325496</v>
      </c>
      <c r="AQ770" s="354">
        <f t="shared" si="843"/>
        <v>0.39855576991880021</v>
      </c>
      <c r="AR770" s="374">
        <f t="shared" si="844"/>
        <v>0.94341727164034528</v>
      </c>
      <c r="AS770" s="354">
        <f t="shared" si="845"/>
        <v>0.40881473105433658</v>
      </c>
      <c r="AT770" s="354">
        <f t="shared" si="846"/>
        <v>0.53460254058600876</v>
      </c>
      <c r="AU770" s="355" t="s">
        <v>396</v>
      </c>
      <c r="AV770" s="354" t="s">
        <v>404</v>
      </c>
      <c r="AW770" s="355" t="s">
        <v>405</v>
      </c>
      <c r="AX770" s="355">
        <v>103321</v>
      </c>
      <c r="AY770" s="350" t="s">
        <v>406</v>
      </c>
      <c r="AZ770" s="351">
        <v>45233</v>
      </c>
      <c r="BA770" s="351">
        <v>45232</v>
      </c>
      <c r="BB770" s="350" t="s">
        <v>407</v>
      </c>
    </row>
    <row r="771" spans="1:54" x14ac:dyDescent="0.25">
      <c r="A771" s="348" t="s">
        <v>1748</v>
      </c>
      <c r="B771" s="349">
        <v>5608</v>
      </c>
      <c r="C771" s="352" t="s">
        <v>1733</v>
      </c>
      <c r="D771" s="351">
        <v>45229</v>
      </c>
      <c r="E771" s="352">
        <v>3120</v>
      </c>
      <c r="F771" s="352">
        <v>1</v>
      </c>
      <c r="G771" s="351"/>
      <c r="H771" s="350" t="s">
        <v>438</v>
      </c>
      <c r="I771" s="350" t="s">
        <v>393</v>
      </c>
      <c r="J771" s="354">
        <v>4410</v>
      </c>
      <c r="K771" s="350" t="s">
        <v>394</v>
      </c>
      <c r="L771" s="354">
        <v>2.8998300000000001E-4</v>
      </c>
      <c r="M771" s="354">
        <v>1.56</v>
      </c>
      <c r="N771" s="350" t="s">
        <v>395</v>
      </c>
      <c r="O771" s="354">
        <v>1.32</v>
      </c>
      <c r="P771" s="374">
        <f t="shared" si="816"/>
        <v>9.829269036126087E-2</v>
      </c>
      <c r="Q771" s="354">
        <f t="shared" si="817"/>
        <v>9.2705001775347032E-3</v>
      </c>
      <c r="R771" s="354">
        <f t="shared" si="818"/>
        <v>1.5627366995531678E-2</v>
      </c>
      <c r="S771" s="354">
        <f t="shared" si="819"/>
        <v>1.3920649267171424E-2</v>
      </c>
      <c r="T771" s="354">
        <f t="shared" si="820"/>
        <v>5.9404728945443255E-2</v>
      </c>
      <c r="U771" s="374">
        <f t="shared" si="821"/>
        <v>0.39449121536342013</v>
      </c>
      <c r="V771" s="354">
        <f t="shared" si="822"/>
        <v>1.0442464985309735E-2</v>
      </c>
      <c r="W771" s="354">
        <f t="shared" si="823"/>
        <v>0.35621410862594943</v>
      </c>
      <c r="X771" s="354">
        <f t="shared" si="824"/>
        <v>2.7834641752160966E-2</v>
      </c>
      <c r="Y771" s="374">
        <f t="shared" si="825"/>
        <v>5.783180889025534E-2</v>
      </c>
      <c r="Z771" s="354">
        <f t="shared" si="826"/>
        <v>2.9833118466573154E-2</v>
      </c>
      <c r="AA771" s="354">
        <f t="shared" si="827"/>
        <v>2.7998690423682183E-2</v>
      </c>
      <c r="AB771" s="374">
        <f t="shared" si="828"/>
        <v>0.31595806303309132</v>
      </c>
      <c r="AC771" s="354">
        <f t="shared" si="829"/>
        <v>8.9666553480975714E-2</v>
      </c>
      <c r="AD771" s="354">
        <f t="shared" si="830"/>
        <v>0.19518416906701597</v>
      </c>
      <c r="AE771" s="354">
        <f t="shared" si="831"/>
        <v>3.1107340485099628E-2</v>
      </c>
      <c r="AF771" s="374">
        <f t="shared" si="832"/>
        <v>0.25287678872173713</v>
      </c>
      <c r="AG771" s="354">
        <f t="shared" si="833"/>
        <v>1.6251557278410367E-2</v>
      </c>
      <c r="AH771" s="354">
        <f t="shared" si="834"/>
        <v>8.1768117840207932E-2</v>
      </c>
      <c r="AI771" s="354">
        <f t="shared" si="835"/>
        <v>0</v>
      </c>
      <c r="AJ771" s="354">
        <f t="shared" si="836"/>
        <v>0.15485711360311885</v>
      </c>
      <c r="AK771" s="374">
        <f t="shared" si="837"/>
        <v>0.16702335912399932</v>
      </c>
      <c r="AL771" s="354">
        <f t="shared" si="838"/>
        <v>4.7853301090702884E-2</v>
      </c>
      <c r="AM771" s="354">
        <f t="shared" si="839"/>
        <v>0.1128649943560396</v>
      </c>
      <c r="AN771" s="354">
        <f t="shared" si="840"/>
        <v>6.3050636772568379E-3</v>
      </c>
      <c r="AO771" s="374">
        <f t="shared" si="841"/>
        <v>9.6847689901321254E-2</v>
      </c>
      <c r="AP771" s="354">
        <f t="shared" si="842"/>
        <v>2.220819397415099E-2</v>
      </c>
      <c r="AQ771" s="354">
        <f t="shared" si="843"/>
        <v>7.4639495927170271E-2</v>
      </c>
      <c r="AR771" s="374">
        <f t="shared" si="844"/>
        <v>0.17667838460491461</v>
      </c>
      <c r="AS771" s="354">
        <f t="shared" si="845"/>
        <v>7.6560741950151875E-2</v>
      </c>
      <c r="AT771" s="354">
        <f t="shared" si="846"/>
        <v>0.10011764265476275</v>
      </c>
      <c r="AU771" s="355" t="s">
        <v>396</v>
      </c>
      <c r="AV771" s="354" t="s">
        <v>404</v>
      </c>
      <c r="AW771" s="355" t="s">
        <v>405</v>
      </c>
      <c r="AX771" s="355">
        <v>117427</v>
      </c>
      <c r="AY771" s="350" t="s">
        <v>406</v>
      </c>
      <c r="AZ771" s="351">
        <v>45233</v>
      </c>
      <c r="BA771" s="351">
        <v>45232</v>
      </c>
      <c r="BB771" s="350" t="s">
        <v>407</v>
      </c>
    </row>
    <row r="772" spans="1:54" x14ac:dyDescent="0.25">
      <c r="A772" s="348" t="s">
        <v>1748</v>
      </c>
      <c r="B772" s="349">
        <v>5608</v>
      </c>
      <c r="C772" s="352" t="s">
        <v>1733</v>
      </c>
      <c r="D772" s="351">
        <v>45229</v>
      </c>
      <c r="E772" s="352">
        <v>3120</v>
      </c>
      <c r="F772" s="352">
        <v>1</v>
      </c>
      <c r="G772" s="351"/>
      <c r="H772" s="350" t="s">
        <v>438</v>
      </c>
      <c r="I772" s="350" t="s">
        <v>393</v>
      </c>
      <c r="J772" s="354">
        <v>23520</v>
      </c>
      <c r="K772" s="350" t="s">
        <v>394</v>
      </c>
      <c r="L772" s="354">
        <v>2.8998300000000001E-4</v>
      </c>
      <c r="M772" s="354">
        <v>8.33</v>
      </c>
      <c r="N772" s="350" t="s">
        <v>395</v>
      </c>
      <c r="O772" s="354">
        <v>7.06</v>
      </c>
      <c r="P772" s="374">
        <f t="shared" si="816"/>
        <v>0.52485776327519418</v>
      </c>
      <c r="Q772" s="354">
        <f t="shared" si="817"/>
        <v>4.950209389670774E-2</v>
      </c>
      <c r="R772" s="354">
        <f t="shared" si="818"/>
        <v>8.3446132738960815E-2</v>
      </c>
      <c r="S772" s="354">
        <f t="shared" si="819"/>
        <v>7.4332697689447405E-2</v>
      </c>
      <c r="T772" s="354">
        <f t="shared" si="820"/>
        <v>0.31720602058688607</v>
      </c>
      <c r="U772" s="374">
        <f t="shared" si="821"/>
        <v>2.1064819384469806</v>
      </c>
      <c r="V772" s="354">
        <f t="shared" si="822"/>
        <v>5.5760085466429549E-2</v>
      </c>
      <c r="W772" s="354">
        <f t="shared" si="823"/>
        <v>1.9020920031116404</v>
      </c>
      <c r="X772" s="354">
        <f t="shared" si="824"/>
        <v>0.14862984986891078</v>
      </c>
      <c r="Y772" s="374">
        <f t="shared" si="825"/>
        <v>0.30880703080501726</v>
      </c>
      <c r="Z772" s="354">
        <f t="shared" si="826"/>
        <v>0.15930120309394508</v>
      </c>
      <c r="AA772" s="354">
        <f t="shared" si="827"/>
        <v>0.14950582771107215</v>
      </c>
      <c r="AB772" s="374">
        <f t="shared" si="828"/>
        <v>1.6871350417087503</v>
      </c>
      <c r="AC772" s="354">
        <f t="shared" si="829"/>
        <v>0.47879640416444075</v>
      </c>
      <c r="AD772" s="354">
        <f t="shared" si="830"/>
        <v>1.0422334155950275</v>
      </c>
      <c r="AE772" s="354">
        <f t="shared" si="831"/>
        <v>0.16610522194928198</v>
      </c>
      <c r="AF772" s="374">
        <f t="shared" si="832"/>
        <v>1.3502972115718401</v>
      </c>
      <c r="AG772" s="354">
        <f t="shared" si="833"/>
        <v>8.6779148800742542E-2</v>
      </c>
      <c r="AH772" s="354">
        <f t="shared" si="834"/>
        <v>0.43662078308264879</v>
      </c>
      <c r="AI772" s="354">
        <f t="shared" si="835"/>
        <v>0</v>
      </c>
      <c r="AJ772" s="354">
        <f t="shared" si="836"/>
        <v>0.82689727968844884</v>
      </c>
      <c r="AK772" s="374">
        <f t="shared" si="837"/>
        <v>0.89186191121981684</v>
      </c>
      <c r="AL772" s="354">
        <f t="shared" si="838"/>
        <v>0.25552435774715065</v>
      </c>
      <c r="AM772" s="354">
        <f t="shared" si="839"/>
        <v>0.60267013011910886</v>
      </c>
      <c r="AN772" s="354">
        <f t="shared" si="840"/>
        <v>3.3667423353557345E-2</v>
      </c>
      <c r="AO772" s="374">
        <f t="shared" si="841"/>
        <v>0.51714183133205516</v>
      </c>
      <c r="AP772" s="354">
        <f t="shared" si="842"/>
        <v>0.11858606141325496</v>
      </c>
      <c r="AQ772" s="354">
        <f t="shared" si="843"/>
        <v>0.39855576991880021</v>
      </c>
      <c r="AR772" s="374">
        <f t="shared" si="844"/>
        <v>0.94341727164034528</v>
      </c>
      <c r="AS772" s="354">
        <f t="shared" si="845"/>
        <v>0.40881473105433658</v>
      </c>
      <c r="AT772" s="354">
        <f t="shared" si="846"/>
        <v>0.53460254058600876</v>
      </c>
      <c r="AU772" s="355" t="s">
        <v>396</v>
      </c>
      <c r="AV772" s="354" t="s">
        <v>404</v>
      </c>
      <c r="AW772" s="355" t="s">
        <v>405</v>
      </c>
      <c r="AX772" s="355">
        <v>117872</v>
      </c>
      <c r="AY772" s="350" t="s">
        <v>406</v>
      </c>
      <c r="AZ772" s="351">
        <v>45233</v>
      </c>
      <c r="BA772" s="351">
        <v>45232</v>
      </c>
      <c r="BB772" s="350" t="s">
        <v>407</v>
      </c>
    </row>
    <row r="773" spans="1:54" x14ac:dyDescent="0.25">
      <c r="A773" s="348" t="s">
        <v>1748</v>
      </c>
      <c r="B773" s="349">
        <v>5608</v>
      </c>
      <c r="C773" s="352" t="s">
        <v>1733</v>
      </c>
      <c r="D773" s="351">
        <v>45229</v>
      </c>
      <c r="E773" s="352">
        <v>3120</v>
      </c>
      <c r="F773" s="352">
        <v>1</v>
      </c>
      <c r="G773" s="351"/>
      <c r="H773" s="350" t="s">
        <v>438</v>
      </c>
      <c r="I773" s="350" t="s">
        <v>393</v>
      </c>
      <c r="J773" s="354">
        <v>14700</v>
      </c>
      <c r="K773" s="350" t="s">
        <v>394</v>
      </c>
      <c r="L773" s="354">
        <v>2.8998300000000001E-4</v>
      </c>
      <c r="M773" s="354">
        <v>5.2</v>
      </c>
      <c r="N773" s="350" t="s">
        <v>395</v>
      </c>
      <c r="O773" s="354">
        <v>4.41</v>
      </c>
      <c r="P773" s="374">
        <f t="shared" si="816"/>
        <v>0.3276423012042029</v>
      </c>
      <c r="Q773" s="354">
        <f t="shared" si="817"/>
        <v>3.0901667258449013E-2</v>
      </c>
      <c r="R773" s="354">
        <f t="shared" si="818"/>
        <v>5.2091223318438927E-2</v>
      </c>
      <c r="S773" s="354">
        <f t="shared" si="819"/>
        <v>4.6402164223904745E-2</v>
      </c>
      <c r="T773" s="354">
        <f t="shared" si="820"/>
        <v>0.19801576315147754</v>
      </c>
      <c r="U773" s="374">
        <f t="shared" si="821"/>
        <v>1.314970717878067</v>
      </c>
      <c r="V773" s="354">
        <f t="shared" si="822"/>
        <v>3.480821661769911E-2</v>
      </c>
      <c r="W773" s="354">
        <f t="shared" si="823"/>
        <v>1.187380362086498</v>
      </c>
      <c r="X773" s="354">
        <f t="shared" si="824"/>
        <v>9.2782139173869876E-2</v>
      </c>
      <c r="Y773" s="374">
        <f t="shared" si="825"/>
        <v>0.19277269630085114</v>
      </c>
      <c r="Z773" s="354">
        <f t="shared" si="826"/>
        <v>9.9443728221910513E-2</v>
      </c>
      <c r="AA773" s="354">
        <f t="shared" si="827"/>
        <v>9.3328968078940616E-2</v>
      </c>
      <c r="AB773" s="374">
        <f t="shared" si="828"/>
        <v>1.0531935434436377</v>
      </c>
      <c r="AC773" s="354">
        <f t="shared" si="829"/>
        <v>0.29888851160325236</v>
      </c>
      <c r="AD773" s="354">
        <f t="shared" si="830"/>
        <v>0.65061389689005322</v>
      </c>
      <c r="AE773" s="354">
        <f t="shared" si="831"/>
        <v>0.1036911349503321</v>
      </c>
      <c r="AF773" s="374">
        <f t="shared" si="832"/>
        <v>0.84292262907245719</v>
      </c>
      <c r="AG773" s="354">
        <f t="shared" si="833"/>
        <v>5.4171857594701223E-2</v>
      </c>
      <c r="AH773" s="354">
        <f t="shared" si="834"/>
        <v>0.27256039280069311</v>
      </c>
      <c r="AI773" s="354">
        <f t="shared" si="835"/>
        <v>0</v>
      </c>
      <c r="AJ773" s="354">
        <f t="shared" si="836"/>
        <v>0.51619037867706286</v>
      </c>
      <c r="AK773" s="374">
        <f t="shared" si="837"/>
        <v>0.55674453041333105</v>
      </c>
      <c r="AL773" s="354">
        <f t="shared" si="838"/>
        <v>0.15951100363567627</v>
      </c>
      <c r="AM773" s="354">
        <f t="shared" si="839"/>
        <v>0.37621664785346531</v>
      </c>
      <c r="AN773" s="354">
        <f t="shared" si="840"/>
        <v>2.101687892418946E-2</v>
      </c>
      <c r="AO773" s="374">
        <f t="shared" si="841"/>
        <v>0.32282563300440414</v>
      </c>
      <c r="AP773" s="354">
        <f t="shared" si="842"/>
        <v>7.4027313247169962E-2</v>
      </c>
      <c r="AQ773" s="354">
        <f t="shared" si="843"/>
        <v>0.24879831975723418</v>
      </c>
      <c r="AR773" s="374">
        <f t="shared" si="844"/>
        <v>0.58892794868304876</v>
      </c>
      <c r="AS773" s="354">
        <f t="shared" si="845"/>
        <v>0.25520247316717293</v>
      </c>
      <c r="AT773" s="354">
        <f t="shared" si="846"/>
        <v>0.33372547551587589</v>
      </c>
      <c r="AU773" s="355" t="s">
        <v>396</v>
      </c>
      <c r="AV773" s="354" t="s">
        <v>404</v>
      </c>
      <c r="AW773" s="355" t="s">
        <v>405</v>
      </c>
      <c r="AX773" s="355">
        <v>103328</v>
      </c>
      <c r="AY773" s="350" t="s">
        <v>406</v>
      </c>
      <c r="AZ773" s="351">
        <v>45233</v>
      </c>
      <c r="BA773" s="351">
        <v>45232</v>
      </c>
      <c r="BB773" s="350" t="s">
        <v>407</v>
      </c>
    </row>
    <row r="774" spans="1:54" x14ac:dyDescent="0.25">
      <c r="A774" s="348" t="s">
        <v>1748</v>
      </c>
      <c r="B774" s="349">
        <v>5608</v>
      </c>
      <c r="C774" s="352" t="s">
        <v>1733</v>
      </c>
      <c r="D774" s="351">
        <v>45229</v>
      </c>
      <c r="E774" s="352">
        <v>3120</v>
      </c>
      <c r="F774" s="352">
        <v>1</v>
      </c>
      <c r="G774" s="351"/>
      <c r="H774" s="350" t="s">
        <v>438</v>
      </c>
      <c r="I774" s="350" t="s">
        <v>393</v>
      </c>
      <c r="J774" s="354">
        <v>2940</v>
      </c>
      <c r="K774" s="350" t="s">
        <v>394</v>
      </c>
      <c r="L774" s="354">
        <v>2.8998300000000001E-4</v>
      </c>
      <c r="M774" s="354">
        <v>1.04</v>
      </c>
      <c r="N774" s="350" t="s">
        <v>395</v>
      </c>
      <c r="O774" s="354">
        <v>0.88</v>
      </c>
      <c r="P774" s="374">
        <f t="shared" ref="P774:P782" si="847">M774*$P$2</f>
        <v>6.552846024084058E-2</v>
      </c>
      <c r="Q774" s="354">
        <f t="shared" ref="Q774:Q782" si="848">P774*$Q$2</f>
        <v>6.1803334516898024E-3</v>
      </c>
      <c r="R774" s="354">
        <f t="shared" ref="R774:R782" si="849">P774*$R$2</f>
        <v>1.0418244663687785E-2</v>
      </c>
      <c r="S774" s="354">
        <f t="shared" ref="S774:S782" si="850">P774*$S$2</f>
        <v>9.28043284478095E-3</v>
      </c>
      <c r="T774" s="354">
        <f t="shared" ref="T774:T782" si="851">P774*$T$2</f>
        <v>3.9603152630295506E-2</v>
      </c>
      <c r="U774" s="374">
        <f t="shared" ref="U774:U782" si="852">M774*$U$2</f>
        <v>0.2629941435756134</v>
      </c>
      <c r="V774" s="354">
        <f t="shared" ref="V774:V782" si="853">U774*$V$2</f>
        <v>6.9616433235398225E-3</v>
      </c>
      <c r="W774" s="354">
        <f t="shared" ref="W774:W782" si="854">U774*$W$2</f>
        <v>0.23747607241729962</v>
      </c>
      <c r="X774" s="354">
        <f t="shared" ref="X774:X782" si="855">U774*$X$2</f>
        <v>1.8556427834773976E-2</v>
      </c>
      <c r="Y774" s="374">
        <f t="shared" ref="Y774:Y782" si="856">M774*$Y$2</f>
        <v>3.8554539260170224E-2</v>
      </c>
      <c r="Z774" s="354">
        <f t="shared" ref="Z774:Z782" si="857">Y774*$Z$2</f>
        <v>1.9888745644382099E-2</v>
      </c>
      <c r="AA774" s="354">
        <f t="shared" ref="AA774:AA782" si="858">Y774*$AA$2</f>
        <v>1.8665793615788122E-2</v>
      </c>
      <c r="AB774" s="374">
        <f t="shared" ref="AB774:AB782" si="859">M774*$AB$2</f>
        <v>0.21063870868872753</v>
      </c>
      <c r="AC774" s="354">
        <f t="shared" ref="AC774:AC782" si="860">AB774*$AC$2</f>
        <v>5.9777702320650467E-2</v>
      </c>
      <c r="AD774" s="354">
        <f t="shared" ref="AD774:AD782" si="861">AB774*$AD$2</f>
        <v>0.13012277937801064</v>
      </c>
      <c r="AE774" s="354">
        <f t="shared" ref="AE774:AE782" si="862">AB774*$AE$2</f>
        <v>2.0738226990066416E-2</v>
      </c>
      <c r="AF774" s="374">
        <f t="shared" ref="AF774:AF782" si="863">M774*$AF$2</f>
        <v>0.16858452581449143</v>
      </c>
      <c r="AG774" s="354">
        <f t="shared" ref="AG774:AG782" si="864">AF774*$AG$2</f>
        <v>1.0834371518940246E-2</v>
      </c>
      <c r="AH774" s="354">
        <f t="shared" ref="AH774:AH782" si="865">AF774*$AH$2</f>
        <v>5.4512078560138622E-2</v>
      </c>
      <c r="AI774" s="354">
        <f t="shared" ref="AI774:AI782" si="866">AF774*$AI$2</f>
        <v>0</v>
      </c>
      <c r="AJ774" s="354">
        <f t="shared" ref="AJ774:AJ782" si="867">AF774*$AJ$2</f>
        <v>0.10323807573541258</v>
      </c>
      <c r="AK774" s="374">
        <f t="shared" ref="AK774:AK782" si="868">M774*$AK$2</f>
        <v>0.11134890608266622</v>
      </c>
      <c r="AL774" s="354">
        <f t="shared" ref="AL774:AL782" si="869">AK774*$AL$2</f>
        <v>3.190220072713526E-2</v>
      </c>
      <c r="AM774" s="354">
        <f t="shared" ref="AM774:AM782" si="870">AK774*$AM$2</f>
        <v>7.5243329570693074E-2</v>
      </c>
      <c r="AN774" s="354">
        <f t="shared" ref="AN774:AN782" si="871">AK774*$AN$2</f>
        <v>4.2033757848378922E-3</v>
      </c>
      <c r="AO774" s="374">
        <f t="shared" ref="AO774:AO782" si="872">M774*$AO$2</f>
        <v>6.4565126600880832E-2</v>
      </c>
      <c r="AP774" s="354">
        <f t="shared" ref="AP774:AP782" si="873">AO774*$AP$2</f>
        <v>1.4805462649433993E-2</v>
      </c>
      <c r="AQ774" s="354">
        <f t="shared" ref="AQ774:AQ782" si="874">AO774*$AQ$2</f>
        <v>4.9759663951446841E-2</v>
      </c>
      <c r="AR774" s="374">
        <f t="shared" ref="AR774:AR782" si="875">M774*$AR$2</f>
        <v>0.11778558973660974</v>
      </c>
      <c r="AS774" s="354">
        <f t="shared" ref="AS774:AS782" si="876">AR774*$AS$2</f>
        <v>5.1040494633434581E-2</v>
      </c>
      <c r="AT774" s="354">
        <f t="shared" ref="AT774:AT782" si="877">AR774*$AT$2</f>
        <v>6.6745095103175167E-2</v>
      </c>
      <c r="AU774" s="355" t="s">
        <v>396</v>
      </c>
      <c r="AV774" s="354" t="s">
        <v>404</v>
      </c>
      <c r="AW774" s="355" t="s">
        <v>405</v>
      </c>
      <c r="AX774" s="355">
        <v>117293</v>
      </c>
      <c r="AY774" s="350" t="s">
        <v>406</v>
      </c>
      <c r="AZ774" s="351">
        <v>45233</v>
      </c>
      <c r="BA774" s="351">
        <v>45232</v>
      </c>
      <c r="BB774" s="350" t="s">
        <v>407</v>
      </c>
    </row>
    <row r="775" spans="1:54" x14ac:dyDescent="0.25">
      <c r="A775" s="348" t="s">
        <v>1748</v>
      </c>
      <c r="B775" s="349">
        <v>5608</v>
      </c>
      <c r="C775" s="352" t="s">
        <v>1733</v>
      </c>
      <c r="D775" s="351">
        <v>45229</v>
      </c>
      <c r="E775" s="352">
        <v>3130</v>
      </c>
      <c r="F775" s="352">
        <v>1</v>
      </c>
      <c r="G775" s="351"/>
      <c r="H775" s="350" t="s">
        <v>439</v>
      </c>
      <c r="I775" s="350" t="s">
        <v>393</v>
      </c>
      <c r="J775" s="354">
        <v>204348.7</v>
      </c>
      <c r="K775" s="350" t="s">
        <v>394</v>
      </c>
      <c r="L775" s="354">
        <v>2.8998300000000001E-4</v>
      </c>
      <c r="M775" s="354">
        <v>72.34</v>
      </c>
      <c r="N775" s="350" t="s">
        <v>395</v>
      </c>
      <c r="O775" s="354">
        <v>61.3</v>
      </c>
      <c r="P775" s="374">
        <f t="shared" si="847"/>
        <v>4.5580084748292382</v>
      </c>
      <c r="Q775" s="354">
        <f t="shared" si="848"/>
        <v>0.42988973259157726</v>
      </c>
      <c r="R775" s="354">
        <f t="shared" si="849"/>
        <v>0.72466905670305237</v>
      </c>
      <c r="S775" s="354">
        <f t="shared" si="850"/>
        <v>0.64552549229947487</v>
      </c>
      <c r="T775" s="354">
        <f t="shared" si="851"/>
        <v>2.7547039050726703</v>
      </c>
      <c r="U775" s="374">
        <f t="shared" si="852"/>
        <v>18.293265717557571</v>
      </c>
      <c r="V775" s="354">
        <f t="shared" si="853"/>
        <v>0.48423584425468347</v>
      </c>
      <c r="W775" s="354">
        <f t="shared" si="854"/>
        <v>16.518287575641782</v>
      </c>
      <c r="X775" s="354">
        <f t="shared" si="855"/>
        <v>1.2907422976611052</v>
      </c>
      <c r="Y775" s="374">
        <f t="shared" si="856"/>
        <v>2.6817647789237635</v>
      </c>
      <c r="Z775" s="354">
        <f t="shared" si="857"/>
        <v>1.3834152499178858</v>
      </c>
      <c r="AA775" s="354">
        <f t="shared" si="858"/>
        <v>1.2983495290058775</v>
      </c>
      <c r="AB775" s="374">
        <f t="shared" si="859"/>
        <v>14.651542487060144</v>
      </c>
      <c r="AC775" s="354">
        <f t="shared" si="860"/>
        <v>4.1579990248806302</v>
      </c>
      <c r="AD775" s="354">
        <f t="shared" si="861"/>
        <v>9.0510402501973939</v>
      </c>
      <c r="AE775" s="354">
        <f t="shared" si="862"/>
        <v>1.4425032119821199</v>
      </c>
      <c r="AF775" s="374">
        <f t="shared" si="863"/>
        <v>11.726350574442607</v>
      </c>
      <c r="AG775" s="354">
        <f t="shared" si="864"/>
        <v>0.75361388046167055</v>
      </c>
      <c r="AH775" s="354">
        <f t="shared" si="865"/>
        <v>3.7917343875388734</v>
      </c>
      <c r="AI775" s="354">
        <f t="shared" si="866"/>
        <v>0</v>
      </c>
      <c r="AJ775" s="354">
        <f t="shared" si="867"/>
        <v>7.1810023064420641</v>
      </c>
      <c r="AK775" s="374">
        <f t="shared" si="868"/>
        <v>7.7451729480962248</v>
      </c>
      <c r="AL775" s="354">
        <f t="shared" si="869"/>
        <v>2.219043462116312</v>
      </c>
      <c r="AM775" s="354">
        <f t="shared" si="870"/>
        <v>5.2337523664845547</v>
      </c>
      <c r="AN775" s="354">
        <f t="shared" si="871"/>
        <v>0.29237711949535877</v>
      </c>
      <c r="AO775" s="374">
        <f t="shared" si="872"/>
        <v>4.4910012099112686</v>
      </c>
      <c r="AP775" s="354">
        <f t="shared" si="873"/>
        <v>1.0298338154423605</v>
      </c>
      <c r="AQ775" s="354">
        <f t="shared" si="874"/>
        <v>3.4611673944689083</v>
      </c>
      <c r="AR775" s="374">
        <f t="shared" si="875"/>
        <v>8.1928938091791821</v>
      </c>
      <c r="AS775" s="354">
        <f t="shared" si="876"/>
        <v>3.5502590209448632</v>
      </c>
      <c r="AT775" s="354">
        <f t="shared" si="877"/>
        <v>4.6426347882343189</v>
      </c>
      <c r="AU775" s="355" t="s">
        <v>396</v>
      </c>
      <c r="AV775" s="354" t="s">
        <v>404</v>
      </c>
      <c r="AW775" s="355" t="s">
        <v>405</v>
      </c>
      <c r="AX775" s="355">
        <v>102955</v>
      </c>
      <c r="AY775" s="350" t="s">
        <v>406</v>
      </c>
      <c r="AZ775" s="351">
        <v>45233</v>
      </c>
      <c r="BA775" s="351">
        <v>45232</v>
      </c>
      <c r="BB775" s="350" t="s">
        <v>407</v>
      </c>
    </row>
    <row r="776" spans="1:54" x14ac:dyDescent="0.25">
      <c r="A776" s="348" t="s">
        <v>1748</v>
      </c>
      <c r="B776" s="349">
        <v>5608</v>
      </c>
      <c r="C776" s="352" t="s">
        <v>1733</v>
      </c>
      <c r="D776" s="351">
        <v>45229</v>
      </c>
      <c r="E776" s="352">
        <v>3130</v>
      </c>
      <c r="F776" s="352">
        <v>1</v>
      </c>
      <c r="G776" s="351"/>
      <c r="H776" s="350" t="s">
        <v>439</v>
      </c>
      <c r="I776" s="350" t="s">
        <v>393</v>
      </c>
      <c r="J776" s="354">
        <v>55502.85</v>
      </c>
      <c r="K776" s="350" t="s">
        <v>394</v>
      </c>
      <c r="L776" s="354">
        <v>2.8998300000000001E-4</v>
      </c>
      <c r="M776" s="354">
        <v>19.649999999999999</v>
      </c>
      <c r="N776" s="350" t="s">
        <v>395</v>
      </c>
      <c r="O776" s="354">
        <v>16.649999999999999</v>
      </c>
      <c r="P776" s="374">
        <f t="shared" si="847"/>
        <v>1.2381098497428049</v>
      </c>
      <c r="Q776" s="354">
        <f t="shared" si="848"/>
        <v>0.11677264646702365</v>
      </c>
      <c r="R776" s="354">
        <f t="shared" si="849"/>
        <v>0.19684471888602398</v>
      </c>
      <c r="S776" s="354">
        <f t="shared" si="850"/>
        <v>0.17534663980764001</v>
      </c>
      <c r="T776" s="354">
        <f t="shared" si="851"/>
        <v>0.74827110498587168</v>
      </c>
      <c r="U776" s="374">
        <f t="shared" si="852"/>
        <v>4.9690720396738488</v>
      </c>
      <c r="V776" s="354">
        <f t="shared" si="853"/>
        <v>0.13153489548803607</v>
      </c>
      <c r="W776" s="354">
        <f t="shared" si="854"/>
        <v>4.4869277144230164</v>
      </c>
      <c r="X776" s="354">
        <f t="shared" si="855"/>
        <v>0.35060942976279669</v>
      </c>
      <c r="Y776" s="374">
        <f t="shared" si="856"/>
        <v>0.72845836198302394</v>
      </c>
      <c r="Z776" s="354">
        <f t="shared" si="857"/>
        <v>0.37578254991548871</v>
      </c>
      <c r="AA776" s="354">
        <f t="shared" si="858"/>
        <v>0.35267581206753518</v>
      </c>
      <c r="AB776" s="374">
        <f t="shared" si="859"/>
        <v>3.979856370897592</v>
      </c>
      <c r="AC776" s="354">
        <f t="shared" si="860"/>
        <v>1.1294537025007516</v>
      </c>
      <c r="AD776" s="354">
        <f t="shared" si="861"/>
        <v>2.4585698219018357</v>
      </c>
      <c r="AE776" s="354">
        <f t="shared" si="862"/>
        <v>0.39183284649500488</v>
      </c>
      <c r="AF776" s="374">
        <f t="shared" si="863"/>
        <v>3.1852749348603426</v>
      </c>
      <c r="AG776" s="354">
        <f t="shared" si="864"/>
        <v>0.20470711571843825</v>
      </c>
      <c r="AH776" s="354">
        <f t="shared" si="865"/>
        <v>1.0299637920256959</v>
      </c>
      <c r="AI776" s="354">
        <f t="shared" si="866"/>
        <v>0</v>
      </c>
      <c r="AJ776" s="354">
        <f t="shared" si="867"/>
        <v>1.9506040271162086</v>
      </c>
      <c r="AK776" s="374">
        <f t="shared" si="868"/>
        <v>2.1038519274272991</v>
      </c>
      <c r="AL776" s="354">
        <f t="shared" si="869"/>
        <v>0.60276754258481513</v>
      </c>
      <c r="AM776" s="354">
        <f t="shared" si="870"/>
        <v>1.4216648327539603</v>
      </c>
      <c r="AN776" s="354">
        <f t="shared" si="871"/>
        <v>7.9419552088523637E-2</v>
      </c>
      <c r="AO776" s="374">
        <f t="shared" si="872"/>
        <v>1.2199084016416426</v>
      </c>
      <c r="AP776" s="354">
        <f t="shared" si="873"/>
        <v>0.27973782794363261</v>
      </c>
      <c r="AQ776" s="354">
        <f t="shared" si="874"/>
        <v>0.94017057369801005</v>
      </c>
      <c r="AR776" s="374">
        <f t="shared" si="875"/>
        <v>2.2254681137734433</v>
      </c>
      <c r="AS776" s="354">
        <f t="shared" si="876"/>
        <v>0.96437088417979744</v>
      </c>
      <c r="AT776" s="354">
        <f t="shared" si="877"/>
        <v>1.261097229593646</v>
      </c>
      <c r="AU776" s="355" t="s">
        <v>396</v>
      </c>
      <c r="AV776" s="354" t="s">
        <v>404</v>
      </c>
      <c r="AW776" s="355" t="s">
        <v>405</v>
      </c>
      <c r="AX776" s="355">
        <v>103265</v>
      </c>
      <c r="AY776" s="350" t="s">
        <v>406</v>
      </c>
      <c r="AZ776" s="351">
        <v>45233</v>
      </c>
      <c r="BA776" s="351">
        <v>45232</v>
      </c>
      <c r="BB776" s="350" t="s">
        <v>407</v>
      </c>
    </row>
    <row r="777" spans="1:54" x14ac:dyDescent="0.25">
      <c r="A777" s="348" t="s">
        <v>1748</v>
      </c>
      <c r="B777" s="349">
        <v>5608</v>
      </c>
      <c r="C777" s="352" t="s">
        <v>1733</v>
      </c>
      <c r="D777" s="351">
        <v>45229</v>
      </c>
      <c r="E777" s="352">
        <v>3130</v>
      </c>
      <c r="F777" s="352">
        <v>1</v>
      </c>
      <c r="G777" s="351"/>
      <c r="H777" s="350" t="s">
        <v>439</v>
      </c>
      <c r="I777" s="350" t="s">
        <v>393</v>
      </c>
      <c r="J777" s="354">
        <v>532244</v>
      </c>
      <c r="K777" s="350" t="s">
        <v>394</v>
      </c>
      <c r="L777" s="354">
        <v>2.8998300000000001E-4</v>
      </c>
      <c r="M777" s="354">
        <v>188.4</v>
      </c>
      <c r="N777" s="350" t="s">
        <v>395</v>
      </c>
      <c r="O777" s="354">
        <v>159.66999999999999</v>
      </c>
      <c r="P777" s="374">
        <f t="shared" si="847"/>
        <v>11.870732605167658</v>
      </c>
      <c r="Q777" s="354">
        <f t="shared" si="848"/>
        <v>1.1195911752868835</v>
      </c>
      <c r="R777" s="354">
        <f t="shared" si="849"/>
        <v>1.8873050909988258</v>
      </c>
      <c r="S777" s="354">
        <f t="shared" si="850"/>
        <v>1.6811861038045488</v>
      </c>
      <c r="T777" s="354">
        <f t="shared" si="851"/>
        <v>7.1742634187958396</v>
      </c>
      <c r="U777" s="374">
        <f t="shared" si="852"/>
        <v>47.642400624659196</v>
      </c>
      <c r="V777" s="354">
        <f t="shared" si="853"/>
        <v>1.2611284636104831</v>
      </c>
      <c r="W777" s="354">
        <f t="shared" si="854"/>
        <v>43.01970388790312</v>
      </c>
      <c r="X777" s="354">
        <f t="shared" si="855"/>
        <v>3.3615682731455929</v>
      </c>
      <c r="Y777" s="374">
        <f t="shared" si="856"/>
        <v>6.9843030736692988</v>
      </c>
      <c r="Z777" s="354">
        <f t="shared" si="857"/>
        <v>3.6029227686553731</v>
      </c>
      <c r="AA777" s="354">
        <f t="shared" si="858"/>
        <v>3.3813803050139253</v>
      </c>
      <c r="AB777" s="374">
        <f t="shared" si="859"/>
        <v>38.158012227842569</v>
      </c>
      <c r="AC777" s="354">
        <f t="shared" si="860"/>
        <v>10.828960689625529</v>
      </c>
      <c r="AD777" s="354">
        <f t="shared" si="861"/>
        <v>23.572241956555008</v>
      </c>
      <c r="AE777" s="354">
        <f t="shared" si="862"/>
        <v>3.7568095816620324</v>
      </c>
      <c r="AF777" s="374">
        <f t="shared" si="863"/>
        <v>30.539735253317488</v>
      </c>
      <c r="AG777" s="354">
        <f t="shared" si="864"/>
        <v>1.9626880713157138</v>
      </c>
      <c r="AH777" s="354">
        <f t="shared" si="865"/>
        <v>9.8750726930097272</v>
      </c>
      <c r="AI777" s="354">
        <f t="shared" si="866"/>
        <v>0</v>
      </c>
      <c r="AJ777" s="354">
        <f t="shared" si="867"/>
        <v>18.70197448899205</v>
      </c>
      <c r="AK777" s="374">
        <f t="shared" si="868"/>
        <v>20.17128260189838</v>
      </c>
      <c r="AL777" s="354">
        <f t="shared" si="869"/>
        <v>5.7792063624925794</v>
      </c>
      <c r="AM777" s="354">
        <f t="shared" si="870"/>
        <v>13.630618549152475</v>
      </c>
      <c r="AN777" s="354">
        <f t="shared" si="871"/>
        <v>0.76145769025332588</v>
      </c>
      <c r="AO777" s="374">
        <f t="shared" si="872"/>
        <v>11.696221011159567</v>
      </c>
      <c r="AP777" s="354">
        <f t="shared" si="873"/>
        <v>2.6820665030320812</v>
      </c>
      <c r="AQ777" s="354">
        <f t="shared" si="874"/>
        <v>9.0141545081274863</v>
      </c>
      <c r="AR777" s="374">
        <f t="shared" si="875"/>
        <v>21.337312602285841</v>
      </c>
      <c r="AS777" s="354">
        <f t="shared" si="876"/>
        <v>9.2461819124414184</v>
      </c>
      <c r="AT777" s="354">
        <f t="shared" si="877"/>
        <v>12.091130689844425</v>
      </c>
      <c r="AU777" s="355" t="s">
        <v>396</v>
      </c>
      <c r="AV777" s="354" t="s">
        <v>404</v>
      </c>
      <c r="AW777" s="355" t="s">
        <v>405</v>
      </c>
      <c r="AX777" s="355">
        <v>117871</v>
      </c>
      <c r="AY777" s="350" t="s">
        <v>406</v>
      </c>
      <c r="AZ777" s="351">
        <v>45233</v>
      </c>
      <c r="BA777" s="351">
        <v>45232</v>
      </c>
      <c r="BB777" s="350" t="s">
        <v>407</v>
      </c>
    </row>
    <row r="778" spans="1:54" x14ac:dyDescent="0.25">
      <c r="A778" s="348" t="s">
        <v>1748</v>
      </c>
      <c r="B778" s="349">
        <v>5608</v>
      </c>
      <c r="C778" s="352" t="s">
        <v>1733</v>
      </c>
      <c r="D778" s="351">
        <v>45229</v>
      </c>
      <c r="E778" s="352">
        <v>3130</v>
      </c>
      <c r="F778" s="352">
        <v>1</v>
      </c>
      <c r="G778" s="351"/>
      <c r="H778" s="350" t="s">
        <v>439</v>
      </c>
      <c r="I778" s="350" t="s">
        <v>393</v>
      </c>
      <c r="J778" s="354">
        <v>286764.79999999999</v>
      </c>
      <c r="K778" s="350" t="s">
        <v>394</v>
      </c>
      <c r="L778" s="354">
        <v>2.8998300000000001E-4</v>
      </c>
      <c r="M778" s="354">
        <v>101.51</v>
      </c>
      <c r="N778" s="350" t="s">
        <v>395</v>
      </c>
      <c r="O778" s="354">
        <v>86.03</v>
      </c>
      <c r="P778" s="374">
        <f t="shared" si="847"/>
        <v>6.3959557683151225</v>
      </c>
      <c r="Q778" s="354">
        <f t="shared" si="848"/>
        <v>0.60323620065483829</v>
      </c>
      <c r="R778" s="354">
        <f t="shared" si="849"/>
        <v>1.016880784433603</v>
      </c>
      <c r="S778" s="354">
        <f t="shared" si="850"/>
        <v>0.9058237866093406</v>
      </c>
      <c r="T778" s="354">
        <f t="shared" si="851"/>
        <v>3.8654961764435547</v>
      </c>
      <c r="U778" s="374">
        <f t="shared" si="852"/>
        <v>25.669745686885115</v>
      </c>
      <c r="V778" s="354">
        <f t="shared" si="853"/>
        <v>0.67949655170435341</v>
      </c>
      <c r="W778" s="354">
        <f t="shared" si="854"/>
        <v>23.179034722192391</v>
      </c>
      <c r="X778" s="354">
        <f t="shared" si="855"/>
        <v>1.8112144129883716</v>
      </c>
      <c r="Y778" s="374">
        <f t="shared" si="856"/>
        <v>3.7631454618268072</v>
      </c>
      <c r="Z778" s="354">
        <f t="shared" si="857"/>
        <v>1.9412563176550259</v>
      </c>
      <c r="AA778" s="354">
        <f t="shared" si="858"/>
        <v>1.821889144171781</v>
      </c>
      <c r="AB778" s="374">
        <f t="shared" si="859"/>
        <v>20.559553191339166</v>
      </c>
      <c r="AC778" s="354">
        <f t="shared" si="860"/>
        <v>5.8346486178550281</v>
      </c>
      <c r="AD778" s="354">
        <f t="shared" si="861"/>
        <v>12.700733975636405</v>
      </c>
      <c r="AE778" s="354">
        <f t="shared" si="862"/>
        <v>2.0241705978477329</v>
      </c>
      <c r="AF778" s="374">
        <f t="shared" si="863"/>
        <v>16.45482232252791</v>
      </c>
      <c r="AG778" s="354">
        <f t="shared" si="864"/>
        <v>1.0574971662381003</v>
      </c>
      <c r="AH778" s="354">
        <f t="shared" si="865"/>
        <v>5.3206933602304538</v>
      </c>
      <c r="AI778" s="354">
        <f t="shared" si="866"/>
        <v>0</v>
      </c>
      <c r="AJ778" s="354">
        <f t="shared" si="867"/>
        <v>10.076631796059358</v>
      </c>
      <c r="AK778" s="374">
        <f t="shared" si="868"/>
        <v>10.868295631203315</v>
      </c>
      <c r="AL778" s="354">
        <f t="shared" si="869"/>
        <v>3.1138388421264422</v>
      </c>
      <c r="AM778" s="354">
        <f t="shared" si="870"/>
        <v>7.3441830622317825</v>
      </c>
      <c r="AN778" s="354">
        <f t="shared" si="871"/>
        <v>0.41027372684509078</v>
      </c>
      <c r="AO778" s="374">
        <f t="shared" si="872"/>
        <v>6.3019288473609745</v>
      </c>
      <c r="AP778" s="354">
        <f t="shared" si="873"/>
        <v>1.4450985707154276</v>
      </c>
      <c r="AQ778" s="354">
        <f t="shared" si="874"/>
        <v>4.8568302766455469</v>
      </c>
      <c r="AR778" s="374">
        <f t="shared" si="875"/>
        <v>11.496553090541591</v>
      </c>
      <c r="AS778" s="354">
        <f t="shared" si="876"/>
        <v>4.9818467406153308</v>
      </c>
      <c r="AT778" s="354">
        <f t="shared" si="877"/>
        <v>6.5147063499262607</v>
      </c>
      <c r="AU778" s="355" t="s">
        <v>396</v>
      </c>
      <c r="AV778" s="354" t="s">
        <v>404</v>
      </c>
      <c r="AW778" s="355" t="s">
        <v>405</v>
      </c>
      <c r="AX778" s="355">
        <v>103321</v>
      </c>
      <c r="AY778" s="350" t="s">
        <v>406</v>
      </c>
      <c r="AZ778" s="351">
        <v>45233</v>
      </c>
      <c r="BA778" s="351">
        <v>45232</v>
      </c>
      <c r="BB778" s="350" t="s">
        <v>407</v>
      </c>
    </row>
    <row r="779" spans="1:54" x14ac:dyDescent="0.25">
      <c r="A779" s="348" t="s">
        <v>1748</v>
      </c>
      <c r="B779" s="349">
        <v>5608</v>
      </c>
      <c r="C779" s="352" t="s">
        <v>1733</v>
      </c>
      <c r="D779" s="351">
        <v>45229</v>
      </c>
      <c r="E779" s="352">
        <v>3130</v>
      </c>
      <c r="F779" s="352">
        <v>1</v>
      </c>
      <c r="G779" s="351"/>
      <c r="H779" s="350" t="s">
        <v>439</v>
      </c>
      <c r="I779" s="350" t="s">
        <v>393</v>
      </c>
      <c r="J779" s="354">
        <v>55848.3</v>
      </c>
      <c r="K779" s="350" t="s">
        <v>394</v>
      </c>
      <c r="L779" s="354">
        <v>2.8998300000000001E-4</v>
      </c>
      <c r="M779" s="354">
        <v>19.77</v>
      </c>
      <c r="N779" s="350" t="s">
        <v>395</v>
      </c>
      <c r="O779" s="354">
        <v>16.75</v>
      </c>
      <c r="P779" s="374">
        <f t="shared" si="847"/>
        <v>1.2456708259244405</v>
      </c>
      <c r="Q779" s="354">
        <f t="shared" si="848"/>
        <v>0.11748576186529555</v>
      </c>
      <c r="R779" s="354">
        <f t="shared" si="849"/>
        <v>0.19804682403952645</v>
      </c>
      <c r="S779" s="354">
        <f t="shared" si="850"/>
        <v>0.17641745898203784</v>
      </c>
      <c r="T779" s="354">
        <f t="shared" si="851"/>
        <v>0.75284069952013655</v>
      </c>
      <c r="U779" s="374">
        <f t="shared" si="852"/>
        <v>4.9994175177787277</v>
      </c>
      <c r="V779" s="354">
        <f t="shared" si="853"/>
        <v>0.13233816202536758</v>
      </c>
      <c r="W779" s="354">
        <f t="shared" si="854"/>
        <v>4.5143287997019357</v>
      </c>
      <c r="X779" s="354">
        <f t="shared" si="855"/>
        <v>0.35275055605142452</v>
      </c>
      <c r="Y779" s="374">
        <f t="shared" si="856"/>
        <v>0.73290696266688971</v>
      </c>
      <c r="Z779" s="354">
        <f t="shared" si="857"/>
        <v>0.37807740518214816</v>
      </c>
      <c r="AA779" s="354">
        <f t="shared" si="858"/>
        <v>0.35482955748474149</v>
      </c>
      <c r="AB779" s="374">
        <f t="shared" si="859"/>
        <v>4.0041608372847532</v>
      </c>
      <c r="AC779" s="354">
        <f t="shared" si="860"/>
        <v>1.136351129691596</v>
      </c>
      <c r="AD779" s="354">
        <f t="shared" si="861"/>
        <v>2.4735839887531448</v>
      </c>
      <c r="AE779" s="354">
        <f t="shared" si="862"/>
        <v>0.39422571884001256</v>
      </c>
      <c r="AF779" s="374">
        <f t="shared" si="863"/>
        <v>3.2047269955312458</v>
      </c>
      <c r="AG779" s="354">
        <f t="shared" si="864"/>
        <v>0.20595723550908523</v>
      </c>
      <c r="AH779" s="354">
        <f t="shared" si="865"/>
        <v>1.0362536472441737</v>
      </c>
      <c r="AI779" s="354">
        <f t="shared" si="866"/>
        <v>0</v>
      </c>
      <c r="AJ779" s="354">
        <f t="shared" si="867"/>
        <v>1.9625161127779871</v>
      </c>
      <c r="AK779" s="374">
        <f t="shared" si="868"/>
        <v>2.1166998781291451</v>
      </c>
      <c r="AL779" s="354">
        <f t="shared" si="869"/>
        <v>0.60644856574563843</v>
      </c>
      <c r="AM779" s="354">
        <f t="shared" si="870"/>
        <v>1.4303467553967326</v>
      </c>
      <c r="AN779" s="354">
        <f t="shared" si="871"/>
        <v>7.990455698677415E-2</v>
      </c>
      <c r="AO779" s="374">
        <f t="shared" si="872"/>
        <v>1.2273582239417442</v>
      </c>
      <c r="AP779" s="354">
        <f t="shared" si="873"/>
        <v>0.28144615055702887</v>
      </c>
      <c r="AQ779" s="354">
        <f t="shared" si="874"/>
        <v>0.94591207338471539</v>
      </c>
      <c r="AR779" s="374">
        <f t="shared" si="875"/>
        <v>2.2390587587430524</v>
      </c>
      <c r="AS779" s="354">
        <f t="shared" si="876"/>
        <v>0.9702601720221169</v>
      </c>
      <c r="AT779" s="354">
        <f t="shared" si="877"/>
        <v>1.2687985867209355</v>
      </c>
      <c r="AU779" s="355" t="s">
        <v>396</v>
      </c>
      <c r="AV779" s="354" t="s">
        <v>404</v>
      </c>
      <c r="AW779" s="355" t="s">
        <v>405</v>
      </c>
      <c r="AX779" s="355">
        <v>117427</v>
      </c>
      <c r="AY779" s="350" t="s">
        <v>406</v>
      </c>
      <c r="AZ779" s="351">
        <v>45233</v>
      </c>
      <c r="BA779" s="351">
        <v>45232</v>
      </c>
      <c r="BB779" s="350" t="s">
        <v>407</v>
      </c>
    </row>
    <row r="780" spans="1:54" x14ac:dyDescent="0.25">
      <c r="A780" s="348" t="s">
        <v>1748</v>
      </c>
      <c r="B780" s="349">
        <v>5608</v>
      </c>
      <c r="C780" s="352" t="s">
        <v>1733</v>
      </c>
      <c r="D780" s="351">
        <v>45229</v>
      </c>
      <c r="E780" s="352">
        <v>3130</v>
      </c>
      <c r="F780" s="352">
        <v>1</v>
      </c>
      <c r="G780" s="351"/>
      <c r="H780" s="350" t="s">
        <v>439</v>
      </c>
      <c r="I780" s="350" t="s">
        <v>393</v>
      </c>
      <c r="J780" s="354">
        <v>297857.59999999998</v>
      </c>
      <c r="K780" s="350" t="s">
        <v>394</v>
      </c>
      <c r="L780" s="354">
        <v>2.8998300000000001E-4</v>
      </c>
      <c r="M780" s="354">
        <v>105.44</v>
      </c>
      <c r="N780" s="350" t="s">
        <v>395</v>
      </c>
      <c r="O780" s="354">
        <v>89.36</v>
      </c>
      <c r="P780" s="374">
        <f t="shared" si="847"/>
        <v>6.6435777382636827</v>
      </c>
      <c r="Q780" s="354">
        <f t="shared" si="848"/>
        <v>0.62659072994824294</v>
      </c>
      <c r="R780" s="354">
        <f t="shared" si="849"/>
        <v>1.0562497282108076</v>
      </c>
      <c r="S780" s="354">
        <f t="shared" si="850"/>
        <v>0.94089311457086844</v>
      </c>
      <c r="T780" s="354">
        <f t="shared" si="851"/>
        <v>4.0151503974407285</v>
      </c>
      <c r="U780" s="374">
        <f t="shared" si="852"/>
        <v>26.663560094819882</v>
      </c>
      <c r="V780" s="354">
        <f t="shared" si="853"/>
        <v>0.70580353080196045</v>
      </c>
      <c r="W780" s="354">
        <f t="shared" si="854"/>
        <v>24.076420265076994</v>
      </c>
      <c r="X780" s="354">
        <f t="shared" si="855"/>
        <v>1.8813362989409308</v>
      </c>
      <c r="Y780" s="374">
        <f t="shared" si="856"/>
        <v>3.9088371342234121</v>
      </c>
      <c r="Z780" s="354">
        <f t="shared" si="857"/>
        <v>2.0164128276381237</v>
      </c>
      <c r="AA780" s="354">
        <f t="shared" si="858"/>
        <v>1.8924243065852882</v>
      </c>
      <c r="AB780" s="374">
        <f t="shared" si="859"/>
        <v>21.355524465518684</v>
      </c>
      <c r="AC780" s="354">
        <f t="shared" si="860"/>
        <v>6.0605393583551788</v>
      </c>
      <c r="AD780" s="354">
        <f t="shared" si="861"/>
        <v>13.192447940016772</v>
      </c>
      <c r="AE780" s="354">
        <f t="shared" si="862"/>
        <v>2.1025371671467337</v>
      </c>
      <c r="AF780" s="374">
        <f t="shared" si="863"/>
        <v>17.091877309499978</v>
      </c>
      <c r="AG780" s="354">
        <f t="shared" si="864"/>
        <v>1.0984385893817878</v>
      </c>
      <c r="AH780" s="354">
        <f t="shared" si="865"/>
        <v>5.5266861186355927</v>
      </c>
      <c r="AI780" s="354">
        <f t="shared" si="866"/>
        <v>0</v>
      </c>
      <c r="AJ780" s="354">
        <f t="shared" si="867"/>
        <v>10.466752601482598</v>
      </c>
      <c r="AK780" s="374">
        <f t="shared" si="868"/>
        <v>11.289066016688775</v>
      </c>
      <c r="AL780" s="354">
        <f t="shared" si="869"/>
        <v>3.2343923506434051</v>
      </c>
      <c r="AM780" s="354">
        <f t="shared" si="870"/>
        <v>7.628516028782574</v>
      </c>
      <c r="AN780" s="354">
        <f t="shared" si="871"/>
        <v>0.42615763726279554</v>
      </c>
      <c r="AO780" s="374">
        <f t="shared" si="872"/>
        <v>6.545910527689303</v>
      </c>
      <c r="AP780" s="354">
        <f t="shared" si="873"/>
        <v>1.5010461363041541</v>
      </c>
      <c r="AQ780" s="354">
        <f t="shared" si="874"/>
        <v>5.0448643913851487</v>
      </c>
      <c r="AR780" s="374">
        <f t="shared" si="875"/>
        <v>11.941646713296279</v>
      </c>
      <c r="AS780" s="354">
        <f t="shared" si="876"/>
        <v>5.1747209174512907</v>
      </c>
      <c r="AT780" s="354">
        <f t="shared" si="877"/>
        <v>6.7669257958449895</v>
      </c>
      <c r="AU780" s="355" t="s">
        <v>396</v>
      </c>
      <c r="AV780" s="354" t="s">
        <v>404</v>
      </c>
      <c r="AW780" s="355" t="s">
        <v>405</v>
      </c>
      <c r="AX780" s="355">
        <v>117872</v>
      </c>
      <c r="AY780" s="350" t="s">
        <v>406</v>
      </c>
      <c r="AZ780" s="351">
        <v>45233</v>
      </c>
      <c r="BA780" s="351">
        <v>45232</v>
      </c>
      <c r="BB780" s="350" t="s">
        <v>407</v>
      </c>
    </row>
    <row r="781" spans="1:54" x14ac:dyDescent="0.25">
      <c r="A781" s="348" t="s">
        <v>1748</v>
      </c>
      <c r="B781" s="349">
        <v>5608</v>
      </c>
      <c r="C781" s="352" t="s">
        <v>1733</v>
      </c>
      <c r="D781" s="351">
        <v>45229</v>
      </c>
      <c r="E781" s="352">
        <v>3130</v>
      </c>
      <c r="F781" s="352">
        <v>1</v>
      </c>
      <c r="G781" s="351"/>
      <c r="H781" s="350" t="s">
        <v>439</v>
      </c>
      <c r="I781" s="350" t="s">
        <v>393</v>
      </c>
      <c r="J781" s="354">
        <v>66721.5</v>
      </c>
      <c r="K781" s="350" t="s">
        <v>394</v>
      </c>
      <c r="L781" s="354">
        <v>2.8998300000000001E-4</v>
      </c>
      <c r="M781" s="354">
        <v>23.62</v>
      </c>
      <c r="N781" s="350" t="s">
        <v>395</v>
      </c>
      <c r="O781" s="354">
        <v>20.02</v>
      </c>
      <c r="P781" s="374">
        <f t="shared" si="847"/>
        <v>1.4882521450852446</v>
      </c>
      <c r="Q781" s="354">
        <f t="shared" si="848"/>
        <v>0.14036488089318569</v>
      </c>
      <c r="R781" s="354">
        <f t="shared" si="849"/>
        <v>0.23661436438106298</v>
      </c>
      <c r="S781" s="354">
        <f t="shared" si="850"/>
        <v>0.21077290749396732</v>
      </c>
      <c r="T781" s="354">
        <f t="shared" si="851"/>
        <v>0.89944852416113441</v>
      </c>
      <c r="U781" s="374">
        <f t="shared" si="852"/>
        <v>5.9730016069769123</v>
      </c>
      <c r="V781" s="354">
        <f t="shared" si="853"/>
        <v>0.15810963009808712</v>
      </c>
      <c r="W781" s="354">
        <f t="shared" si="854"/>
        <v>5.393446952400593</v>
      </c>
      <c r="X781" s="354">
        <f t="shared" si="855"/>
        <v>0.42144502447823201</v>
      </c>
      <c r="Y781" s="374">
        <f t="shared" si="856"/>
        <v>0.87563290127425075</v>
      </c>
      <c r="Z781" s="354">
        <f t="shared" si="857"/>
        <v>0.45170401165413965</v>
      </c>
      <c r="AA781" s="354">
        <f t="shared" si="858"/>
        <v>0.42392888962011105</v>
      </c>
      <c r="AB781" s="374">
        <f t="shared" si="859"/>
        <v>4.7839291338728316</v>
      </c>
      <c r="AC781" s="354">
        <f t="shared" si="860"/>
        <v>1.3576435853978501</v>
      </c>
      <c r="AD781" s="354">
        <f t="shared" si="861"/>
        <v>2.9552885085659728</v>
      </c>
      <c r="AE781" s="354">
        <f t="shared" si="862"/>
        <v>0.47099703990900849</v>
      </c>
      <c r="AF781" s="374">
        <f t="shared" si="863"/>
        <v>3.8288139420560459</v>
      </c>
      <c r="AG781" s="354">
        <f t="shared" si="864"/>
        <v>0.24606524545900826</v>
      </c>
      <c r="AH781" s="354">
        <f t="shared" si="865"/>
        <v>1.2380531688369945</v>
      </c>
      <c r="AI781" s="354">
        <f t="shared" si="866"/>
        <v>0</v>
      </c>
      <c r="AJ781" s="354">
        <f t="shared" si="867"/>
        <v>2.3446955277600434</v>
      </c>
      <c r="AK781" s="374">
        <f t="shared" si="868"/>
        <v>2.5289049631467075</v>
      </c>
      <c r="AL781" s="354">
        <f t="shared" si="869"/>
        <v>0.72454805882205264</v>
      </c>
      <c r="AM781" s="354">
        <f t="shared" si="870"/>
        <v>1.7088917735190099</v>
      </c>
      <c r="AN781" s="354">
        <f t="shared" si="871"/>
        <v>9.5465130805645199E-2</v>
      </c>
      <c r="AO781" s="374">
        <f t="shared" si="872"/>
        <v>1.4663733560700052</v>
      </c>
      <c r="AP781" s="354">
        <f t="shared" si="873"/>
        <v>0.3362548344034913</v>
      </c>
      <c r="AQ781" s="354">
        <f t="shared" si="874"/>
        <v>1.1301185216665139</v>
      </c>
      <c r="AR781" s="374">
        <f t="shared" si="875"/>
        <v>2.6750919515180023</v>
      </c>
      <c r="AS781" s="354">
        <f t="shared" si="876"/>
        <v>1.1592081569631971</v>
      </c>
      <c r="AT781" s="354">
        <f t="shared" si="877"/>
        <v>1.5158837945548054</v>
      </c>
      <c r="AU781" s="355" t="s">
        <v>396</v>
      </c>
      <c r="AV781" s="354" t="s">
        <v>404</v>
      </c>
      <c r="AW781" s="355" t="s">
        <v>405</v>
      </c>
      <c r="AX781" s="355">
        <v>103328</v>
      </c>
      <c r="AY781" s="350" t="s">
        <v>406</v>
      </c>
      <c r="AZ781" s="351">
        <v>45233</v>
      </c>
      <c r="BA781" s="351">
        <v>45232</v>
      </c>
      <c r="BB781" s="350" t="s">
        <v>407</v>
      </c>
    </row>
    <row r="782" spans="1:54" x14ac:dyDescent="0.25">
      <c r="A782" s="348" t="s">
        <v>1748</v>
      </c>
      <c r="B782" s="349">
        <v>5608</v>
      </c>
      <c r="C782" s="352" t="s">
        <v>1733</v>
      </c>
      <c r="D782" s="351">
        <v>45229</v>
      </c>
      <c r="E782" s="352">
        <v>3130</v>
      </c>
      <c r="F782" s="352">
        <v>1</v>
      </c>
      <c r="G782" s="351"/>
      <c r="H782" s="350" t="s">
        <v>439</v>
      </c>
      <c r="I782" s="350" t="s">
        <v>393</v>
      </c>
      <c r="J782" s="354">
        <v>65749.600000000006</v>
      </c>
      <c r="K782" s="350" t="s">
        <v>394</v>
      </c>
      <c r="L782" s="354">
        <v>2.8998300000000001E-4</v>
      </c>
      <c r="M782" s="354">
        <v>23.27</v>
      </c>
      <c r="N782" s="350" t="s">
        <v>395</v>
      </c>
      <c r="O782" s="354">
        <v>19.72</v>
      </c>
      <c r="P782" s="374">
        <f t="shared" si="847"/>
        <v>1.4661992978888079</v>
      </c>
      <c r="Q782" s="354">
        <f t="shared" si="848"/>
        <v>0.13828496098155932</v>
      </c>
      <c r="R782" s="354">
        <f t="shared" si="849"/>
        <v>0.23310822435001419</v>
      </c>
      <c r="S782" s="354">
        <f t="shared" si="850"/>
        <v>0.20764968490197372</v>
      </c>
      <c r="T782" s="354">
        <f t="shared" si="851"/>
        <v>0.8861205401028619</v>
      </c>
      <c r="U782" s="374">
        <f t="shared" si="852"/>
        <v>5.88449396250435</v>
      </c>
      <c r="V782" s="354">
        <f t="shared" si="853"/>
        <v>0.15576676936420353</v>
      </c>
      <c r="W782" s="354">
        <f t="shared" si="854"/>
        <v>5.3135271203370786</v>
      </c>
      <c r="X782" s="354">
        <f t="shared" si="855"/>
        <v>0.4152000728030677</v>
      </c>
      <c r="Y782" s="374">
        <f t="shared" si="856"/>
        <v>0.86265781594630875</v>
      </c>
      <c r="Z782" s="354">
        <f t="shared" si="857"/>
        <v>0.44501068379304948</v>
      </c>
      <c r="AA782" s="354">
        <f t="shared" si="858"/>
        <v>0.41764713215325922</v>
      </c>
      <c r="AB782" s="374">
        <f t="shared" si="859"/>
        <v>4.7130411069102784</v>
      </c>
      <c r="AC782" s="354">
        <f t="shared" si="860"/>
        <v>1.3375260894245542</v>
      </c>
      <c r="AD782" s="354">
        <f t="shared" si="861"/>
        <v>2.9114971885829881</v>
      </c>
      <c r="AE782" s="354">
        <f t="shared" si="862"/>
        <v>0.46401782890273607</v>
      </c>
      <c r="AF782" s="374">
        <f t="shared" si="863"/>
        <v>3.7720787650992458</v>
      </c>
      <c r="AG782" s="354">
        <f t="shared" si="864"/>
        <v>0.24241906273628797</v>
      </c>
      <c r="AH782" s="354">
        <f t="shared" si="865"/>
        <v>1.2197077577831017</v>
      </c>
      <c r="AI782" s="354">
        <f t="shared" si="866"/>
        <v>0</v>
      </c>
      <c r="AJ782" s="354">
        <f t="shared" si="867"/>
        <v>2.3099519445798564</v>
      </c>
      <c r="AK782" s="374">
        <f t="shared" si="868"/>
        <v>2.4914317735996563</v>
      </c>
      <c r="AL782" s="354">
        <f t="shared" si="869"/>
        <v>0.7138117412696513</v>
      </c>
      <c r="AM782" s="354">
        <f t="shared" si="870"/>
        <v>1.6835694991442574</v>
      </c>
      <c r="AN782" s="354">
        <f t="shared" si="871"/>
        <v>9.4050533185747826E-2</v>
      </c>
      <c r="AO782" s="374">
        <f t="shared" si="872"/>
        <v>1.4446447076947087</v>
      </c>
      <c r="AP782" s="354">
        <f t="shared" si="873"/>
        <v>0.33127222678108559</v>
      </c>
      <c r="AQ782" s="354">
        <f t="shared" si="874"/>
        <v>1.1133724809136232</v>
      </c>
      <c r="AR782" s="374">
        <f t="shared" si="875"/>
        <v>2.6354525703566427</v>
      </c>
      <c r="AS782" s="354">
        <f t="shared" si="876"/>
        <v>1.1420310674230987</v>
      </c>
      <c r="AT782" s="354">
        <f t="shared" si="877"/>
        <v>1.4934215029335443</v>
      </c>
      <c r="AU782" s="355" t="s">
        <v>396</v>
      </c>
      <c r="AV782" s="354" t="s">
        <v>404</v>
      </c>
      <c r="AW782" s="355" t="s">
        <v>405</v>
      </c>
      <c r="AX782" s="355">
        <v>117293</v>
      </c>
      <c r="AY782" s="350" t="s">
        <v>406</v>
      </c>
      <c r="AZ782" s="351">
        <v>45233</v>
      </c>
      <c r="BA782" s="351">
        <v>45232</v>
      </c>
      <c r="BB782" s="350" t="s">
        <v>407</v>
      </c>
    </row>
    <row r="783" spans="1:54" x14ac:dyDescent="0.25">
      <c r="A783" s="348"/>
      <c r="B783" s="349"/>
      <c r="C783" s="380"/>
      <c r="D783" s="351"/>
      <c r="E783" s="352"/>
      <c r="F783" s="352"/>
      <c r="G783" s="352"/>
      <c r="I783" s="350"/>
      <c r="J783" s="375"/>
      <c r="K783" s="350"/>
      <c r="L783" s="354"/>
      <c r="M783" s="375"/>
      <c r="N783" s="354"/>
      <c r="O783" s="354"/>
      <c r="P783" s="374"/>
      <c r="Q783" s="354"/>
      <c r="R783" s="354"/>
      <c r="S783" s="354"/>
      <c r="T783" s="354"/>
      <c r="U783" s="374"/>
      <c r="V783" s="354"/>
      <c r="W783" s="354"/>
      <c r="X783" s="354"/>
      <c r="Y783" s="374"/>
      <c r="Z783" s="354"/>
      <c r="AA783" s="354"/>
      <c r="AB783" s="374"/>
      <c r="AC783" s="354"/>
      <c r="AD783" s="354"/>
      <c r="AE783" s="354"/>
      <c r="AF783" s="374"/>
      <c r="AG783" s="354"/>
      <c r="AH783" s="354"/>
      <c r="AI783" s="354"/>
      <c r="AJ783" s="354"/>
      <c r="AK783" s="374"/>
      <c r="AL783" s="354"/>
      <c r="AM783" s="354"/>
      <c r="AN783" s="354"/>
      <c r="AO783" s="374"/>
      <c r="AP783" s="354"/>
      <c r="AQ783" s="354"/>
      <c r="AR783" s="374"/>
      <c r="AS783" s="354"/>
      <c r="AT783" s="354"/>
      <c r="AU783" s="355"/>
      <c r="AV783" s="354"/>
      <c r="AW783" s="353">
        <v>0</v>
      </c>
      <c r="AX783" s="353">
        <v>0</v>
      </c>
      <c r="AY783" s="353">
        <v>0</v>
      </c>
      <c r="AZ783" s="353">
        <v>0</v>
      </c>
      <c r="BA783" s="353">
        <v>0</v>
      </c>
      <c r="BB783" s="353">
        <v>0</v>
      </c>
    </row>
    <row r="784" spans="1:54" x14ac:dyDescent="0.25">
      <c r="A784" s="348"/>
      <c r="B784" s="349"/>
      <c r="C784" s="380"/>
      <c r="D784" s="351"/>
      <c r="E784" s="352"/>
      <c r="F784" s="352"/>
      <c r="G784" s="427"/>
      <c r="H784" s="350"/>
      <c r="I784" s="350"/>
      <c r="J784" s="375"/>
      <c r="K784" s="350"/>
      <c r="M784" s="375"/>
      <c r="N784" s="354"/>
      <c r="O784" s="354"/>
      <c r="P784" s="374"/>
      <c r="Q784" s="354"/>
      <c r="R784" s="354"/>
      <c r="S784" s="354"/>
      <c r="T784" s="354"/>
      <c r="U784" s="374"/>
      <c r="V784" s="354"/>
      <c r="W784" s="354"/>
      <c r="X784" s="354"/>
      <c r="Y784" s="374"/>
      <c r="Z784" s="354"/>
      <c r="AA784" s="354"/>
      <c r="AB784" s="374"/>
      <c r="AC784" s="354"/>
      <c r="AD784" s="354"/>
      <c r="AE784" s="354"/>
      <c r="AF784" s="374"/>
      <c r="AG784" s="354"/>
      <c r="AH784" s="354"/>
      <c r="AI784" s="354"/>
      <c r="AJ784" s="354"/>
      <c r="AK784" s="374"/>
      <c r="AL784" s="354"/>
      <c r="AM784" s="354"/>
      <c r="AN784" s="354"/>
      <c r="AO784" s="374"/>
      <c r="AP784" s="354"/>
      <c r="AQ784" s="354"/>
      <c r="AR784" s="374"/>
      <c r="AS784" s="354"/>
      <c r="AT784" s="354"/>
      <c r="AU784" s="355"/>
      <c r="AV784" s="354"/>
      <c r="AW784" s="353">
        <v>0</v>
      </c>
      <c r="AX784" s="353">
        <v>0</v>
      </c>
      <c r="AY784" s="353">
        <v>0</v>
      </c>
      <c r="AZ784" s="353">
        <v>0</v>
      </c>
      <c r="BA784" s="353">
        <v>0</v>
      </c>
      <c r="BB784" s="353">
        <v>0</v>
      </c>
    </row>
    <row r="785" spans="1:54" s="415" customFormat="1" x14ac:dyDescent="0.25">
      <c r="A785" s="430" t="s">
        <v>620</v>
      </c>
      <c r="B785" s="430"/>
      <c r="C785" s="430"/>
      <c r="D785" s="430"/>
      <c r="E785" s="430"/>
      <c r="F785" s="430"/>
      <c r="G785" s="430"/>
      <c r="H785" s="430"/>
      <c r="I785" s="430"/>
      <c r="J785" s="431">
        <f>SUM(J3:J784)</f>
        <v>273720273.79036194</v>
      </c>
      <c r="K785" s="430"/>
      <c r="L785" s="430"/>
      <c r="M785" s="431">
        <f>SUM(M3:M784)</f>
        <v>105113.36973087346</v>
      </c>
      <c r="N785" s="431" t="s">
        <v>395</v>
      </c>
      <c r="O785" s="431">
        <f t="shared" ref="O785:AT785" si="878">SUM(O3:O784)</f>
        <v>55641.060000000005</v>
      </c>
      <c r="P785" s="431">
        <f t="shared" si="878"/>
        <v>6622.9973742214606</v>
      </c>
      <c r="Q785" s="431">
        <f t="shared" si="878"/>
        <v>624.64968766111122</v>
      </c>
      <c r="R785" s="431">
        <f t="shared" si="878"/>
        <v>1052.9776954624153</v>
      </c>
      <c r="S785" s="431">
        <f t="shared" si="878"/>
        <v>937.97843161154174</v>
      </c>
      <c r="T785" s="431">
        <f t="shared" si="878"/>
        <v>4002.712331669683</v>
      </c>
      <c r="U785" s="431">
        <f t="shared" si="878"/>
        <v>26580.962164151824</v>
      </c>
      <c r="V785" s="431">
        <f t="shared" si="878"/>
        <v>703.61710442471849</v>
      </c>
      <c r="W785" s="431">
        <f t="shared" si="878"/>
        <v>24001.836732918557</v>
      </c>
      <c r="X785" s="431">
        <f t="shared" si="878"/>
        <v>1875.5083268085261</v>
      </c>
      <c r="Y785" s="431">
        <f t="shared" si="878"/>
        <v>3896.7284039016854</v>
      </c>
      <c r="Z785" s="431">
        <f t="shared" si="878"/>
        <v>2010.1664176934937</v>
      </c>
      <c r="AA785" s="431">
        <f t="shared" si="878"/>
        <v>1886.561986208188</v>
      </c>
      <c r="AB785" s="431">
        <f t="shared" si="878"/>
        <v>21289.369678876879</v>
      </c>
      <c r="AC785" s="431">
        <f t="shared" si="878"/>
        <v>6041.7651208582847</v>
      </c>
      <c r="AD785" s="431">
        <f t="shared" si="878"/>
        <v>13151.580595355457</v>
      </c>
      <c r="AE785" s="431">
        <f t="shared" si="878"/>
        <v>2096.0239626631073</v>
      </c>
      <c r="AF785" s="431">
        <f t="shared" si="878"/>
        <v>17038.930377733264</v>
      </c>
      <c r="AG785" s="431">
        <f t="shared" si="878"/>
        <v>1095.0358646846246</v>
      </c>
      <c r="AH785" s="431">
        <f t="shared" si="878"/>
        <v>5509.5656427791218</v>
      </c>
      <c r="AI785" s="431">
        <f t="shared" si="878"/>
        <v>0</v>
      </c>
      <c r="AJ785" s="431">
        <f t="shared" si="878"/>
        <v>10434.328870269541</v>
      </c>
      <c r="AK785" s="431">
        <f t="shared" si="878"/>
        <v>11254.094936726555</v>
      </c>
      <c r="AL785" s="431">
        <f t="shared" si="878"/>
        <v>3224.3729040960684</v>
      </c>
      <c r="AM785" s="431">
        <f t="shared" si="878"/>
        <v>7604.8845393713627</v>
      </c>
      <c r="AN785" s="431">
        <f t="shared" si="878"/>
        <v>424.83749325910134</v>
      </c>
      <c r="AO785" s="431">
        <f t="shared" si="878"/>
        <v>6525.6327154990686</v>
      </c>
      <c r="AP785" s="431">
        <f t="shared" si="878"/>
        <v>1496.396220679417</v>
      </c>
      <c r="AQ785" s="431">
        <f t="shared" si="878"/>
        <v>5029.2364948196609</v>
      </c>
      <c r="AR785" s="431">
        <f t="shared" si="878"/>
        <v>11904.654079762722</v>
      </c>
      <c r="AS785" s="431">
        <f t="shared" si="878"/>
        <v>5158.690753510451</v>
      </c>
      <c r="AT785" s="431">
        <f t="shared" si="878"/>
        <v>6745.963326252253</v>
      </c>
      <c r="AU785" s="430"/>
      <c r="AV785" s="430"/>
      <c r="AW785" s="430"/>
      <c r="AX785" s="430"/>
      <c r="AY785" s="430"/>
      <c r="AZ785" s="430"/>
      <c r="BA785" s="430"/>
      <c r="BB785" s="430"/>
    </row>
    <row r="786" spans="1:54" x14ac:dyDescent="0.25">
      <c r="A786" s="348" t="s">
        <v>708</v>
      </c>
      <c r="B786" s="349">
        <v>22</v>
      </c>
      <c r="C786" s="380">
        <v>45078</v>
      </c>
      <c r="D786" s="351" t="s">
        <v>740</v>
      </c>
      <c r="F786" s="353">
        <v>6</v>
      </c>
      <c r="G786" s="353" t="s">
        <v>347</v>
      </c>
      <c r="H786" s="432" t="s">
        <v>709</v>
      </c>
      <c r="I786" s="350" t="s">
        <v>393</v>
      </c>
      <c r="J786" s="375">
        <v>1500000</v>
      </c>
      <c r="K786" s="350" t="s">
        <v>394</v>
      </c>
      <c r="L786" s="353">
        <v>2801.6</v>
      </c>
      <c r="M786" s="433">
        <f t="shared" ref="M786:M790" si="879">J786/L786</f>
        <v>535.40833809251853</v>
      </c>
      <c r="N786" s="354" t="s">
        <v>395</v>
      </c>
      <c r="O786" s="354">
        <v>0</v>
      </c>
      <c r="P786" s="374"/>
      <c r="Q786" s="354">
        <v>0</v>
      </c>
      <c r="R786" s="354">
        <v>0</v>
      </c>
      <c r="S786" s="354">
        <v>0</v>
      </c>
      <c r="T786" s="354">
        <v>0</v>
      </c>
      <c r="U786" s="374"/>
      <c r="V786" s="354">
        <v>0</v>
      </c>
      <c r="W786" s="354">
        <v>0</v>
      </c>
      <c r="X786" s="354">
        <v>0</v>
      </c>
      <c r="Y786" s="374"/>
      <c r="Z786" s="354">
        <v>0</v>
      </c>
      <c r="AA786" s="354">
        <v>0</v>
      </c>
      <c r="AB786" s="374"/>
      <c r="AC786" s="354">
        <v>0</v>
      </c>
      <c r="AD786" s="354">
        <v>0</v>
      </c>
      <c r="AE786" s="354">
        <v>0</v>
      </c>
      <c r="AF786" s="374"/>
      <c r="AG786" s="354">
        <v>0</v>
      </c>
      <c r="AH786" s="354">
        <v>0</v>
      </c>
      <c r="AI786" s="354">
        <v>0</v>
      </c>
      <c r="AJ786" s="354">
        <v>0</v>
      </c>
      <c r="AK786" s="374"/>
      <c r="AL786" s="354">
        <v>0</v>
      </c>
      <c r="AM786" s="354">
        <v>0</v>
      </c>
      <c r="AN786" s="354">
        <v>0</v>
      </c>
      <c r="AO786" s="374"/>
      <c r="AP786" s="354">
        <v>0</v>
      </c>
      <c r="AQ786" s="354">
        <v>0</v>
      </c>
      <c r="AR786" s="374"/>
      <c r="AS786" s="354">
        <v>0</v>
      </c>
      <c r="AT786" s="354">
        <v>0</v>
      </c>
      <c r="AU786" s="355" t="s">
        <v>396</v>
      </c>
      <c r="AV786" s="353" t="s">
        <v>345</v>
      </c>
      <c r="AW786" s="355">
        <v>0</v>
      </c>
      <c r="AX786" s="355">
        <v>0</v>
      </c>
      <c r="AY786" s="355">
        <v>0</v>
      </c>
      <c r="AZ786" s="355">
        <v>0</v>
      </c>
      <c r="BA786" s="355">
        <v>0</v>
      </c>
      <c r="BB786" s="355">
        <v>0</v>
      </c>
    </row>
    <row r="787" spans="1:54" x14ac:dyDescent="0.25">
      <c r="A787" s="348" t="s">
        <v>710</v>
      </c>
      <c r="B787" s="349">
        <v>23</v>
      </c>
      <c r="C787" s="380">
        <v>45078</v>
      </c>
      <c r="D787" s="434">
        <v>45103</v>
      </c>
      <c r="E787" s="352"/>
      <c r="F787" s="352">
        <v>6</v>
      </c>
      <c r="G787" s="353" t="s">
        <v>347</v>
      </c>
      <c r="H787" s="435" t="s">
        <v>349</v>
      </c>
      <c r="I787" s="350" t="s">
        <v>393</v>
      </c>
      <c r="J787" s="375">
        <v>180000</v>
      </c>
      <c r="K787" s="350" t="s">
        <v>394</v>
      </c>
      <c r="L787" s="353">
        <v>2801.6</v>
      </c>
      <c r="M787" s="433">
        <f t="shared" si="879"/>
        <v>64.249000571102229</v>
      </c>
      <c r="N787" s="354" t="s">
        <v>395</v>
      </c>
      <c r="O787" s="354">
        <v>0</v>
      </c>
      <c r="P787" s="374"/>
      <c r="Q787" s="354">
        <v>0</v>
      </c>
      <c r="R787" s="354">
        <v>0</v>
      </c>
      <c r="S787" s="354">
        <v>0</v>
      </c>
      <c r="T787" s="354">
        <v>0</v>
      </c>
      <c r="U787" s="374"/>
      <c r="V787" s="354">
        <v>0</v>
      </c>
      <c r="W787" s="354">
        <v>0</v>
      </c>
      <c r="X787" s="354">
        <v>0</v>
      </c>
      <c r="Y787" s="374"/>
      <c r="Z787" s="354">
        <v>0</v>
      </c>
      <c r="AA787" s="354">
        <v>0</v>
      </c>
      <c r="AB787" s="374"/>
      <c r="AC787" s="354">
        <v>0</v>
      </c>
      <c r="AD787" s="354">
        <v>0</v>
      </c>
      <c r="AE787" s="354">
        <v>0</v>
      </c>
      <c r="AF787" s="374"/>
      <c r="AG787" s="354">
        <v>0</v>
      </c>
      <c r="AH787" s="354">
        <v>0</v>
      </c>
      <c r="AI787" s="354">
        <v>0</v>
      </c>
      <c r="AJ787" s="354">
        <v>0</v>
      </c>
      <c r="AK787" s="374"/>
      <c r="AL787" s="354">
        <v>0</v>
      </c>
      <c r="AM787" s="354">
        <v>0</v>
      </c>
      <c r="AN787" s="354">
        <v>0</v>
      </c>
      <c r="AO787" s="374"/>
      <c r="AP787" s="354">
        <v>0</v>
      </c>
      <c r="AQ787" s="354">
        <v>0</v>
      </c>
      <c r="AR787" s="374"/>
      <c r="AS787" s="354">
        <v>0</v>
      </c>
      <c r="AT787" s="354">
        <v>0</v>
      </c>
      <c r="AU787" s="355" t="s">
        <v>396</v>
      </c>
      <c r="AV787" s="353" t="s">
        <v>345</v>
      </c>
      <c r="AW787" s="355">
        <v>0</v>
      </c>
      <c r="AX787" s="355">
        <v>0</v>
      </c>
      <c r="AY787" s="355">
        <v>0</v>
      </c>
      <c r="AZ787" s="355">
        <v>0</v>
      </c>
      <c r="BA787" s="355">
        <v>0</v>
      </c>
      <c r="BB787" s="355">
        <v>0</v>
      </c>
    </row>
    <row r="788" spans="1:54" x14ac:dyDescent="0.25">
      <c r="A788" s="348" t="s">
        <v>710</v>
      </c>
      <c r="B788" s="349">
        <v>23</v>
      </c>
      <c r="C788" s="380">
        <v>45078</v>
      </c>
      <c r="D788" s="434">
        <v>45103</v>
      </c>
      <c r="E788" s="352"/>
      <c r="F788" s="352">
        <v>6</v>
      </c>
      <c r="G788" s="353" t="s">
        <v>347</v>
      </c>
      <c r="H788" s="432" t="s">
        <v>348</v>
      </c>
      <c r="I788" s="350" t="s">
        <v>393</v>
      </c>
      <c r="J788" s="375">
        <v>60000</v>
      </c>
      <c r="K788" s="350" t="s">
        <v>394</v>
      </c>
      <c r="L788" s="353">
        <v>2801.6</v>
      </c>
      <c r="M788" s="433">
        <f t="shared" si="879"/>
        <v>21.416333523700743</v>
      </c>
      <c r="N788" s="354" t="s">
        <v>395</v>
      </c>
      <c r="O788" s="354">
        <v>0</v>
      </c>
      <c r="P788" s="374"/>
      <c r="Q788" s="354">
        <v>0</v>
      </c>
      <c r="R788" s="354">
        <v>0</v>
      </c>
      <c r="S788" s="354">
        <v>0</v>
      </c>
      <c r="T788" s="354">
        <v>0</v>
      </c>
      <c r="U788" s="374"/>
      <c r="V788" s="354">
        <v>0</v>
      </c>
      <c r="W788" s="354">
        <v>0</v>
      </c>
      <c r="X788" s="354">
        <v>0</v>
      </c>
      <c r="Y788" s="374"/>
      <c r="Z788" s="354">
        <v>0</v>
      </c>
      <c r="AA788" s="354">
        <v>0</v>
      </c>
      <c r="AB788" s="374"/>
      <c r="AC788" s="354">
        <v>0</v>
      </c>
      <c r="AD788" s="354">
        <v>0</v>
      </c>
      <c r="AE788" s="354">
        <v>0</v>
      </c>
      <c r="AF788" s="374"/>
      <c r="AG788" s="354">
        <v>0</v>
      </c>
      <c r="AH788" s="354">
        <v>0</v>
      </c>
      <c r="AI788" s="354">
        <v>0</v>
      </c>
      <c r="AJ788" s="354">
        <v>0</v>
      </c>
      <c r="AK788" s="374"/>
      <c r="AL788" s="354">
        <v>0</v>
      </c>
      <c r="AM788" s="354">
        <v>0</v>
      </c>
      <c r="AN788" s="354">
        <v>0</v>
      </c>
      <c r="AO788" s="374"/>
      <c r="AP788" s="354">
        <v>0</v>
      </c>
      <c r="AQ788" s="354">
        <v>0</v>
      </c>
      <c r="AR788" s="374"/>
      <c r="AS788" s="354">
        <v>0</v>
      </c>
      <c r="AT788" s="354">
        <v>0</v>
      </c>
      <c r="AU788" s="355" t="s">
        <v>396</v>
      </c>
      <c r="AV788" s="353" t="s">
        <v>345</v>
      </c>
      <c r="AW788" s="355">
        <v>0</v>
      </c>
      <c r="AX788" s="355">
        <v>0</v>
      </c>
      <c r="AY788" s="355">
        <v>0</v>
      </c>
      <c r="AZ788" s="355">
        <v>0</v>
      </c>
      <c r="BA788" s="355">
        <v>0</v>
      </c>
      <c r="BB788" s="355">
        <v>0</v>
      </c>
    </row>
    <row r="789" spans="1:54" ht="30" x14ac:dyDescent="0.25">
      <c r="A789" s="348" t="s">
        <v>710</v>
      </c>
      <c r="B789" s="349">
        <v>23</v>
      </c>
      <c r="C789" s="380">
        <v>45078</v>
      </c>
      <c r="D789" s="434">
        <v>45103</v>
      </c>
      <c r="E789" s="352"/>
      <c r="F789" s="352">
        <v>6</v>
      </c>
      <c r="G789" s="381" t="s">
        <v>347</v>
      </c>
      <c r="H789" s="435" t="s">
        <v>352</v>
      </c>
      <c r="I789" s="350" t="s">
        <v>393</v>
      </c>
      <c r="J789" s="375">
        <v>720000</v>
      </c>
      <c r="K789" s="350" t="s">
        <v>394</v>
      </c>
      <c r="L789" s="353">
        <v>2801.6</v>
      </c>
      <c r="M789" s="433">
        <f t="shared" si="879"/>
        <v>256.99600228440892</v>
      </c>
      <c r="N789" s="354" t="s">
        <v>395</v>
      </c>
      <c r="O789" s="354">
        <v>0</v>
      </c>
      <c r="P789" s="374"/>
      <c r="Q789" s="354">
        <v>0</v>
      </c>
      <c r="R789" s="354">
        <v>0</v>
      </c>
      <c r="S789" s="354">
        <v>0</v>
      </c>
      <c r="T789" s="354">
        <v>0</v>
      </c>
      <c r="U789" s="374"/>
      <c r="V789" s="354">
        <v>0</v>
      </c>
      <c r="W789" s="354">
        <v>0</v>
      </c>
      <c r="X789" s="354">
        <v>0</v>
      </c>
      <c r="Y789" s="374"/>
      <c r="Z789" s="354">
        <v>0</v>
      </c>
      <c r="AA789" s="354">
        <v>0</v>
      </c>
      <c r="AB789" s="374"/>
      <c r="AC789" s="354">
        <v>0</v>
      </c>
      <c r="AD789" s="354">
        <v>0</v>
      </c>
      <c r="AE789" s="354">
        <v>0</v>
      </c>
      <c r="AF789" s="374"/>
      <c r="AG789" s="354">
        <v>0</v>
      </c>
      <c r="AH789" s="354">
        <v>0</v>
      </c>
      <c r="AI789" s="354">
        <v>0</v>
      </c>
      <c r="AJ789" s="354">
        <v>0</v>
      </c>
      <c r="AK789" s="374"/>
      <c r="AL789" s="354">
        <v>0</v>
      </c>
      <c r="AM789" s="354">
        <v>0</v>
      </c>
      <c r="AN789" s="354">
        <v>0</v>
      </c>
      <c r="AO789" s="374"/>
      <c r="AP789" s="354">
        <v>0</v>
      </c>
      <c r="AQ789" s="354">
        <v>0</v>
      </c>
      <c r="AR789" s="374"/>
      <c r="AS789" s="354">
        <v>0</v>
      </c>
      <c r="AT789" s="354">
        <v>0</v>
      </c>
      <c r="AU789" s="355" t="s">
        <v>396</v>
      </c>
      <c r="AV789" s="381" t="s">
        <v>345</v>
      </c>
      <c r="AW789" s="355">
        <v>0</v>
      </c>
      <c r="AX789" s="355">
        <v>0</v>
      </c>
      <c r="AY789" s="355">
        <v>0</v>
      </c>
      <c r="AZ789" s="355">
        <v>0</v>
      </c>
      <c r="BA789" s="355">
        <v>0</v>
      </c>
      <c r="BB789" s="355">
        <v>0</v>
      </c>
    </row>
    <row r="790" spans="1:54" x14ac:dyDescent="0.25">
      <c r="A790" s="348" t="s">
        <v>710</v>
      </c>
      <c r="B790" s="349">
        <v>23</v>
      </c>
      <c r="C790" s="380">
        <v>45078</v>
      </c>
      <c r="D790" s="434">
        <v>45103</v>
      </c>
      <c r="E790" s="352"/>
      <c r="F790" s="352">
        <v>6</v>
      </c>
      <c r="G790" s="353" t="s">
        <v>347</v>
      </c>
      <c r="H790" s="435" t="s">
        <v>350</v>
      </c>
      <c r="I790" s="350" t="s">
        <v>393</v>
      </c>
      <c r="J790" s="375">
        <v>720000</v>
      </c>
      <c r="K790" s="350" t="s">
        <v>394</v>
      </c>
      <c r="L790" s="353">
        <v>2801.6</v>
      </c>
      <c r="M790" s="433">
        <f t="shared" si="879"/>
        <v>256.99600228440892</v>
      </c>
      <c r="N790" s="354" t="s">
        <v>395</v>
      </c>
      <c r="O790" s="354">
        <v>0</v>
      </c>
      <c r="P790" s="374"/>
      <c r="Q790" s="354">
        <v>0</v>
      </c>
      <c r="R790" s="354">
        <v>0</v>
      </c>
      <c r="S790" s="354">
        <v>0</v>
      </c>
      <c r="T790" s="354">
        <v>0</v>
      </c>
      <c r="U790" s="374"/>
      <c r="V790" s="354">
        <v>0</v>
      </c>
      <c r="W790" s="354">
        <v>0</v>
      </c>
      <c r="X790" s="354">
        <v>0</v>
      </c>
      <c r="Y790" s="374"/>
      <c r="Z790" s="354">
        <v>0</v>
      </c>
      <c r="AA790" s="354">
        <v>0</v>
      </c>
      <c r="AB790" s="374"/>
      <c r="AC790" s="354">
        <v>0</v>
      </c>
      <c r="AD790" s="354">
        <v>0</v>
      </c>
      <c r="AE790" s="354">
        <v>0</v>
      </c>
      <c r="AF790" s="374"/>
      <c r="AG790" s="354">
        <v>0</v>
      </c>
      <c r="AH790" s="354">
        <v>0</v>
      </c>
      <c r="AI790" s="354">
        <v>0</v>
      </c>
      <c r="AJ790" s="354">
        <v>0</v>
      </c>
      <c r="AK790" s="374"/>
      <c r="AL790" s="354">
        <v>0</v>
      </c>
      <c r="AM790" s="354">
        <v>0</v>
      </c>
      <c r="AN790" s="354">
        <v>0</v>
      </c>
      <c r="AO790" s="374"/>
      <c r="AP790" s="354">
        <v>0</v>
      </c>
      <c r="AQ790" s="354">
        <v>0</v>
      </c>
      <c r="AR790" s="374"/>
      <c r="AS790" s="354">
        <v>0</v>
      </c>
      <c r="AT790" s="354">
        <v>0</v>
      </c>
      <c r="AU790" s="355" t="s">
        <v>396</v>
      </c>
      <c r="AV790" s="353" t="s">
        <v>345</v>
      </c>
      <c r="AW790" s="355">
        <v>0</v>
      </c>
      <c r="AX790" s="355">
        <v>0</v>
      </c>
      <c r="AY790" s="355">
        <v>0</v>
      </c>
      <c r="AZ790" s="355">
        <v>0</v>
      </c>
      <c r="BA790" s="355">
        <v>0</v>
      </c>
      <c r="BB790" s="355">
        <v>0</v>
      </c>
    </row>
    <row r="791" spans="1:54" x14ac:dyDescent="0.25">
      <c r="A791" s="348" t="s">
        <v>710</v>
      </c>
      <c r="B791" s="349">
        <v>23</v>
      </c>
      <c r="C791" s="380">
        <v>45078</v>
      </c>
      <c r="D791" s="434">
        <v>45103</v>
      </c>
      <c r="E791" s="352"/>
      <c r="F791" s="352">
        <v>6</v>
      </c>
      <c r="G791" s="353" t="s">
        <v>347</v>
      </c>
      <c r="H791" s="432" t="s">
        <v>711</v>
      </c>
      <c r="I791" s="350" t="s">
        <v>393</v>
      </c>
      <c r="J791" s="375">
        <v>1348740</v>
      </c>
      <c r="K791" s="350" t="s">
        <v>394</v>
      </c>
      <c r="L791" s="353">
        <v>2801.6</v>
      </c>
      <c r="M791" s="433">
        <f>J791/L791</f>
        <v>481.41776127926903</v>
      </c>
      <c r="N791" s="354" t="s">
        <v>395</v>
      </c>
      <c r="O791" s="354">
        <v>0</v>
      </c>
      <c r="P791" s="374"/>
      <c r="Q791" s="354">
        <v>0</v>
      </c>
      <c r="R791" s="354">
        <v>0</v>
      </c>
      <c r="S791" s="354">
        <v>0</v>
      </c>
      <c r="T791" s="354">
        <v>0</v>
      </c>
      <c r="U791" s="374"/>
      <c r="V791" s="354">
        <v>0</v>
      </c>
      <c r="W791" s="354">
        <v>0</v>
      </c>
      <c r="X791" s="354">
        <v>0</v>
      </c>
      <c r="Y791" s="374"/>
      <c r="Z791" s="354">
        <v>0</v>
      </c>
      <c r="AA791" s="354">
        <v>0</v>
      </c>
      <c r="AB791" s="374"/>
      <c r="AC791" s="354">
        <v>0</v>
      </c>
      <c r="AD791" s="354">
        <v>0</v>
      </c>
      <c r="AE791" s="354">
        <v>0</v>
      </c>
      <c r="AF791" s="374"/>
      <c r="AG791" s="354">
        <v>0</v>
      </c>
      <c r="AH791" s="354">
        <v>0</v>
      </c>
      <c r="AI791" s="354">
        <v>0</v>
      </c>
      <c r="AJ791" s="354">
        <v>0</v>
      </c>
      <c r="AK791" s="374"/>
      <c r="AL791" s="354">
        <v>0</v>
      </c>
      <c r="AM791" s="354">
        <v>0</v>
      </c>
      <c r="AN791" s="354">
        <v>0</v>
      </c>
      <c r="AO791" s="374"/>
      <c r="AP791" s="354">
        <v>0</v>
      </c>
      <c r="AQ791" s="354">
        <v>0</v>
      </c>
      <c r="AR791" s="374"/>
      <c r="AS791" s="354">
        <v>0</v>
      </c>
      <c r="AT791" s="354">
        <v>0</v>
      </c>
      <c r="AU791" s="355" t="s">
        <v>396</v>
      </c>
      <c r="AV791" s="353" t="s">
        <v>345</v>
      </c>
      <c r="AW791" s="355">
        <v>0</v>
      </c>
      <c r="AX791" s="355">
        <v>0</v>
      </c>
      <c r="AY791" s="355">
        <v>0</v>
      </c>
      <c r="AZ791" s="355">
        <v>0</v>
      </c>
      <c r="BA791" s="355">
        <v>0</v>
      </c>
      <c r="BB791" s="355">
        <v>0</v>
      </c>
    </row>
    <row r="792" spans="1:54" x14ac:dyDescent="0.25">
      <c r="A792" s="348" t="s">
        <v>741</v>
      </c>
      <c r="B792" s="349">
        <v>39</v>
      </c>
      <c r="C792" s="350" t="s">
        <v>713</v>
      </c>
      <c r="D792" s="434">
        <v>45099</v>
      </c>
      <c r="E792" s="352"/>
      <c r="F792" s="352">
        <v>6</v>
      </c>
      <c r="G792" s="348" t="s">
        <v>347</v>
      </c>
      <c r="H792" s="424" t="s">
        <v>348</v>
      </c>
      <c r="I792" s="350" t="s">
        <v>393</v>
      </c>
      <c r="J792" s="375">
        <v>110000</v>
      </c>
      <c r="K792" s="350" t="s">
        <v>394</v>
      </c>
      <c r="L792" s="354">
        <v>2802.3999950000002</v>
      </c>
      <c r="M792" s="375">
        <f t="shared" ref="M792:M804" si="880">J792/L792</f>
        <v>39.252069724614735</v>
      </c>
      <c r="N792" s="354" t="s">
        <v>395</v>
      </c>
      <c r="O792" s="354">
        <v>0</v>
      </c>
      <c r="P792" s="374"/>
      <c r="Q792" s="354">
        <v>0</v>
      </c>
      <c r="R792" s="354">
        <v>0</v>
      </c>
      <c r="S792" s="354">
        <v>0</v>
      </c>
      <c r="T792" s="354">
        <v>0</v>
      </c>
      <c r="U792" s="374"/>
      <c r="V792" s="354">
        <v>0</v>
      </c>
      <c r="W792" s="354">
        <v>0</v>
      </c>
      <c r="X792" s="354">
        <v>0</v>
      </c>
      <c r="Y792" s="374"/>
      <c r="Z792" s="354">
        <v>0</v>
      </c>
      <c r="AA792" s="354">
        <v>0</v>
      </c>
      <c r="AB792" s="374"/>
      <c r="AC792" s="354">
        <v>0</v>
      </c>
      <c r="AD792" s="354">
        <v>0</v>
      </c>
      <c r="AE792" s="354">
        <v>0</v>
      </c>
      <c r="AF792" s="374"/>
      <c r="AG792" s="354">
        <v>0</v>
      </c>
      <c r="AH792" s="354">
        <v>0</v>
      </c>
      <c r="AI792" s="354">
        <v>0</v>
      </c>
      <c r="AJ792" s="354">
        <v>0</v>
      </c>
      <c r="AK792" s="374"/>
      <c r="AL792" s="354">
        <v>0</v>
      </c>
      <c r="AM792" s="354">
        <v>0</v>
      </c>
      <c r="AN792" s="354">
        <v>0</v>
      </c>
      <c r="AO792" s="374"/>
      <c r="AP792" s="354">
        <v>0</v>
      </c>
      <c r="AQ792" s="354">
        <v>0</v>
      </c>
      <c r="AR792" s="374"/>
      <c r="AS792" s="354">
        <v>0</v>
      </c>
      <c r="AT792" s="354">
        <v>0</v>
      </c>
      <c r="AU792" s="355" t="s">
        <v>396</v>
      </c>
      <c r="AV792" s="354" t="s">
        <v>397</v>
      </c>
      <c r="AW792" s="355">
        <v>0</v>
      </c>
      <c r="AX792" s="355">
        <v>0</v>
      </c>
      <c r="AY792" s="355">
        <v>0</v>
      </c>
      <c r="AZ792" s="355">
        <v>0</v>
      </c>
      <c r="BA792" s="355">
        <v>0</v>
      </c>
      <c r="BB792" s="355">
        <v>0</v>
      </c>
    </row>
    <row r="793" spans="1:54" x14ac:dyDescent="0.25">
      <c r="A793" s="348" t="s">
        <v>741</v>
      </c>
      <c r="B793" s="349">
        <v>40</v>
      </c>
      <c r="C793" s="350" t="s">
        <v>713</v>
      </c>
      <c r="D793" s="434">
        <v>45099</v>
      </c>
      <c r="E793" s="352"/>
      <c r="F793" s="352">
        <v>6</v>
      </c>
      <c r="G793" s="348" t="s">
        <v>347</v>
      </c>
      <c r="H793" s="424" t="s">
        <v>349</v>
      </c>
      <c r="I793" s="350" t="s">
        <v>393</v>
      </c>
      <c r="J793" s="375">
        <f>7*30000</f>
        <v>210000</v>
      </c>
      <c r="K793" s="350" t="s">
        <v>394</v>
      </c>
      <c r="L793" s="354">
        <v>2802.3999950000002</v>
      </c>
      <c r="M793" s="375">
        <f t="shared" si="880"/>
        <v>74.935769474264504</v>
      </c>
      <c r="N793" s="354" t="s">
        <v>395</v>
      </c>
      <c r="O793" s="354">
        <v>0</v>
      </c>
      <c r="P793" s="374"/>
      <c r="Q793" s="354">
        <v>0</v>
      </c>
      <c r="R793" s="354">
        <v>0</v>
      </c>
      <c r="S793" s="354">
        <v>0</v>
      </c>
      <c r="T793" s="354">
        <v>0</v>
      </c>
      <c r="U793" s="374"/>
      <c r="V793" s="354">
        <v>0</v>
      </c>
      <c r="W793" s="354">
        <v>0</v>
      </c>
      <c r="X793" s="354">
        <v>0</v>
      </c>
      <c r="Y793" s="374"/>
      <c r="Z793" s="354">
        <v>0</v>
      </c>
      <c r="AA793" s="354">
        <v>0</v>
      </c>
      <c r="AB793" s="374"/>
      <c r="AC793" s="354">
        <v>0</v>
      </c>
      <c r="AD793" s="354">
        <v>0</v>
      </c>
      <c r="AE793" s="354">
        <v>0</v>
      </c>
      <c r="AF793" s="374"/>
      <c r="AG793" s="354">
        <v>0</v>
      </c>
      <c r="AH793" s="354">
        <v>0</v>
      </c>
      <c r="AI793" s="354">
        <v>0</v>
      </c>
      <c r="AJ793" s="354">
        <v>0</v>
      </c>
      <c r="AK793" s="374"/>
      <c r="AL793" s="354">
        <v>0</v>
      </c>
      <c r="AM793" s="354">
        <v>0</v>
      </c>
      <c r="AN793" s="354">
        <v>0</v>
      </c>
      <c r="AO793" s="374"/>
      <c r="AP793" s="354">
        <v>0</v>
      </c>
      <c r="AQ793" s="354">
        <v>0</v>
      </c>
      <c r="AR793" s="374"/>
      <c r="AS793" s="354">
        <v>0</v>
      </c>
      <c r="AT793" s="354">
        <v>0</v>
      </c>
      <c r="AU793" s="355" t="s">
        <v>396</v>
      </c>
      <c r="AV793" s="354" t="s">
        <v>397</v>
      </c>
      <c r="AW793" s="355">
        <v>0</v>
      </c>
      <c r="AX793" s="355">
        <v>0</v>
      </c>
      <c r="AY793" s="355">
        <v>0</v>
      </c>
      <c r="AZ793" s="355">
        <v>0</v>
      </c>
      <c r="BA793" s="355">
        <v>0</v>
      </c>
      <c r="BB793" s="355">
        <v>0</v>
      </c>
    </row>
    <row r="794" spans="1:54" x14ac:dyDescent="0.25">
      <c r="A794" s="348" t="s">
        <v>741</v>
      </c>
      <c r="B794" s="349">
        <v>41</v>
      </c>
      <c r="C794" s="350" t="s">
        <v>713</v>
      </c>
      <c r="D794" s="434">
        <v>45099</v>
      </c>
      <c r="E794" s="352"/>
      <c r="F794" s="352">
        <v>6</v>
      </c>
      <c r="G794" s="348" t="s">
        <v>347</v>
      </c>
      <c r="H794" s="424" t="s">
        <v>350</v>
      </c>
      <c r="I794" s="350" t="s">
        <v>393</v>
      </c>
      <c r="J794" s="375">
        <v>500000</v>
      </c>
      <c r="K794" s="350" t="s">
        <v>394</v>
      </c>
      <c r="L794" s="354">
        <v>2802.3999950000002</v>
      </c>
      <c r="M794" s="375">
        <f t="shared" si="880"/>
        <v>178.41849874824879</v>
      </c>
      <c r="N794" s="354" t="s">
        <v>395</v>
      </c>
      <c r="O794" s="354">
        <v>0</v>
      </c>
      <c r="P794" s="374"/>
      <c r="Q794" s="354">
        <v>0</v>
      </c>
      <c r="R794" s="354">
        <v>0</v>
      </c>
      <c r="S794" s="354">
        <v>0</v>
      </c>
      <c r="T794" s="354">
        <v>0</v>
      </c>
      <c r="U794" s="374"/>
      <c r="V794" s="354">
        <v>0</v>
      </c>
      <c r="W794" s="354">
        <v>0</v>
      </c>
      <c r="X794" s="354">
        <v>0</v>
      </c>
      <c r="Y794" s="374"/>
      <c r="Z794" s="354">
        <v>0</v>
      </c>
      <c r="AA794" s="354">
        <v>0</v>
      </c>
      <c r="AB794" s="374"/>
      <c r="AC794" s="354">
        <v>0</v>
      </c>
      <c r="AD794" s="354">
        <v>0</v>
      </c>
      <c r="AE794" s="354">
        <v>0</v>
      </c>
      <c r="AF794" s="374"/>
      <c r="AG794" s="354">
        <v>0</v>
      </c>
      <c r="AH794" s="354">
        <v>0</v>
      </c>
      <c r="AI794" s="354">
        <v>0</v>
      </c>
      <c r="AJ794" s="354">
        <v>0</v>
      </c>
      <c r="AK794" s="374"/>
      <c r="AL794" s="354">
        <v>0</v>
      </c>
      <c r="AM794" s="354">
        <v>0</v>
      </c>
      <c r="AN794" s="354">
        <v>0</v>
      </c>
      <c r="AO794" s="374"/>
      <c r="AP794" s="354">
        <v>0</v>
      </c>
      <c r="AQ794" s="354">
        <v>0</v>
      </c>
      <c r="AR794" s="374"/>
      <c r="AS794" s="354">
        <v>0</v>
      </c>
      <c r="AT794" s="354">
        <v>0</v>
      </c>
      <c r="AU794" s="355" t="s">
        <v>396</v>
      </c>
      <c r="AV794" s="354" t="s">
        <v>397</v>
      </c>
      <c r="AW794" s="355">
        <v>0</v>
      </c>
      <c r="AX794" s="355">
        <v>0</v>
      </c>
      <c r="AY794" s="355">
        <v>0</v>
      </c>
      <c r="AZ794" s="355">
        <v>0</v>
      </c>
      <c r="BA794" s="355">
        <v>0</v>
      </c>
      <c r="BB794" s="355">
        <v>0</v>
      </c>
    </row>
    <row r="795" spans="1:54" x14ac:dyDescent="0.25">
      <c r="A795" s="348" t="s">
        <v>741</v>
      </c>
      <c r="B795" s="436">
        <v>42</v>
      </c>
      <c r="C795" s="350" t="s">
        <v>713</v>
      </c>
      <c r="D795" s="434">
        <v>45099</v>
      </c>
      <c r="E795" s="352"/>
      <c r="F795" s="352">
        <v>6</v>
      </c>
      <c r="G795" s="348" t="s">
        <v>347</v>
      </c>
      <c r="H795" s="424" t="s">
        <v>742</v>
      </c>
      <c r="I795" s="350" t="s">
        <v>393</v>
      </c>
      <c r="J795" s="375">
        <f>225600</f>
        <v>225600</v>
      </c>
      <c r="K795" s="350" t="s">
        <v>394</v>
      </c>
      <c r="L795" s="354">
        <v>2802.3999950000002</v>
      </c>
      <c r="M795" s="375">
        <f t="shared" si="880"/>
        <v>80.502426635209858</v>
      </c>
      <c r="N795" s="354" t="s">
        <v>395</v>
      </c>
      <c r="O795" s="354">
        <v>0</v>
      </c>
      <c r="P795" s="374"/>
      <c r="Q795" s="354">
        <v>0</v>
      </c>
      <c r="R795" s="354">
        <v>0</v>
      </c>
      <c r="S795" s="354">
        <v>0</v>
      </c>
      <c r="T795" s="354">
        <v>0</v>
      </c>
      <c r="U795" s="374"/>
      <c r="V795" s="354">
        <v>0</v>
      </c>
      <c r="W795" s="354">
        <v>0</v>
      </c>
      <c r="X795" s="354">
        <v>0</v>
      </c>
      <c r="Y795" s="374"/>
      <c r="Z795" s="354">
        <v>0</v>
      </c>
      <c r="AA795" s="354">
        <v>0</v>
      </c>
      <c r="AB795" s="374"/>
      <c r="AC795" s="354">
        <v>0</v>
      </c>
      <c r="AD795" s="354">
        <v>0</v>
      </c>
      <c r="AE795" s="354">
        <v>0</v>
      </c>
      <c r="AF795" s="374"/>
      <c r="AG795" s="354">
        <v>0</v>
      </c>
      <c r="AH795" s="354">
        <v>0</v>
      </c>
      <c r="AI795" s="354">
        <v>0</v>
      </c>
      <c r="AJ795" s="354">
        <v>0</v>
      </c>
      <c r="AK795" s="374"/>
      <c r="AL795" s="354">
        <v>0</v>
      </c>
      <c r="AM795" s="354">
        <v>0</v>
      </c>
      <c r="AN795" s="354">
        <v>0</v>
      </c>
      <c r="AO795" s="374"/>
      <c r="AP795" s="354">
        <v>0</v>
      </c>
      <c r="AQ795" s="354">
        <v>0</v>
      </c>
      <c r="AR795" s="374"/>
      <c r="AS795" s="354">
        <v>0</v>
      </c>
      <c r="AT795" s="354">
        <v>0</v>
      </c>
      <c r="AU795" s="355" t="s">
        <v>396</v>
      </c>
      <c r="AV795" s="354" t="s">
        <v>397</v>
      </c>
      <c r="AW795" s="355">
        <v>0</v>
      </c>
      <c r="AX795" s="355">
        <v>0</v>
      </c>
      <c r="AY795" s="355">
        <v>0</v>
      </c>
      <c r="AZ795" s="355">
        <v>0</v>
      </c>
      <c r="BA795" s="355">
        <v>0</v>
      </c>
      <c r="BB795" s="355">
        <v>0</v>
      </c>
    </row>
    <row r="796" spans="1:54" x14ac:dyDescent="0.25">
      <c r="A796" s="348" t="s">
        <v>741</v>
      </c>
      <c r="B796" s="436">
        <v>42</v>
      </c>
      <c r="C796" s="350" t="s">
        <v>713</v>
      </c>
      <c r="D796" s="434">
        <v>45099</v>
      </c>
      <c r="E796" s="352"/>
      <c r="F796" s="352">
        <v>6</v>
      </c>
      <c r="G796" s="348" t="s">
        <v>347</v>
      </c>
      <c r="H796" s="424" t="s">
        <v>743</v>
      </c>
      <c r="I796" s="350" t="s">
        <v>393</v>
      </c>
      <c r="J796" s="375">
        <v>327995</v>
      </c>
      <c r="K796" s="350" t="s">
        <v>394</v>
      </c>
      <c r="L796" s="354">
        <v>2802.3999950000002</v>
      </c>
      <c r="M796" s="375">
        <f t="shared" si="880"/>
        <v>117.04075099386374</v>
      </c>
      <c r="N796" s="354" t="s">
        <v>395</v>
      </c>
      <c r="O796" s="354">
        <v>0</v>
      </c>
      <c r="P796" s="374"/>
      <c r="Q796" s="354">
        <v>0</v>
      </c>
      <c r="R796" s="354">
        <v>0</v>
      </c>
      <c r="S796" s="354">
        <v>0</v>
      </c>
      <c r="T796" s="354">
        <v>0</v>
      </c>
      <c r="U796" s="374"/>
      <c r="V796" s="354">
        <v>0</v>
      </c>
      <c r="W796" s="354">
        <v>0</v>
      </c>
      <c r="X796" s="354">
        <v>0</v>
      </c>
      <c r="Y796" s="374"/>
      <c r="Z796" s="354">
        <v>0</v>
      </c>
      <c r="AA796" s="354">
        <v>0</v>
      </c>
      <c r="AB796" s="374"/>
      <c r="AC796" s="354">
        <v>0</v>
      </c>
      <c r="AD796" s="354">
        <v>0</v>
      </c>
      <c r="AE796" s="354">
        <v>0</v>
      </c>
      <c r="AF796" s="374"/>
      <c r="AG796" s="354">
        <v>0</v>
      </c>
      <c r="AH796" s="354">
        <v>0</v>
      </c>
      <c r="AI796" s="354">
        <v>0</v>
      </c>
      <c r="AJ796" s="354">
        <v>0</v>
      </c>
      <c r="AK796" s="374"/>
      <c r="AL796" s="354">
        <v>0</v>
      </c>
      <c r="AM796" s="354">
        <v>0</v>
      </c>
      <c r="AN796" s="354">
        <v>0</v>
      </c>
      <c r="AO796" s="374"/>
      <c r="AP796" s="354">
        <v>0</v>
      </c>
      <c r="AQ796" s="354">
        <v>0</v>
      </c>
      <c r="AR796" s="374"/>
      <c r="AS796" s="354">
        <v>0</v>
      </c>
      <c r="AT796" s="354">
        <v>0</v>
      </c>
      <c r="AU796" s="355" t="s">
        <v>396</v>
      </c>
      <c r="AV796" s="354" t="s">
        <v>397</v>
      </c>
      <c r="AW796" s="355">
        <v>0</v>
      </c>
      <c r="AX796" s="355">
        <v>0</v>
      </c>
      <c r="AY796" s="355">
        <v>0</v>
      </c>
      <c r="AZ796" s="355">
        <v>0</v>
      </c>
      <c r="BA796" s="355">
        <v>0</v>
      </c>
      <c r="BB796" s="355">
        <v>0</v>
      </c>
    </row>
    <row r="797" spans="1:54" x14ac:dyDescent="0.25">
      <c r="A797" s="348" t="s">
        <v>741</v>
      </c>
      <c r="B797" s="436">
        <v>42</v>
      </c>
      <c r="C797" s="350" t="s">
        <v>713</v>
      </c>
      <c r="D797" s="434">
        <v>45099</v>
      </c>
      <c r="E797" s="352"/>
      <c r="F797" s="352">
        <v>6</v>
      </c>
      <c r="G797" s="348" t="s">
        <v>347</v>
      </c>
      <c r="H797" s="424" t="s">
        <v>744</v>
      </c>
      <c r="I797" s="350" t="s">
        <v>393</v>
      </c>
      <c r="J797" s="375">
        <v>319290</v>
      </c>
      <c r="K797" s="350" t="s">
        <v>394</v>
      </c>
      <c r="L797" s="354">
        <v>2802.3999950000002</v>
      </c>
      <c r="M797" s="375">
        <f t="shared" si="880"/>
        <v>113.93448493065672</v>
      </c>
      <c r="N797" s="354" t="s">
        <v>395</v>
      </c>
      <c r="O797" s="354">
        <v>0</v>
      </c>
      <c r="P797" s="374"/>
      <c r="Q797" s="354">
        <v>0</v>
      </c>
      <c r="R797" s="354">
        <v>0</v>
      </c>
      <c r="S797" s="354">
        <v>0</v>
      </c>
      <c r="T797" s="354">
        <v>0</v>
      </c>
      <c r="U797" s="374"/>
      <c r="V797" s="354">
        <v>0</v>
      </c>
      <c r="W797" s="354">
        <v>0</v>
      </c>
      <c r="X797" s="354">
        <v>0</v>
      </c>
      <c r="Y797" s="374"/>
      <c r="Z797" s="354">
        <v>0</v>
      </c>
      <c r="AA797" s="354">
        <v>0</v>
      </c>
      <c r="AB797" s="374"/>
      <c r="AC797" s="354">
        <v>0</v>
      </c>
      <c r="AD797" s="354">
        <v>0</v>
      </c>
      <c r="AE797" s="354">
        <v>0</v>
      </c>
      <c r="AF797" s="374"/>
      <c r="AG797" s="354">
        <v>0</v>
      </c>
      <c r="AH797" s="354">
        <v>0</v>
      </c>
      <c r="AI797" s="354">
        <v>0</v>
      </c>
      <c r="AJ797" s="354">
        <v>0</v>
      </c>
      <c r="AK797" s="374"/>
      <c r="AL797" s="354">
        <v>0</v>
      </c>
      <c r="AM797" s="354">
        <v>0</v>
      </c>
      <c r="AN797" s="354">
        <v>0</v>
      </c>
      <c r="AO797" s="374"/>
      <c r="AP797" s="354">
        <v>0</v>
      </c>
      <c r="AQ797" s="354">
        <v>0</v>
      </c>
      <c r="AR797" s="374"/>
      <c r="AS797" s="354">
        <v>0</v>
      </c>
      <c r="AT797" s="354">
        <v>0</v>
      </c>
      <c r="AU797" s="355" t="s">
        <v>396</v>
      </c>
      <c r="AV797" s="354" t="s">
        <v>397</v>
      </c>
      <c r="AW797" s="355">
        <v>0</v>
      </c>
      <c r="AX797" s="355">
        <v>0</v>
      </c>
      <c r="AY797" s="355">
        <v>0</v>
      </c>
      <c r="AZ797" s="355">
        <v>0</v>
      </c>
      <c r="BA797" s="355">
        <v>0</v>
      </c>
      <c r="BB797" s="355">
        <v>0</v>
      </c>
    </row>
    <row r="798" spans="1:54" x14ac:dyDescent="0.25">
      <c r="A798" s="348" t="s">
        <v>741</v>
      </c>
      <c r="B798" s="436">
        <v>42</v>
      </c>
      <c r="C798" s="350" t="s">
        <v>713</v>
      </c>
      <c r="D798" s="434">
        <v>45099</v>
      </c>
      <c r="E798" s="352"/>
      <c r="F798" s="352">
        <v>6</v>
      </c>
      <c r="G798" s="348" t="s">
        <v>347</v>
      </c>
      <c r="H798" s="424" t="s">
        <v>745</v>
      </c>
      <c r="I798" s="350" t="s">
        <v>393</v>
      </c>
      <c r="J798" s="375">
        <v>409139</v>
      </c>
      <c r="K798" s="350" t="s">
        <v>394</v>
      </c>
      <c r="L798" s="354">
        <v>2802.3999950000002</v>
      </c>
      <c r="M798" s="375">
        <f t="shared" si="880"/>
        <v>145.99593231871953</v>
      </c>
      <c r="N798" s="354" t="s">
        <v>395</v>
      </c>
      <c r="O798" s="354">
        <v>0</v>
      </c>
      <c r="P798" s="374"/>
      <c r="Q798" s="354">
        <v>0</v>
      </c>
      <c r="R798" s="354">
        <v>0</v>
      </c>
      <c r="S798" s="354">
        <v>0</v>
      </c>
      <c r="T798" s="354">
        <v>0</v>
      </c>
      <c r="U798" s="374"/>
      <c r="V798" s="354">
        <v>0</v>
      </c>
      <c r="W798" s="354">
        <v>0</v>
      </c>
      <c r="X798" s="354">
        <v>0</v>
      </c>
      <c r="Y798" s="374"/>
      <c r="Z798" s="354">
        <v>0</v>
      </c>
      <c r="AA798" s="354">
        <v>0</v>
      </c>
      <c r="AB798" s="374"/>
      <c r="AC798" s="354">
        <v>0</v>
      </c>
      <c r="AD798" s="354">
        <v>0</v>
      </c>
      <c r="AE798" s="354">
        <v>0</v>
      </c>
      <c r="AF798" s="374"/>
      <c r="AG798" s="354">
        <v>0</v>
      </c>
      <c r="AH798" s="354">
        <v>0</v>
      </c>
      <c r="AI798" s="354">
        <v>0</v>
      </c>
      <c r="AJ798" s="354">
        <v>0</v>
      </c>
      <c r="AK798" s="374"/>
      <c r="AL798" s="354">
        <v>0</v>
      </c>
      <c r="AM798" s="354">
        <v>0</v>
      </c>
      <c r="AN798" s="354">
        <v>0</v>
      </c>
      <c r="AO798" s="374"/>
      <c r="AP798" s="354">
        <v>0</v>
      </c>
      <c r="AQ798" s="354">
        <v>0</v>
      </c>
      <c r="AR798" s="374"/>
      <c r="AS798" s="354">
        <v>0</v>
      </c>
      <c r="AT798" s="354">
        <v>0</v>
      </c>
      <c r="AU798" s="355" t="s">
        <v>396</v>
      </c>
      <c r="AV798" s="354" t="s">
        <v>397</v>
      </c>
      <c r="AW798" s="355">
        <v>0</v>
      </c>
      <c r="AX798" s="355">
        <v>0</v>
      </c>
      <c r="AY798" s="355">
        <v>0</v>
      </c>
      <c r="AZ798" s="355">
        <v>0</v>
      </c>
      <c r="BA798" s="355">
        <v>0</v>
      </c>
      <c r="BB798" s="355">
        <v>0</v>
      </c>
    </row>
    <row r="799" spans="1:54" ht="30" x14ac:dyDescent="0.25">
      <c r="A799" s="348" t="s">
        <v>741</v>
      </c>
      <c r="B799" s="349">
        <v>43</v>
      </c>
      <c r="C799" s="350" t="s">
        <v>713</v>
      </c>
      <c r="D799" s="434">
        <v>45099</v>
      </c>
      <c r="E799" s="352"/>
      <c r="F799" s="352">
        <v>6</v>
      </c>
      <c r="G799" s="348" t="s">
        <v>347</v>
      </c>
      <c r="H799" s="424" t="s">
        <v>352</v>
      </c>
      <c r="I799" s="350" t="s">
        <v>393</v>
      </c>
      <c r="J799" s="375">
        <f>13*30000</f>
        <v>390000</v>
      </c>
      <c r="K799" s="350" t="s">
        <v>394</v>
      </c>
      <c r="L799" s="354">
        <v>2802.3999950000002</v>
      </c>
      <c r="M799" s="375">
        <f t="shared" si="880"/>
        <v>139.16642902363407</v>
      </c>
      <c r="N799" s="354" t="s">
        <v>395</v>
      </c>
      <c r="O799" s="354">
        <v>0</v>
      </c>
      <c r="P799" s="374"/>
      <c r="Q799" s="354">
        <v>0</v>
      </c>
      <c r="R799" s="354">
        <v>0</v>
      </c>
      <c r="S799" s="354">
        <v>0</v>
      </c>
      <c r="T799" s="354">
        <v>0</v>
      </c>
      <c r="U799" s="374"/>
      <c r="V799" s="354">
        <v>0</v>
      </c>
      <c r="W799" s="354">
        <v>0</v>
      </c>
      <c r="X799" s="354">
        <v>0</v>
      </c>
      <c r="Y799" s="374"/>
      <c r="Z799" s="354">
        <v>0</v>
      </c>
      <c r="AA799" s="354">
        <v>0</v>
      </c>
      <c r="AB799" s="374"/>
      <c r="AC799" s="354">
        <v>0</v>
      </c>
      <c r="AD799" s="354">
        <v>0</v>
      </c>
      <c r="AE799" s="354">
        <v>0</v>
      </c>
      <c r="AF799" s="374"/>
      <c r="AG799" s="354">
        <v>0</v>
      </c>
      <c r="AH799" s="354">
        <v>0</v>
      </c>
      <c r="AI799" s="354">
        <v>0</v>
      </c>
      <c r="AJ799" s="354">
        <v>0</v>
      </c>
      <c r="AK799" s="374"/>
      <c r="AL799" s="354">
        <v>0</v>
      </c>
      <c r="AM799" s="354">
        <v>0</v>
      </c>
      <c r="AN799" s="354">
        <v>0</v>
      </c>
      <c r="AO799" s="374"/>
      <c r="AP799" s="354">
        <v>0</v>
      </c>
      <c r="AQ799" s="354">
        <v>0</v>
      </c>
      <c r="AR799" s="374"/>
      <c r="AS799" s="354">
        <v>0</v>
      </c>
      <c r="AT799" s="354">
        <v>0</v>
      </c>
      <c r="AU799" s="355" t="s">
        <v>396</v>
      </c>
      <c r="AV799" s="354" t="s">
        <v>397</v>
      </c>
      <c r="AW799" s="355">
        <v>0</v>
      </c>
      <c r="AX799" s="355">
        <v>0</v>
      </c>
      <c r="AY799" s="355">
        <v>0</v>
      </c>
      <c r="AZ799" s="355">
        <v>0</v>
      </c>
      <c r="BA799" s="355">
        <v>0</v>
      </c>
      <c r="BB799" s="355">
        <v>0</v>
      </c>
    </row>
    <row r="800" spans="1:54" x14ac:dyDescent="0.25">
      <c r="A800" s="348" t="s">
        <v>741</v>
      </c>
      <c r="B800" s="349">
        <v>44</v>
      </c>
      <c r="C800" s="350" t="s">
        <v>713</v>
      </c>
      <c r="D800" s="434">
        <v>45099</v>
      </c>
      <c r="E800" s="352"/>
      <c r="F800" s="352">
        <v>6</v>
      </c>
      <c r="G800" s="348" t="s">
        <v>347</v>
      </c>
      <c r="H800" s="424" t="s">
        <v>746</v>
      </c>
      <c r="I800" s="350" t="s">
        <v>393</v>
      </c>
      <c r="J800" s="375">
        <f>4900+11800</f>
        <v>16700</v>
      </c>
      <c r="K800" s="350" t="s">
        <v>394</v>
      </c>
      <c r="L800" s="354">
        <v>2802.3999950000002</v>
      </c>
      <c r="M800" s="375">
        <f t="shared" si="880"/>
        <v>5.9591778581915102</v>
      </c>
      <c r="N800" s="354" t="s">
        <v>395</v>
      </c>
      <c r="O800" s="354">
        <v>0</v>
      </c>
      <c r="P800" s="374"/>
      <c r="Q800" s="354">
        <v>0</v>
      </c>
      <c r="R800" s="354">
        <v>0</v>
      </c>
      <c r="S800" s="354">
        <v>0</v>
      </c>
      <c r="T800" s="354">
        <v>0</v>
      </c>
      <c r="U800" s="374"/>
      <c r="V800" s="354">
        <v>0</v>
      </c>
      <c r="W800" s="354">
        <v>0</v>
      </c>
      <c r="X800" s="354">
        <v>0</v>
      </c>
      <c r="Y800" s="374"/>
      <c r="Z800" s="354">
        <v>0</v>
      </c>
      <c r="AA800" s="354">
        <v>0</v>
      </c>
      <c r="AB800" s="374"/>
      <c r="AC800" s="354">
        <v>0</v>
      </c>
      <c r="AD800" s="354">
        <v>0</v>
      </c>
      <c r="AE800" s="354">
        <v>0</v>
      </c>
      <c r="AF800" s="374"/>
      <c r="AG800" s="354">
        <v>0</v>
      </c>
      <c r="AH800" s="354">
        <v>0</v>
      </c>
      <c r="AI800" s="354">
        <v>0</v>
      </c>
      <c r="AJ800" s="354">
        <v>0</v>
      </c>
      <c r="AK800" s="374"/>
      <c r="AL800" s="354">
        <v>0</v>
      </c>
      <c r="AM800" s="354">
        <v>0</v>
      </c>
      <c r="AN800" s="354">
        <v>0</v>
      </c>
      <c r="AO800" s="374"/>
      <c r="AP800" s="354">
        <v>0</v>
      </c>
      <c r="AQ800" s="354">
        <v>0</v>
      </c>
      <c r="AR800" s="374"/>
      <c r="AS800" s="354">
        <v>0</v>
      </c>
      <c r="AT800" s="354">
        <v>0</v>
      </c>
      <c r="AU800" s="355" t="s">
        <v>396</v>
      </c>
      <c r="AV800" s="354" t="s">
        <v>397</v>
      </c>
      <c r="AW800" s="355">
        <v>0</v>
      </c>
      <c r="AX800" s="355">
        <v>0</v>
      </c>
      <c r="AY800" s="355">
        <v>0</v>
      </c>
      <c r="AZ800" s="355">
        <v>0</v>
      </c>
      <c r="BA800" s="355">
        <v>0</v>
      </c>
      <c r="BB800" s="355">
        <v>0</v>
      </c>
    </row>
    <row r="801" spans="1:54" x14ac:dyDescent="0.25">
      <c r="A801" s="348" t="s">
        <v>747</v>
      </c>
      <c r="B801" s="436">
        <v>45</v>
      </c>
      <c r="C801" s="350" t="s">
        <v>713</v>
      </c>
      <c r="D801" s="434">
        <v>45107</v>
      </c>
      <c r="E801" s="352"/>
      <c r="F801" s="352">
        <v>6</v>
      </c>
      <c r="G801" s="348" t="s">
        <v>347</v>
      </c>
      <c r="H801" s="424" t="s">
        <v>748</v>
      </c>
      <c r="I801" s="350" t="s">
        <v>393</v>
      </c>
      <c r="J801" s="375">
        <v>300000</v>
      </c>
      <c r="K801" s="350" t="s">
        <v>394</v>
      </c>
      <c r="L801" s="354">
        <v>2802.3999950000002</v>
      </c>
      <c r="M801" s="375">
        <f t="shared" si="880"/>
        <v>107.05109924894928</v>
      </c>
      <c r="N801" s="354" t="s">
        <v>395</v>
      </c>
      <c r="O801" s="354">
        <v>0</v>
      </c>
      <c r="P801" s="374"/>
      <c r="Q801" s="354">
        <v>0</v>
      </c>
      <c r="R801" s="354">
        <v>0</v>
      </c>
      <c r="S801" s="354">
        <v>0</v>
      </c>
      <c r="T801" s="354">
        <v>0</v>
      </c>
      <c r="U801" s="374"/>
      <c r="V801" s="354">
        <v>0</v>
      </c>
      <c r="W801" s="354">
        <v>0</v>
      </c>
      <c r="X801" s="354">
        <v>0</v>
      </c>
      <c r="Y801" s="374"/>
      <c r="Z801" s="354">
        <v>0</v>
      </c>
      <c r="AA801" s="354">
        <v>0</v>
      </c>
      <c r="AB801" s="374"/>
      <c r="AC801" s="354">
        <v>0</v>
      </c>
      <c r="AD801" s="354">
        <v>0</v>
      </c>
      <c r="AE801" s="354">
        <v>0</v>
      </c>
      <c r="AF801" s="374"/>
      <c r="AG801" s="354">
        <v>0</v>
      </c>
      <c r="AH801" s="354">
        <v>0</v>
      </c>
      <c r="AI801" s="354">
        <v>0</v>
      </c>
      <c r="AJ801" s="354">
        <v>0</v>
      </c>
      <c r="AK801" s="374"/>
      <c r="AL801" s="354">
        <v>0</v>
      </c>
      <c r="AM801" s="354">
        <v>0</v>
      </c>
      <c r="AN801" s="354">
        <v>0</v>
      </c>
      <c r="AO801" s="374"/>
      <c r="AP801" s="354">
        <v>0</v>
      </c>
      <c r="AQ801" s="354">
        <v>0</v>
      </c>
      <c r="AR801" s="374"/>
      <c r="AS801" s="354">
        <v>0</v>
      </c>
      <c r="AT801" s="354">
        <v>0</v>
      </c>
      <c r="AU801" s="355" t="s">
        <v>396</v>
      </c>
      <c r="AV801" s="354" t="s">
        <v>397</v>
      </c>
      <c r="AW801" s="355">
        <v>0</v>
      </c>
      <c r="AX801" s="355">
        <v>0</v>
      </c>
      <c r="AY801" s="355">
        <v>0</v>
      </c>
      <c r="AZ801" s="355">
        <v>0</v>
      </c>
      <c r="BA801" s="355">
        <v>0</v>
      </c>
      <c r="BB801" s="355">
        <v>0</v>
      </c>
    </row>
    <row r="802" spans="1:54" x14ac:dyDescent="0.25">
      <c r="A802" s="348" t="s">
        <v>747</v>
      </c>
      <c r="B802" s="436">
        <v>45</v>
      </c>
      <c r="C802" s="350" t="s">
        <v>713</v>
      </c>
      <c r="D802" s="434">
        <v>45107</v>
      </c>
      <c r="E802" s="352"/>
      <c r="F802" s="352">
        <v>6</v>
      </c>
      <c r="G802" s="348" t="s">
        <v>347</v>
      </c>
      <c r="H802" s="424" t="s">
        <v>749</v>
      </c>
      <c r="I802" s="350" t="s">
        <v>393</v>
      </c>
      <c r="J802" s="375">
        <v>500000</v>
      </c>
      <c r="K802" s="350" t="s">
        <v>394</v>
      </c>
      <c r="L802" s="354">
        <v>2802.3999950000002</v>
      </c>
      <c r="M802" s="375">
        <f t="shared" si="880"/>
        <v>178.41849874824879</v>
      </c>
      <c r="N802" s="354" t="s">
        <v>395</v>
      </c>
      <c r="O802" s="354">
        <v>0</v>
      </c>
      <c r="P802" s="374"/>
      <c r="Q802" s="354">
        <v>0</v>
      </c>
      <c r="R802" s="354">
        <v>0</v>
      </c>
      <c r="S802" s="354">
        <v>0</v>
      </c>
      <c r="T802" s="354">
        <v>0</v>
      </c>
      <c r="U802" s="374"/>
      <c r="V802" s="354">
        <v>0</v>
      </c>
      <c r="W802" s="354">
        <v>0</v>
      </c>
      <c r="X802" s="354">
        <v>0</v>
      </c>
      <c r="Y802" s="374"/>
      <c r="Z802" s="354">
        <v>0</v>
      </c>
      <c r="AA802" s="354">
        <v>0</v>
      </c>
      <c r="AB802" s="374"/>
      <c r="AC802" s="354">
        <v>0</v>
      </c>
      <c r="AD802" s="354">
        <v>0</v>
      </c>
      <c r="AE802" s="354">
        <v>0</v>
      </c>
      <c r="AF802" s="374"/>
      <c r="AG802" s="354">
        <v>0</v>
      </c>
      <c r="AH802" s="354">
        <v>0</v>
      </c>
      <c r="AI802" s="354">
        <v>0</v>
      </c>
      <c r="AJ802" s="354">
        <v>0</v>
      </c>
      <c r="AK802" s="374"/>
      <c r="AL802" s="354">
        <v>0</v>
      </c>
      <c r="AM802" s="354">
        <v>0</v>
      </c>
      <c r="AN802" s="354">
        <v>0</v>
      </c>
      <c r="AO802" s="374"/>
      <c r="AP802" s="354">
        <v>0</v>
      </c>
      <c r="AQ802" s="354">
        <v>0</v>
      </c>
      <c r="AR802" s="374"/>
      <c r="AS802" s="354">
        <v>0</v>
      </c>
      <c r="AT802" s="354">
        <v>0</v>
      </c>
      <c r="AU802" s="355" t="s">
        <v>396</v>
      </c>
      <c r="AV802" s="354" t="s">
        <v>397</v>
      </c>
      <c r="AW802" s="355">
        <v>0</v>
      </c>
      <c r="AX802" s="355">
        <v>0</v>
      </c>
      <c r="AY802" s="355">
        <v>0</v>
      </c>
      <c r="AZ802" s="355">
        <v>0</v>
      </c>
      <c r="BA802" s="355">
        <v>0</v>
      </c>
      <c r="BB802" s="355">
        <v>0</v>
      </c>
    </row>
    <row r="803" spans="1:54" x14ac:dyDescent="0.25">
      <c r="A803" s="348" t="s">
        <v>747</v>
      </c>
      <c r="B803" s="436">
        <v>45</v>
      </c>
      <c r="C803" s="350" t="s">
        <v>713</v>
      </c>
      <c r="D803" s="434">
        <v>45107</v>
      </c>
      <c r="E803" s="352"/>
      <c r="F803" s="352">
        <v>6</v>
      </c>
      <c r="G803" s="348" t="s">
        <v>347</v>
      </c>
      <c r="H803" s="424" t="s">
        <v>750</v>
      </c>
      <c r="I803" s="350" t="s">
        <v>393</v>
      </c>
      <c r="J803" s="375">
        <v>500000</v>
      </c>
      <c r="K803" s="350" t="s">
        <v>394</v>
      </c>
      <c r="L803" s="354">
        <v>2802.3999950000002</v>
      </c>
      <c r="M803" s="375">
        <f t="shared" si="880"/>
        <v>178.41849874824879</v>
      </c>
      <c r="N803" s="354" t="s">
        <v>395</v>
      </c>
      <c r="O803" s="354">
        <v>0</v>
      </c>
      <c r="P803" s="374"/>
      <c r="Q803" s="354">
        <v>0</v>
      </c>
      <c r="R803" s="354">
        <v>0</v>
      </c>
      <c r="S803" s="354">
        <v>0</v>
      </c>
      <c r="T803" s="354">
        <v>0</v>
      </c>
      <c r="U803" s="374"/>
      <c r="V803" s="354">
        <v>0</v>
      </c>
      <c r="W803" s="354">
        <v>0</v>
      </c>
      <c r="X803" s="354">
        <v>0</v>
      </c>
      <c r="Y803" s="374"/>
      <c r="Z803" s="354">
        <v>0</v>
      </c>
      <c r="AA803" s="354">
        <v>0</v>
      </c>
      <c r="AB803" s="374"/>
      <c r="AC803" s="354">
        <v>0</v>
      </c>
      <c r="AD803" s="354">
        <v>0</v>
      </c>
      <c r="AE803" s="354">
        <v>0</v>
      </c>
      <c r="AF803" s="374"/>
      <c r="AG803" s="354">
        <v>0</v>
      </c>
      <c r="AH803" s="354">
        <v>0</v>
      </c>
      <c r="AI803" s="354">
        <v>0</v>
      </c>
      <c r="AJ803" s="354">
        <v>0</v>
      </c>
      <c r="AK803" s="374"/>
      <c r="AL803" s="354">
        <v>0</v>
      </c>
      <c r="AM803" s="354">
        <v>0</v>
      </c>
      <c r="AN803" s="354">
        <v>0</v>
      </c>
      <c r="AO803" s="374"/>
      <c r="AP803" s="354">
        <v>0</v>
      </c>
      <c r="AQ803" s="354">
        <v>0</v>
      </c>
      <c r="AR803" s="374"/>
      <c r="AS803" s="354">
        <v>0</v>
      </c>
      <c r="AT803" s="354">
        <v>0</v>
      </c>
      <c r="AU803" s="355" t="s">
        <v>396</v>
      </c>
      <c r="AV803" s="354" t="s">
        <v>397</v>
      </c>
      <c r="AW803" s="355">
        <v>0</v>
      </c>
      <c r="AX803" s="355">
        <v>0</v>
      </c>
      <c r="AY803" s="355">
        <v>0</v>
      </c>
      <c r="AZ803" s="355">
        <v>0</v>
      </c>
      <c r="BA803" s="355">
        <v>0</v>
      </c>
      <c r="BB803" s="355">
        <v>0</v>
      </c>
    </row>
    <row r="804" spans="1:54" x14ac:dyDescent="0.25">
      <c r="A804" s="348" t="s">
        <v>747</v>
      </c>
      <c r="B804" s="436">
        <v>45</v>
      </c>
      <c r="C804" s="350" t="s">
        <v>713</v>
      </c>
      <c r="D804" s="434">
        <v>45107</v>
      </c>
      <c r="E804" s="352"/>
      <c r="F804" s="352">
        <v>6</v>
      </c>
      <c r="G804" s="348" t="s">
        <v>347</v>
      </c>
      <c r="H804" s="424" t="s">
        <v>751</v>
      </c>
      <c r="I804" s="350" t="s">
        <v>393</v>
      </c>
      <c r="J804" s="375">
        <v>500000</v>
      </c>
      <c r="K804" s="350" t="s">
        <v>394</v>
      </c>
      <c r="L804" s="354">
        <v>2802.3999950000002</v>
      </c>
      <c r="M804" s="375">
        <f t="shared" si="880"/>
        <v>178.41849874824879</v>
      </c>
      <c r="N804" s="354" t="s">
        <v>395</v>
      </c>
      <c r="O804" s="354">
        <v>0</v>
      </c>
      <c r="P804" s="374"/>
      <c r="Q804" s="354">
        <v>0</v>
      </c>
      <c r="R804" s="354">
        <v>0</v>
      </c>
      <c r="S804" s="354">
        <v>0</v>
      </c>
      <c r="T804" s="354">
        <v>0</v>
      </c>
      <c r="U804" s="374"/>
      <c r="V804" s="354">
        <v>0</v>
      </c>
      <c r="W804" s="354">
        <v>0</v>
      </c>
      <c r="X804" s="354">
        <v>0</v>
      </c>
      <c r="Y804" s="374"/>
      <c r="Z804" s="354">
        <v>0</v>
      </c>
      <c r="AA804" s="354">
        <v>0</v>
      </c>
      <c r="AB804" s="374"/>
      <c r="AC804" s="354">
        <v>0</v>
      </c>
      <c r="AD804" s="354">
        <v>0</v>
      </c>
      <c r="AE804" s="354">
        <v>0</v>
      </c>
      <c r="AF804" s="374"/>
      <c r="AG804" s="354">
        <v>0</v>
      </c>
      <c r="AH804" s="354">
        <v>0</v>
      </c>
      <c r="AI804" s="354">
        <v>0</v>
      </c>
      <c r="AJ804" s="354">
        <v>0</v>
      </c>
      <c r="AK804" s="374"/>
      <c r="AL804" s="354">
        <v>0</v>
      </c>
      <c r="AM804" s="354">
        <v>0</v>
      </c>
      <c r="AN804" s="354">
        <v>0</v>
      </c>
      <c r="AO804" s="374"/>
      <c r="AP804" s="354">
        <v>0</v>
      </c>
      <c r="AQ804" s="354">
        <v>0</v>
      </c>
      <c r="AR804" s="374"/>
      <c r="AS804" s="354">
        <v>0</v>
      </c>
      <c r="AT804" s="354">
        <v>0</v>
      </c>
      <c r="AU804" s="355" t="s">
        <v>396</v>
      </c>
      <c r="AV804" s="354" t="s">
        <v>397</v>
      </c>
      <c r="AW804" s="355">
        <v>0</v>
      </c>
      <c r="AX804" s="355">
        <v>0</v>
      </c>
      <c r="AY804" s="355">
        <v>0</v>
      </c>
      <c r="AZ804" s="355">
        <v>0</v>
      </c>
      <c r="BA804" s="355">
        <v>0</v>
      </c>
      <c r="BB804" s="355">
        <v>0</v>
      </c>
    </row>
    <row r="805" spans="1:54" x14ac:dyDescent="0.25">
      <c r="A805" s="351" t="s">
        <v>801</v>
      </c>
      <c r="B805" s="349">
        <v>3</v>
      </c>
      <c r="C805" s="380">
        <v>45078</v>
      </c>
      <c r="D805" s="353" t="s">
        <v>808</v>
      </c>
      <c r="E805" s="352"/>
      <c r="F805" s="352">
        <v>6</v>
      </c>
      <c r="G805" s="348" t="s">
        <v>347</v>
      </c>
      <c r="H805" s="350" t="s">
        <v>802</v>
      </c>
      <c r="I805" s="350"/>
      <c r="J805" s="375">
        <f>5000+5000+5000+5000+5000+5000+5000+5000+5000+5000+5000+5000+5000</f>
        <v>65000</v>
      </c>
      <c r="K805" s="350" t="s">
        <v>394</v>
      </c>
      <c r="L805" s="354">
        <v>2803.6597999999999</v>
      </c>
      <c r="M805" s="375">
        <f>J805/L805</f>
        <v>23.183982593037857</v>
      </c>
      <c r="N805" s="354" t="s">
        <v>395</v>
      </c>
      <c r="O805" s="354">
        <v>0</v>
      </c>
      <c r="P805" s="374"/>
      <c r="Q805" s="354">
        <v>0</v>
      </c>
      <c r="R805" s="354">
        <v>0</v>
      </c>
      <c r="S805" s="354">
        <v>0</v>
      </c>
      <c r="T805" s="354">
        <v>0</v>
      </c>
      <c r="U805" s="374"/>
      <c r="V805" s="354">
        <v>0</v>
      </c>
      <c r="W805" s="354">
        <v>0</v>
      </c>
      <c r="X805" s="354">
        <v>0</v>
      </c>
      <c r="Y805" s="374"/>
      <c r="Z805" s="354">
        <v>0</v>
      </c>
      <c r="AA805" s="354">
        <v>0</v>
      </c>
      <c r="AB805" s="374"/>
      <c r="AC805" s="354">
        <v>0</v>
      </c>
      <c r="AD805" s="354">
        <v>0</v>
      </c>
      <c r="AE805" s="354">
        <v>0</v>
      </c>
      <c r="AF805" s="374"/>
      <c r="AG805" s="354">
        <v>0</v>
      </c>
      <c r="AH805" s="354">
        <v>0</v>
      </c>
      <c r="AI805" s="354">
        <v>0</v>
      </c>
      <c r="AJ805" s="354">
        <v>0</v>
      </c>
      <c r="AK805" s="374"/>
      <c r="AL805" s="354">
        <v>0</v>
      </c>
      <c r="AM805" s="354">
        <v>0</v>
      </c>
      <c r="AN805" s="354">
        <v>0</v>
      </c>
      <c r="AO805" s="374"/>
      <c r="AP805" s="354">
        <v>0</v>
      </c>
      <c r="AQ805" s="354">
        <v>0</v>
      </c>
      <c r="AR805" s="374"/>
      <c r="AS805" s="354">
        <v>0</v>
      </c>
      <c r="AT805" s="354">
        <v>0</v>
      </c>
      <c r="AU805" s="355" t="s">
        <v>396</v>
      </c>
      <c r="AV805" s="354" t="s">
        <v>346</v>
      </c>
      <c r="AW805" s="355">
        <v>0</v>
      </c>
      <c r="AX805" s="355">
        <v>0</v>
      </c>
      <c r="AY805" s="355">
        <v>0</v>
      </c>
      <c r="AZ805" s="355">
        <v>0</v>
      </c>
      <c r="BA805" s="355">
        <v>0</v>
      </c>
      <c r="BB805" s="355">
        <v>0</v>
      </c>
    </row>
    <row r="806" spans="1:54" x14ac:dyDescent="0.25">
      <c r="A806" s="351" t="s">
        <v>803</v>
      </c>
      <c r="B806" s="349">
        <v>3</v>
      </c>
      <c r="C806" s="380">
        <v>45078</v>
      </c>
      <c r="D806" s="353" t="s">
        <v>808</v>
      </c>
      <c r="E806" s="352"/>
      <c r="F806" s="352">
        <v>6</v>
      </c>
      <c r="G806" s="348" t="s">
        <v>347</v>
      </c>
      <c r="H806" s="350" t="s">
        <v>804</v>
      </c>
      <c r="I806" s="350"/>
      <c r="J806" s="375">
        <f>40000+40000+40000+40000+40000+40000+40000+40000+40000+40000+40000+40000+40000</f>
        <v>520000</v>
      </c>
      <c r="K806" s="350" t="s">
        <v>394</v>
      </c>
      <c r="L806" s="354">
        <v>2803.6597999999999</v>
      </c>
      <c r="M806" s="375">
        <f t="shared" ref="M806:M809" si="881">J806/L806</f>
        <v>185.47186074430286</v>
      </c>
      <c r="N806" s="354" t="s">
        <v>395</v>
      </c>
      <c r="O806" s="354">
        <v>0</v>
      </c>
      <c r="P806" s="374"/>
      <c r="Q806" s="354">
        <v>0</v>
      </c>
      <c r="R806" s="354">
        <v>0</v>
      </c>
      <c r="S806" s="354">
        <v>0</v>
      </c>
      <c r="T806" s="354">
        <v>0</v>
      </c>
      <c r="U806" s="374"/>
      <c r="V806" s="354">
        <v>0</v>
      </c>
      <c r="W806" s="354">
        <v>0</v>
      </c>
      <c r="X806" s="354">
        <v>0</v>
      </c>
      <c r="Y806" s="374"/>
      <c r="Z806" s="354">
        <v>0</v>
      </c>
      <c r="AA806" s="354">
        <v>0</v>
      </c>
      <c r="AB806" s="374"/>
      <c r="AC806" s="354">
        <v>0</v>
      </c>
      <c r="AD806" s="354">
        <v>0</v>
      </c>
      <c r="AE806" s="354">
        <v>0</v>
      </c>
      <c r="AF806" s="374"/>
      <c r="AG806" s="354">
        <v>0</v>
      </c>
      <c r="AH806" s="354">
        <v>0</v>
      </c>
      <c r="AI806" s="354">
        <v>0</v>
      </c>
      <c r="AJ806" s="354">
        <v>0</v>
      </c>
      <c r="AK806" s="374"/>
      <c r="AL806" s="354">
        <v>0</v>
      </c>
      <c r="AM806" s="354">
        <v>0</v>
      </c>
      <c r="AN806" s="354">
        <v>0</v>
      </c>
      <c r="AO806" s="374"/>
      <c r="AP806" s="354">
        <v>0</v>
      </c>
      <c r="AQ806" s="354">
        <v>0</v>
      </c>
      <c r="AR806" s="374"/>
      <c r="AS806" s="354">
        <v>0</v>
      </c>
      <c r="AT806" s="354">
        <v>0</v>
      </c>
      <c r="AU806" s="355" t="s">
        <v>396</v>
      </c>
      <c r="AV806" s="354" t="s">
        <v>346</v>
      </c>
      <c r="AW806" s="355">
        <v>0</v>
      </c>
      <c r="AX806" s="355">
        <v>0</v>
      </c>
      <c r="AY806" s="355">
        <v>0</v>
      </c>
      <c r="AZ806" s="355">
        <v>0</v>
      </c>
      <c r="BA806" s="355">
        <v>0</v>
      </c>
      <c r="BB806" s="355">
        <v>0</v>
      </c>
    </row>
    <row r="807" spans="1:54" x14ac:dyDescent="0.25">
      <c r="A807" s="351" t="s">
        <v>805</v>
      </c>
      <c r="B807" s="349">
        <v>3</v>
      </c>
      <c r="C807" s="380">
        <v>45078</v>
      </c>
      <c r="D807" s="353" t="s">
        <v>808</v>
      </c>
      <c r="E807" s="352"/>
      <c r="F807" s="352">
        <v>6</v>
      </c>
      <c r="G807" s="348" t="s">
        <v>347</v>
      </c>
      <c r="H807" s="350" t="s">
        <v>806</v>
      </c>
      <c r="I807" s="350"/>
      <c r="J807" s="375">
        <f>640000+660000+260000</f>
        <v>1560000</v>
      </c>
      <c r="K807" s="350" t="s">
        <v>394</v>
      </c>
      <c r="L807" s="354">
        <v>2803.6597999999999</v>
      </c>
      <c r="M807" s="375">
        <f t="shared" si="881"/>
        <v>556.4155822329086</v>
      </c>
      <c r="N807" s="354" t="s">
        <v>395</v>
      </c>
      <c r="O807" s="354">
        <v>0</v>
      </c>
      <c r="P807" s="374"/>
      <c r="Q807" s="354">
        <v>0</v>
      </c>
      <c r="R807" s="354">
        <v>0</v>
      </c>
      <c r="S807" s="354">
        <v>0</v>
      </c>
      <c r="T807" s="354">
        <v>0</v>
      </c>
      <c r="U807" s="374"/>
      <c r="V807" s="354">
        <v>0</v>
      </c>
      <c r="W807" s="354">
        <v>0</v>
      </c>
      <c r="X807" s="354">
        <v>0</v>
      </c>
      <c r="Y807" s="374"/>
      <c r="Z807" s="354">
        <v>0</v>
      </c>
      <c r="AA807" s="354">
        <v>0</v>
      </c>
      <c r="AB807" s="374"/>
      <c r="AC807" s="354">
        <v>0</v>
      </c>
      <c r="AD807" s="354">
        <v>0</v>
      </c>
      <c r="AE807" s="354">
        <v>0</v>
      </c>
      <c r="AF807" s="374"/>
      <c r="AG807" s="354">
        <v>0</v>
      </c>
      <c r="AH807" s="354">
        <v>0</v>
      </c>
      <c r="AI807" s="354">
        <v>0</v>
      </c>
      <c r="AJ807" s="354">
        <v>0</v>
      </c>
      <c r="AK807" s="374"/>
      <c r="AL807" s="354">
        <v>0</v>
      </c>
      <c r="AM807" s="354">
        <v>0</v>
      </c>
      <c r="AN807" s="354">
        <v>0</v>
      </c>
      <c r="AO807" s="374"/>
      <c r="AP807" s="354">
        <v>0</v>
      </c>
      <c r="AQ807" s="354">
        <v>0</v>
      </c>
      <c r="AR807" s="374"/>
      <c r="AS807" s="354">
        <v>0</v>
      </c>
      <c r="AT807" s="354">
        <v>0</v>
      </c>
      <c r="AU807" s="355" t="s">
        <v>396</v>
      </c>
      <c r="AV807" s="354" t="s">
        <v>346</v>
      </c>
      <c r="AW807" s="355">
        <v>0</v>
      </c>
      <c r="AX807" s="355">
        <v>0</v>
      </c>
      <c r="AY807" s="355">
        <v>0</v>
      </c>
      <c r="AZ807" s="355">
        <v>0</v>
      </c>
      <c r="BA807" s="355">
        <v>0</v>
      </c>
      <c r="BB807" s="355">
        <v>0</v>
      </c>
    </row>
    <row r="808" spans="1:54" x14ac:dyDescent="0.25">
      <c r="A808" s="351" t="s">
        <v>805</v>
      </c>
      <c r="B808" s="349">
        <v>3</v>
      </c>
      <c r="C808" s="380">
        <v>45078</v>
      </c>
      <c r="D808" s="353" t="s">
        <v>808</v>
      </c>
      <c r="E808" s="352"/>
      <c r="F808" s="352">
        <v>6</v>
      </c>
      <c r="G808" s="348" t="s">
        <v>347</v>
      </c>
      <c r="H808" s="350" t="s">
        <v>807</v>
      </c>
      <c r="I808" s="350"/>
      <c r="J808" s="375">
        <f>40000+30000</f>
        <v>70000</v>
      </c>
      <c r="K808" s="350" t="s">
        <v>394</v>
      </c>
      <c r="L808" s="354">
        <v>2803.6597999999999</v>
      </c>
      <c r="M808" s="375">
        <f t="shared" si="881"/>
        <v>24.967365869425386</v>
      </c>
      <c r="N808" s="354" t="s">
        <v>395</v>
      </c>
      <c r="O808" s="354">
        <v>0</v>
      </c>
      <c r="P808" s="374"/>
      <c r="Q808" s="354">
        <v>0</v>
      </c>
      <c r="R808" s="354">
        <v>0</v>
      </c>
      <c r="S808" s="354">
        <v>0</v>
      </c>
      <c r="T808" s="354">
        <v>0</v>
      </c>
      <c r="U808" s="374"/>
      <c r="V808" s="354">
        <v>0</v>
      </c>
      <c r="W808" s="354">
        <v>0</v>
      </c>
      <c r="X808" s="354">
        <v>0</v>
      </c>
      <c r="Y808" s="374"/>
      <c r="Z808" s="354">
        <v>0</v>
      </c>
      <c r="AA808" s="354">
        <v>0</v>
      </c>
      <c r="AB808" s="374"/>
      <c r="AC808" s="354">
        <v>0</v>
      </c>
      <c r="AD808" s="354">
        <v>0</v>
      </c>
      <c r="AE808" s="354">
        <v>0</v>
      </c>
      <c r="AF808" s="374"/>
      <c r="AG808" s="354">
        <v>0</v>
      </c>
      <c r="AH808" s="354">
        <v>0</v>
      </c>
      <c r="AI808" s="354">
        <v>0</v>
      </c>
      <c r="AJ808" s="354">
        <v>0</v>
      </c>
      <c r="AK808" s="374"/>
      <c r="AL808" s="354">
        <v>0</v>
      </c>
      <c r="AM808" s="354">
        <v>0</v>
      </c>
      <c r="AN808" s="354">
        <v>0</v>
      </c>
      <c r="AO808" s="374"/>
      <c r="AP808" s="354">
        <v>0</v>
      </c>
      <c r="AQ808" s="354">
        <v>0</v>
      </c>
      <c r="AR808" s="374"/>
      <c r="AS808" s="354">
        <v>0</v>
      </c>
      <c r="AT808" s="354">
        <v>0</v>
      </c>
      <c r="AU808" s="355" t="s">
        <v>396</v>
      </c>
      <c r="AV808" s="354" t="s">
        <v>346</v>
      </c>
      <c r="AW808" s="355">
        <v>0</v>
      </c>
      <c r="AX808" s="355">
        <v>0</v>
      </c>
      <c r="AY808" s="355">
        <v>0</v>
      </c>
      <c r="AZ808" s="355">
        <v>0</v>
      </c>
      <c r="BA808" s="355">
        <v>0</v>
      </c>
      <c r="BB808" s="355">
        <v>0</v>
      </c>
    </row>
    <row r="809" spans="1:54" x14ac:dyDescent="0.25">
      <c r="A809" s="348" t="s">
        <v>1351</v>
      </c>
      <c r="B809" s="349">
        <v>53</v>
      </c>
      <c r="C809" s="350" t="s">
        <v>1287</v>
      </c>
      <c r="D809" s="351">
        <v>45113</v>
      </c>
      <c r="E809" s="352"/>
      <c r="F809" s="352">
        <v>6</v>
      </c>
      <c r="G809" s="348" t="s">
        <v>347</v>
      </c>
      <c r="H809" s="424" t="s">
        <v>1352</v>
      </c>
      <c r="I809" s="350" t="s">
        <v>393</v>
      </c>
      <c r="J809" s="375">
        <v>200000</v>
      </c>
      <c r="K809" s="350" t="s">
        <v>394</v>
      </c>
      <c r="L809" s="354">
        <v>2802.3999950000002</v>
      </c>
      <c r="M809" s="375">
        <f t="shared" si="881"/>
        <v>71.367399499299523</v>
      </c>
      <c r="N809" s="354" t="s">
        <v>395</v>
      </c>
      <c r="O809" s="354">
        <v>0</v>
      </c>
      <c r="P809" s="374"/>
      <c r="Q809" s="354">
        <v>0</v>
      </c>
      <c r="R809" s="354">
        <v>0</v>
      </c>
      <c r="S809" s="354">
        <v>0</v>
      </c>
      <c r="T809" s="354">
        <v>0</v>
      </c>
      <c r="U809" s="374"/>
      <c r="V809" s="354">
        <v>0</v>
      </c>
      <c r="W809" s="354">
        <v>0</v>
      </c>
      <c r="X809" s="354">
        <v>0</v>
      </c>
      <c r="Y809" s="374"/>
      <c r="Z809" s="354">
        <v>0</v>
      </c>
      <c r="AA809" s="354">
        <v>0</v>
      </c>
      <c r="AB809" s="374"/>
      <c r="AC809" s="354">
        <v>0</v>
      </c>
      <c r="AD809" s="354">
        <v>0</v>
      </c>
      <c r="AE809" s="354">
        <v>0</v>
      </c>
      <c r="AF809" s="374"/>
      <c r="AG809" s="354">
        <v>0</v>
      </c>
      <c r="AH809" s="354">
        <v>0</v>
      </c>
      <c r="AI809" s="354">
        <v>0</v>
      </c>
      <c r="AJ809" s="354">
        <v>0</v>
      </c>
      <c r="AK809" s="374"/>
      <c r="AL809" s="354">
        <v>0</v>
      </c>
      <c r="AM809" s="354">
        <v>0</v>
      </c>
      <c r="AN809" s="354">
        <v>0</v>
      </c>
      <c r="AO809" s="374"/>
      <c r="AP809" s="354">
        <v>0</v>
      </c>
      <c r="AQ809" s="354">
        <v>0</v>
      </c>
      <c r="AR809" s="374"/>
      <c r="AS809" s="354">
        <v>0</v>
      </c>
      <c r="AT809" s="354">
        <v>0</v>
      </c>
      <c r="AU809" s="355" t="s">
        <v>396</v>
      </c>
      <c r="AV809" s="354" t="s">
        <v>397</v>
      </c>
      <c r="AW809" s="355">
        <v>0</v>
      </c>
      <c r="AX809" s="355">
        <v>0</v>
      </c>
      <c r="AY809" s="355">
        <v>0</v>
      </c>
      <c r="AZ809" s="355">
        <v>0</v>
      </c>
      <c r="BA809" s="355">
        <v>0</v>
      </c>
      <c r="BB809" s="355">
        <v>0</v>
      </c>
    </row>
    <row r="810" spans="1:54" ht="13.9" customHeight="1" x14ac:dyDescent="0.25">
      <c r="A810" s="422" t="s">
        <v>996</v>
      </c>
      <c r="B810" s="349">
        <v>23</v>
      </c>
      <c r="C810" s="350" t="s">
        <v>997</v>
      </c>
      <c r="D810" s="574" t="s">
        <v>998</v>
      </c>
      <c r="E810" s="352"/>
      <c r="F810" s="352">
        <v>6</v>
      </c>
      <c r="G810" s="348" t="s">
        <v>999</v>
      </c>
      <c r="H810" s="353" t="s">
        <v>351</v>
      </c>
      <c r="I810" s="350" t="s">
        <v>393</v>
      </c>
      <c r="J810" s="575">
        <f>400000+400000</f>
        <v>800000</v>
      </c>
      <c r="K810" s="350" t="s">
        <v>394</v>
      </c>
      <c r="L810" s="354">
        <v>2803.6597999999999</v>
      </c>
      <c r="M810" s="576">
        <f>J810/L810</f>
        <v>285.3413242220044</v>
      </c>
      <c r="N810" s="354" t="s">
        <v>395</v>
      </c>
      <c r="O810" s="354">
        <v>0</v>
      </c>
      <c r="P810" s="374"/>
      <c r="Q810" s="354">
        <v>0</v>
      </c>
      <c r="R810" s="354">
        <v>0</v>
      </c>
      <c r="S810" s="354">
        <v>0</v>
      </c>
      <c r="T810" s="354">
        <v>0</v>
      </c>
      <c r="U810" s="374"/>
      <c r="V810" s="354">
        <v>0</v>
      </c>
      <c r="W810" s="354">
        <v>0</v>
      </c>
      <c r="X810" s="354">
        <v>0</v>
      </c>
      <c r="Y810" s="374"/>
      <c r="Z810" s="354">
        <v>0</v>
      </c>
      <c r="AA810" s="354">
        <v>0</v>
      </c>
      <c r="AB810" s="374"/>
      <c r="AC810" s="376">
        <v>0</v>
      </c>
      <c r="AD810" s="376">
        <v>0</v>
      </c>
      <c r="AE810" s="376">
        <v>0</v>
      </c>
      <c r="AF810" s="374"/>
      <c r="AG810" s="376">
        <v>0</v>
      </c>
      <c r="AH810" s="376">
        <v>0</v>
      </c>
      <c r="AI810" s="376">
        <v>0</v>
      </c>
      <c r="AJ810" s="376">
        <v>0</v>
      </c>
      <c r="AK810" s="374"/>
      <c r="AL810" s="376">
        <v>0</v>
      </c>
      <c r="AM810" s="376">
        <v>0</v>
      </c>
      <c r="AN810" s="376">
        <v>0</v>
      </c>
      <c r="AO810" s="374"/>
      <c r="AP810" s="376">
        <v>0</v>
      </c>
      <c r="AQ810" s="376">
        <v>0</v>
      </c>
      <c r="AR810" s="374"/>
      <c r="AS810" s="376">
        <v>0</v>
      </c>
      <c r="AT810" s="376">
        <v>0</v>
      </c>
      <c r="AU810" s="355"/>
      <c r="AV810" s="354" t="s">
        <v>346</v>
      </c>
      <c r="AW810" s="355">
        <v>0</v>
      </c>
      <c r="AX810" s="355">
        <v>0</v>
      </c>
      <c r="AY810" s="355">
        <v>0</v>
      </c>
      <c r="AZ810" s="355">
        <v>0</v>
      </c>
      <c r="BA810" s="355">
        <v>0</v>
      </c>
      <c r="BB810" s="355">
        <v>0</v>
      </c>
    </row>
    <row r="811" spans="1:54" ht="13.9" customHeight="1" x14ac:dyDescent="0.25">
      <c r="A811" s="422" t="s">
        <v>1000</v>
      </c>
      <c r="B811" s="349">
        <v>23</v>
      </c>
      <c r="C811" s="350" t="s">
        <v>997</v>
      </c>
      <c r="D811" s="574" t="s">
        <v>1001</v>
      </c>
      <c r="E811" s="352"/>
      <c r="F811" s="352">
        <v>6</v>
      </c>
      <c r="G811" s="348" t="s">
        <v>999</v>
      </c>
      <c r="H811" s="353" t="s">
        <v>1002</v>
      </c>
      <c r="I811" s="350" t="s">
        <v>393</v>
      </c>
      <c r="J811" s="575">
        <f>331484+139600+56925+352300+173200</f>
        <v>1053509</v>
      </c>
      <c r="K811" s="350" t="s">
        <v>394</v>
      </c>
      <c r="L811" s="354">
        <v>2803.6597999999999</v>
      </c>
      <c r="M811" s="576">
        <f t="shared" ref="M811:M822" si="882">J811/L811</f>
        <v>375.76206642474955</v>
      </c>
      <c r="N811" s="354" t="s">
        <v>395</v>
      </c>
      <c r="O811" s="354">
        <v>0</v>
      </c>
      <c r="P811" s="374"/>
      <c r="Q811" s="354">
        <v>0</v>
      </c>
      <c r="R811" s="354">
        <v>0</v>
      </c>
      <c r="S811" s="354">
        <v>0</v>
      </c>
      <c r="T811" s="354">
        <v>0</v>
      </c>
      <c r="U811" s="374"/>
      <c r="V811" s="354">
        <v>0</v>
      </c>
      <c r="W811" s="354">
        <v>0</v>
      </c>
      <c r="X811" s="354">
        <v>0</v>
      </c>
      <c r="Y811" s="374"/>
      <c r="Z811" s="354">
        <v>0</v>
      </c>
      <c r="AA811" s="354">
        <v>0</v>
      </c>
      <c r="AB811" s="374"/>
      <c r="AC811" s="376">
        <v>0</v>
      </c>
      <c r="AD811" s="376">
        <v>0</v>
      </c>
      <c r="AE811" s="376">
        <v>0</v>
      </c>
      <c r="AF811" s="374"/>
      <c r="AG811" s="376">
        <v>0</v>
      </c>
      <c r="AH811" s="376">
        <v>0</v>
      </c>
      <c r="AI811" s="376">
        <v>0</v>
      </c>
      <c r="AJ811" s="376">
        <v>0</v>
      </c>
      <c r="AK811" s="374"/>
      <c r="AL811" s="376">
        <v>0</v>
      </c>
      <c r="AM811" s="376">
        <v>0</v>
      </c>
      <c r="AN811" s="376">
        <v>0</v>
      </c>
      <c r="AO811" s="374"/>
      <c r="AP811" s="376">
        <v>0</v>
      </c>
      <c r="AQ811" s="376">
        <v>0</v>
      </c>
      <c r="AR811" s="374"/>
      <c r="AS811" s="376">
        <v>0</v>
      </c>
      <c r="AT811" s="376">
        <v>0</v>
      </c>
      <c r="AU811" s="355"/>
      <c r="AV811" s="354" t="s">
        <v>346</v>
      </c>
      <c r="AW811" s="355">
        <v>0</v>
      </c>
      <c r="AX811" s="355">
        <v>0</v>
      </c>
      <c r="AY811" s="355">
        <v>0</v>
      </c>
      <c r="AZ811" s="355">
        <v>0</v>
      </c>
      <c r="BA811" s="355">
        <v>0</v>
      </c>
      <c r="BB811" s="355">
        <v>0</v>
      </c>
    </row>
    <row r="812" spans="1:54" ht="13.9" customHeight="1" x14ac:dyDescent="0.25">
      <c r="A812" s="422" t="s">
        <v>1003</v>
      </c>
      <c r="B812" s="349">
        <v>23</v>
      </c>
      <c r="C812" s="350" t="s">
        <v>997</v>
      </c>
      <c r="D812" s="574" t="s">
        <v>1001</v>
      </c>
      <c r="E812" s="352"/>
      <c r="F812" s="352">
        <v>6</v>
      </c>
      <c r="G812" s="348" t="s">
        <v>999</v>
      </c>
      <c r="H812" s="353" t="s">
        <v>1004</v>
      </c>
      <c r="I812" s="350" t="s">
        <v>393</v>
      </c>
      <c r="J812" s="575">
        <f>80000+80000+75000+80000+80000+80000</f>
        <v>475000</v>
      </c>
      <c r="K812" s="350" t="s">
        <v>394</v>
      </c>
      <c r="L812" s="354">
        <v>2803.6597999999999</v>
      </c>
      <c r="M812" s="576">
        <f t="shared" si="882"/>
        <v>169.42141125681511</v>
      </c>
      <c r="N812" s="354" t="s">
        <v>395</v>
      </c>
      <c r="O812" s="354">
        <v>0</v>
      </c>
      <c r="P812" s="374"/>
      <c r="Q812" s="354">
        <v>0</v>
      </c>
      <c r="R812" s="354">
        <v>0</v>
      </c>
      <c r="S812" s="354">
        <v>0</v>
      </c>
      <c r="T812" s="354">
        <v>0</v>
      </c>
      <c r="U812" s="374"/>
      <c r="V812" s="354">
        <v>0</v>
      </c>
      <c r="W812" s="354">
        <v>0</v>
      </c>
      <c r="X812" s="354">
        <v>0</v>
      </c>
      <c r="Y812" s="374"/>
      <c r="Z812" s="354">
        <v>0</v>
      </c>
      <c r="AA812" s="354">
        <v>0</v>
      </c>
      <c r="AB812" s="374"/>
      <c r="AC812" s="376">
        <v>0</v>
      </c>
      <c r="AD812" s="376">
        <v>0</v>
      </c>
      <c r="AE812" s="376">
        <v>0</v>
      </c>
      <c r="AF812" s="374"/>
      <c r="AG812" s="376">
        <v>0</v>
      </c>
      <c r="AH812" s="376">
        <v>0</v>
      </c>
      <c r="AI812" s="376">
        <v>0</v>
      </c>
      <c r="AJ812" s="376">
        <v>0</v>
      </c>
      <c r="AK812" s="374"/>
      <c r="AL812" s="376">
        <v>0</v>
      </c>
      <c r="AM812" s="376">
        <v>0</v>
      </c>
      <c r="AN812" s="376">
        <v>0</v>
      </c>
      <c r="AO812" s="374"/>
      <c r="AP812" s="376">
        <v>0</v>
      </c>
      <c r="AQ812" s="376">
        <v>0</v>
      </c>
      <c r="AR812" s="374"/>
      <c r="AS812" s="376">
        <v>0</v>
      </c>
      <c r="AT812" s="376">
        <v>0</v>
      </c>
      <c r="AU812" s="355"/>
      <c r="AV812" s="354" t="s">
        <v>346</v>
      </c>
      <c r="AW812" s="355">
        <v>0</v>
      </c>
      <c r="AX812" s="355">
        <v>0</v>
      </c>
      <c r="AY812" s="355">
        <v>0</v>
      </c>
      <c r="AZ812" s="355">
        <v>0</v>
      </c>
      <c r="BA812" s="355">
        <v>0</v>
      </c>
      <c r="BB812" s="355">
        <v>0</v>
      </c>
    </row>
    <row r="813" spans="1:54" ht="13.9" customHeight="1" x14ac:dyDescent="0.25">
      <c r="A813" s="422" t="s">
        <v>1005</v>
      </c>
      <c r="B813" s="349">
        <v>23</v>
      </c>
      <c r="C813" s="350" t="s">
        <v>997</v>
      </c>
      <c r="D813" s="574" t="s">
        <v>1001</v>
      </c>
      <c r="E813" s="352"/>
      <c r="F813" s="352">
        <v>6</v>
      </c>
      <c r="G813" s="348" t="s">
        <v>999</v>
      </c>
      <c r="H813" s="353" t="s">
        <v>1006</v>
      </c>
      <c r="I813" s="350" t="s">
        <v>393</v>
      </c>
      <c r="J813" s="575">
        <f>540000+360000+180000</f>
        <v>1080000</v>
      </c>
      <c r="K813" s="350" t="s">
        <v>394</v>
      </c>
      <c r="L813" s="354">
        <v>2803.6597999999999</v>
      </c>
      <c r="M813" s="576">
        <f t="shared" si="882"/>
        <v>385.21078769970597</v>
      </c>
      <c r="N813" s="354" t="s">
        <v>395</v>
      </c>
      <c r="O813" s="354">
        <v>0</v>
      </c>
      <c r="P813" s="374"/>
      <c r="Q813" s="354">
        <v>0</v>
      </c>
      <c r="R813" s="354">
        <v>0</v>
      </c>
      <c r="S813" s="354">
        <v>0</v>
      </c>
      <c r="T813" s="354">
        <v>0</v>
      </c>
      <c r="U813" s="374"/>
      <c r="V813" s="354">
        <v>0</v>
      </c>
      <c r="W813" s="354">
        <v>0</v>
      </c>
      <c r="X813" s="354">
        <v>0</v>
      </c>
      <c r="Y813" s="374"/>
      <c r="Z813" s="354">
        <v>0</v>
      </c>
      <c r="AA813" s="354">
        <v>0</v>
      </c>
      <c r="AB813" s="374"/>
      <c r="AC813" s="376">
        <v>0</v>
      </c>
      <c r="AD813" s="376">
        <v>0</v>
      </c>
      <c r="AE813" s="376">
        <v>0</v>
      </c>
      <c r="AF813" s="374"/>
      <c r="AG813" s="376">
        <v>0</v>
      </c>
      <c r="AH813" s="376">
        <v>0</v>
      </c>
      <c r="AI813" s="376">
        <v>0</v>
      </c>
      <c r="AJ813" s="376">
        <v>0</v>
      </c>
      <c r="AK813" s="374"/>
      <c r="AL813" s="376">
        <v>0</v>
      </c>
      <c r="AM813" s="376">
        <v>0</v>
      </c>
      <c r="AN813" s="376">
        <v>0</v>
      </c>
      <c r="AO813" s="374"/>
      <c r="AP813" s="376">
        <v>0</v>
      </c>
      <c r="AQ813" s="376">
        <v>0</v>
      </c>
      <c r="AR813" s="374"/>
      <c r="AS813" s="376">
        <v>0</v>
      </c>
      <c r="AT813" s="376">
        <v>0</v>
      </c>
      <c r="AU813" s="355"/>
      <c r="AV813" s="354" t="s">
        <v>346</v>
      </c>
      <c r="AW813" s="355">
        <v>0</v>
      </c>
      <c r="AX813" s="355">
        <v>0</v>
      </c>
      <c r="AY813" s="355">
        <v>0</v>
      </c>
      <c r="AZ813" s="355">
        <v>0</v>
      </c>
      <c r="BA813" s="355">
        <v>0</v>
      </c>
      <c r="BB813" s="355">
        <v>0</v>
      </c>
    </row>
    <row r="814" spans="1:54" ht="13.9" customHeight="1" x14ac:dyDescent="0.25">
      <c r="A814" s="422" t="s">
        <v>1007</v>
      </c>
      <c r="B814" s="349">
        <v>23</v>
      </c>
      <c r="C814" s="350" t="s">
        <v>997</v>
      </c>
      <c r="D814" s="574" t="s">
        <v>1001</v>
      </c>
      <c r="E814" s="352"/>
      <c r="F814" s="352">
        <v>6</v>
      </c>
      <c r="G814" s="348" t="s">
        <v>999</v>
      </c>
      <c r="H814" s="353" t="s">
        <v>1008</v>
      </c>
      <c r="I814" s="350" t="s">
        <v>393</v>
      </c>
      <c r="J814" s="575">
        <f>300000+240000+225000+300000+300000+300000</f>
        <v>1665000</v>
      </c>
      <c r="K814" s="350" t="s">
        <v>394</v>
      </c>
      <c r="L814" s="354">
        <v>2803.6597999999999</v>
      </c>
      <c r="M814" s="576">
        <f t="shared" si="882"/>
        <v>593.86663103704666</v>
      </c>
      <c r="N814" s="354" t="s">
        <v>395</v>
      </c>
      <c r="O814" s="354">
        <v>0</v>
      </c>
      <c r="P814" s="374"/>
      <c r="Q814" s="354">
        <v>0</v>
      </c>
      <c r="R814" s="354">
        <v>0</v>
      </c>
      <c r="S814" s="354">
        <v>0</v>
      </c>
      <c r="T814" s="354">
        <v>0</v>
      </c>
      <c r="U814" s="374"/>
      <c r="V814" s="354">
        <v>0</v>
      </c>
      <c r="W814" s="354">
        <v>0</v>
      </c>
      <c r="X814" s="354">
        <v>0</v>
      </c>
      <c r="Y814" s="374"/>
      <c r="Z814" s="354">
        <v>0</v>
      </c>
      <c r="AA814" s="354">
        <v>0</v>
      </c>
      <c r="AB814" s="374"/>
      <c r="AC814" s="376">
        <v>0</v>
      </c>
      <c r="AD814" s="376">
        <v>0</v>
      </c>
      <c r="AE814" s="376">
        <v>0</v>
      </c>
      <c r="AF814" s="374"/>
      <c r="AG814" s="376">
        <v>0</v>
      </c>
      <c r="AH814" s="376">
        <v>0</v>
      </c>
      <c r="AI814" s="376">
        <v>0</v>
      </c>
      <c r="AJ814" s="376">
        <v>0</v>
      </c>
      <c r="AK814" s="374"/>
      <c r="AL814" s="376">
        <v>0</v>
      </c>
      <c r="AM814" s="376">
        <v>0</v>
      </c>
      <c r="AN814" s="376">
        <v>0</v>
      </c>
      <c r="AO814" s="374"/>
      <c r="AP814" s="376">
        <v>0</v>
      </c>
      <c r="AQ814" s="376">
        <v>0</v>
      </c>
      <c r="AR814" s="374"/>
      <c r="AS814" s="376">
        <v>0</v>
      </c>
      <c r="AT814" s="376">
        <v>0</v>
      </c>
      <c r="AU814" s="355"/>
      <c r="AV814" s="354" t="s">
        <v>346</v>
      </c>
      <c r="AW814" s="355">
        <v>0</v>
      </c>
      <c r="AX814" s="355">
        <v>0</v>
      </c>
      <c r="AY814" s="355">
        <v>0</v>
      </c>
      <c r="AZ814" s="355">
        <v>0</v>
      </c>
      <c r="BA814" s="355">
        <v>0</v>
      </c>
      <c r="BB814" s="355">
        <v>0</v>
      </c>
    </row>
    <row r="815" spans="1:54" ht="13.9" customHeight="1" x14ac:dyDescent="0.25">
      <c r="A815" s="422" t="s">
        <v>1009</v>
      </c>
      <c r="B815" s="349">
        <v>23</v>
      </c>
      <c r="C815" s="350" t="s">
        <v>997</v>
      </c>
      <c r="D815" s="574" t="s">
        <v>1001</v>
      </c>
      <c r="E815" s="352"/>
      <c r="F815" s="352">
        <v>6</v>
      </c>
      <c r="G815" s="348" t="s">
        <v>999</v>
      </c>
      <c r="H815" s="353" t="s">
        <v>1010</v>
      </c>
      <c r="I815" s="350" t="s">
        <v>393</v>
      </c>
      <c r="J815" s="575">
        <f>20000+20000+20000+20000+20000+20000</f>
        <v>120000</v>
      </c>
      <c r="K815" s="350" t="s">
        <v>394</v>
      </c>
      <c r="L815" s="354">
        <v>2803.6597999999999</v>
      </c>
      <c r="M815" s="576">
        <f t="shared" si="882"/>
        <v>42.801198633300658</v>
      </c>
      <c r="N815" s="354" t="s">
        <v>395</v>
      </c>
      <c r="O815" s="354">
        <v>0</v>
      </c>
      <c r="P815" s="374"/>
      <c r="Q815" s="354">
        <v>0</v>
      </c>
      <c r="R815" s="354">
        <v>0</v>
      </c>
      <c r="S815" s="354">
        <v>0</v>
      </c>
      <c r="T815" s="354">
        <v>0</v>
      </c>
      <c r="U815" s="374"/>
      <c r="V815" s="354">
        <v>0</v>
      </c>
      <c r="W815" s="354">
        <v>0</v>
      </c>
      <c r="X815" s="354">
        <v>0</v>
      </c>
      <c r="Y815" s="374"/>
      <c r="Z815" s="354">
        <v>0</v>
      </c>
      <c r="AA815" s="354">
        <v>0</v>
      </c>
      <c r="AB815" s="374"/>
      <c r="AC815" s="376">
        <v>0</v>
      </c>
      <c r="AD815" s="376">
        <v>0</v>
      </c>
      <c r="AE815" s="376">
        <v>0</v>
      </c>
      <c r="AF815" s="374"/>
      <c r="AG815" s="376">
        <v>0</v>
      </c>
      <c r="AH815" s="376">
        <v>0</v>
      </c>
      <c r="AI815" s="376">
        <v>0</v>
      </c>
      <c r="AJ815" s="376">
        <v>0</v>
      </c>
      <c r="AK815" s="374"/>
      <c r="AL815" s="376">
        <v>0</v>
      </c>
      <c r="AM815" s="376">
        <v>0</v>
      </c>
      <c r="AN815" s="376">
        <v>0</v>
      </c>
      <c r="AO815" s="374"/>
      <c r="AP815" s="376">
        <v>0</v>
      </c>
      <c r="AQ815" s="376">
        <v>0</v>
      </c>
      <c r="AR815" s="374"/>
      <c r="AS815" s="376">
        <v>0</v>
      </c>
      <c r="AT815" s="376">
        <v>0</v>
      </c>
      <c r="AU815" s="355"/>
      <c r="AV815" s="354" t="s">
        <v>346</v>
      </c>
      <c r="AW815" s="355">
        <v>0</v>
      </c>
      <c r="AX815" s="355">
        <v>0</v>
      </c>
      <c r="AY815" s="355">
        <v>0</v>
      </c>
      <c r="AZ815" s="355">
        <v>0</v>
      </c>
      <c r="BA815" s="355">
        <v>0</v>
      </c>
      <c r="BB815" s="355">
        <v>0</v>
      </c>
    </row>
    <row r="816" spans="1:54" ht="13.9" customHeight="1" x14ac:dyDescent="0.25">
      <c r="A816" s="422" t="s">
        <v>1011</v>
      </c>
      <c r="B816" s="349">
        <v>23</v>
      </c>
      <c r="C816" s="350" t="s">
        <v>997</v>
      </c>
      <c r="D816" s="574" t="s">
        <v>1001</v>
      </c>
      <c r="E816" s="352"/>
      <c r="F816" s="352">
        <v>6</v>
      </c>
      <c r="G816" s="348" t="s">
        <v>999</v>
      </c>
      <c r="H816" s="353" t="s">
        <v>1012</v>
      </c>
      <c r="I816" s="350" t="s">
        <v>393</v>
      </c>
      <c r="J816" s="575">
        <f>5000+5000</f>
        <v>10000</v>
      </c>
      <c r="K816" s="350" t="s">
        <v>394</v>
      </c>
      <c r="L816" s="354">
        <v>2803.6597999999999</v>
      </c>
      <c r="M816" s="576">
        <f t="shared" si="882"/>
        <v>3.5667665527750549</v>
      </c>
      <c r="N816" s="354" t="s">
        <v>395</v>
      </c>
      <c r="O816" s="354">
        <v>0</v>
      </c>
      <c r="P816" s="374"/>
      <c r="Q816" s="354">
        <v>0</v>
      </c>
      <c r="R816" s="354">
        <v>0</v>
      </c>
      <c r="S816" s="354">
        <v>0</v>
      </c>
      <c r="T816" s="354">
        <v>0</v>
      </c>
      <c r="U816" s="374"/>
      <c r="V816" s="354">
        <v>0</v>
      </c>
      <c r="W816" s="354">
        <v>0</v>
      </c>
      <c r="X816" s="354">
        <v>0</v>
      </c>
      <c r="Y816" s="374"/>
      <c r="Z816" s="354">
        <v>0</v>
      </c>
      <c r="AA816" s="354">
        <v>0</v>
      </c>
      <c r="AB816" s="374"/>
      <c r="AC816" s="376">
        <v>0</v>
      </c>
      <c r="AD816" s="376">
        <v>0</v>
      </c>
      <c r="AE816" s="376">
        <v>0</v>
      </c>
      <c r="AF816" s="374"/>
      <c r="AG816" s="376">
        <v>0</v>
      </c>
      <c r="AH816" s="376">
        <v>0</v>
      </c>
      <c r="AI816" s="376">
        <v>0</v>
      </c>
      <c r="AJ816" s="376">
        <v>0</v>
      </c>
      <c r="AK816" s="374"/>
      <c r="AL816" s="376">
        <v>0</v>
      </c>
      <c r="AM816" s="376">
        <v>0</v>
      </c>
      <c r="AN816" s="376">
        <v>0</v>
      </c>
      <c r="AO816" s="374"/>
      <c r="AP816" s="376">
        <v>0</v>
      </c>
      <c r="AQ816" s="376">
        <v>0</v>
      </c>
      <c r="AR816" s="374"/>
      <c r="AS816" s="376">
        <v>0</v>
      </c>
      <c r="AT816" s="376">
        <v>0</v>
      </c>
      <c r="AU816" s="355"/>
      <c r="AV816" s="354" t="s">
        <v>346</v>
      </c>
      <c r="AW816" s="355">
        <v>0</v>
      </c>
      <c r="AX816" s="355">
        <v>0</v>
      </c>
      <c r="AY816" s="355">
        <v>0</v>
      </c>
      <c r="AZ816" s="355">
        <v>0</v>
      </c>
      <c r="BA816" s="355">
        <v>0</v>
      </c>
      <c r="BB816" s="355">
        <v>0</v>
      </c>
    </row>
    <row r="817" spans="1:54" ht="13.9" customHeight="1" x14ac:dyDescent="0.25">
      <c r="A817" s="422" t="s">
        <v>1013</v>
      </c>
      <c r="B817" s="349">
        <v>23</v>
      </c>
      <c r="C817" s="350" t="s">
        <v>997</v>
      </c>
      <c r="D817" s="574" t="s">
        <v>1001</v>
      </c>
      <c r="E817" s="352"/>
      <c r="F817" s="352">
        <v>6</v>
      </c>
      <c r="G817" s="348" t="s">
        <v>999</v>
      </c>
      <c r="H817" s="353" t="s">
        <v>1014</v>
      </c>
      <c r="I817" s="350" t="s">
        <v>393</v>
      </c>
      <c r="J817" s="575">
        <f>30000+30000+30000+30000+30000+30000+30000+30000+30000+30000+30000</f>
        <v>330000</v>
      </c>
      <c r="K817" s="350" t="s">
        <v>394</v>
      </c>
      <c r="L817" s="354">
        <v>2803.6597999999999</v>
      </c>
      <c r="M817" s="576">
        <f t="shared" si="882"/>
        <v>117.70329624157682</v>
      </c>
      <c r="N817" s="354" t="s">
        <v>395</v>
      </c>
      <c r="O817" s="354">
        <v>0</v>
      </c>
      <c r="P817" s="374"/>
      <c r="Q817" s="354">
        <v>0</v>
      </c>
      <c r="R817" s="354">
        <v>0</v>
      </c>
      <c r="S817" s="354">
        <v>0</v>
      </c>
      <c r="T817" s="354">
        <v>0</v>
      </c>
      <c r="U817" s="374"/>
      <c r="V817" s="354">
        <v>0</v>
      </c>
      <c r="W817" s="354">
        <v>0</v>
      </c>
      <c r="X817" s="354">
        <v>0</v>
      </c>
      <c r="Y817" s="374"/>
      <c r="Z817" s="354">
        <v>0</v>
      </c>
      <c r="AA817" s="354">
        <v>0</v>
      </c>
      <c r="AB817" s="374"/>
      <c r="AC817" s="376">
        <v>0</v>
      </c>
      <c r="AD817" s="376">
        <v>0</v>
      </c>
      <c r="AE817" s="376">
        <v>0</v>
      </c>
      <c r="AF817" s="374"/>
      <c r="AG817" s="376">
        <v>0</v>
      </c>
      <c r="AH817" s="376">
        <v>0</v>
      </c>
      <c r="AI817" s="376">
        <v>0</v>
      </c>
      <c r="AJ817" s="376">
        <v>0</v>
      </c>
      <c r="AK817" s="374"/>
      <c r="AL817" s="376">
        <v>0</v>
      </c>
      <c r="AM817" s="376">
        <v>0</v>
      </c>
      <c r="AN817" s="376">
        <v>0</v>
      </c>
      <c r="AO817" s="374"/>
      <c r="AP817" s="376">
        <v>0</v>
      </c>
      <c r="AQ817" s="376">
        <v>0</v>
      </c>
      <c r="AR817" s="374"/>
      <c r="AS817" s="376">
        <v>0</v>
      </c>
      <c r="AT817" s="376">
        <v>0</v>
      </c>
      <c r="AU817" s="355"/>
      <c r="AV817" s="354" t="s">
        <v>346</v>
      </c>
      <c r="AW817" s="355">
        <v>0</v>
      </c>
      <c r="AX817" s="355">
        <v>0</v>
      </c>
      <c r="AY817" s="355">
        <v>0</v>
      </c>
      <c r="AZ817" s="355">
        <v>0</v>
      </c>
      <c r="BA817" s="355">
        <v>0</v>
      </c>
      <c r="BB817" s="355">
        <v>0</v>
      </c>
    </row>
    <row r="818" spans="1:54" ht="13.9" customHeight="1" x14ac:dyDescent="0.25">
      <c r="A818" s="422" t="s">
        <v>1015</v>
      </c>
      <c r="B818" s="349">
        <v>23</v>
      </c>
      <c r="C818" s="350" t="s">
        <v>997</v>
      </c>
      <c r="D818" s="574" t="s">
        <v>1001</v>
      </c>
      <c r="E818" s="352"/>
      <c r="F818" s="352">
        <v>6</v>
      </c>
      <c r="G818" s="348" t="s">
        <v>999</v>
      </c>
      <c r="H818" s="353" t="s">
        <v>1016</v>
      </c>
      <c r="I818" s="350" t="s">
        <v>393</v>
      </c>
      <c r="J818" s="575">
        <f>125000+125000+125000+125000+125000+125000</f>
        <v>750000</v>
      </c>
      <c r="K818" s="350" t="s">
        <v>394</v>
      </c>
      <c r="L818" s="354">
        <v>2803.6597999999999</v>
      </c>
      <c r="M818" s="576">
        <f t="shared" si="882"/>
        <v>267.50749145812915</v>
      </c>
      <c r="N818" s="354" t="s">
        <v>395</v>
      </c>
      <c r="O818" s="354">
        <v>0</v>
      </c>
      <c r="P818" s="374"/>
      <c r="Q818" s="354">
        <v>0</v>
      </c>
      <c r="R818" s="354">
        <v>0</v>
      </c>
      <c r="S818" s="354">
        <v>0</v>
      </c>
      <c r="T818" s="354">
        <v>0</v>
      </c>
      <c r="U818" s="374"/>
      <c r="V818" s="354">
        <v>0</v>
      </c>
      <c r="W818" s="354">
        <v>0</v>
      </c>
      <c r="X818" s="354">
        <v>0</v>
      </c>
      <c r="Y818" s="374"/>
      <c r="Z818" s="354">
        <v>0</v>
      </c>
      <c r="AA818" s="354">
        <v>0</v>
      </c>
      <c r="AB818" s="374"/>
      <c r="AC818" s="376">
        <v>0</v>
      </c>
      <c r="AD818" s="376">
        <v>0</v>
      </c>
      <c r="AE818" s="376">
        <v>0</v>
      </c>
      <c r="AF818" s="374"/>
      <c r="AG818" s="376">
        <v>0</v>
      </c>
      <c r="AH818" s="376">
        <v>0</v>
      </c>
      <c r="AI818" s="376">
        <v>0</v>
      </c>
      <c r="AJ818" s="376">
        <v>0</v>
      </c>
      <c r="AK818" s="374"/>
      <c r="AL818" s="376">
        <v>0</v>
      </c>
      <c r="AM818" s="376">
        <v>0</v>
      </c>
      <c r="AN818" s="376">
        <v>0</v>
      </c>
      <c r="AO818" s="374"/>
      <c r="AP818" s="376">
        <v>0</v>
      </c>
      <c r="AQ818" s="376">
        <v>0</v>
      </c>
      <c r="AR818" s="374"/>
      <c r="AS818" s="376">
        <v>0</v>
      </c>
      <c r="AT818" s="376">
        <v>0</v>
      </c>
      <c r="AU818" s="355"/>
      <c r="AV818" s="354" t="s">
        <v>346</v>
      </c>
      <c r="AW818" s="355">
        <v>0</v>
      </c>
      <c r="AX818" s="355">
        <v>0</v>
      </c>
      <c r="AY818" s="355">
        <v>0</v>
      </c>
      <c r="AZ818" s="355">
        <v>0</v>
      </c>
      <c r="BA818" s="355">
        <v>0</v>
      </c>
      <c r="BB818" s="355">
        <v>0</v>
      </c>
    </row>
    <row r="819" spans="1:54" ht="13.9" customHeight="1" x14ac:dyDescent="0.25">
      <c r="A819" s="422" t="s">
        <v>1017</v>
      </c>
      <c r="B819" s="349">
        <v>23</v>
      </c>
      <c r="C819" s="350" t="s">
        <v>997</v>
      </c>
      <c r="D819" s="574" t="s">
        <v>1001</v>
      </c>
      <c r="E819" s="352"/>
      <c r="F819" s="352">
        <v>6</v>
      </c>
      <c r="G819" s="348" t="s">
        <v>999</v>
      </c>
      <c r="H819" s="353" t="s">
        <v>1018</v>
      </c>
      <c r="I819" s="350" t="s">
        <v>393</v>
      </c>
      <c r="J819" s="575">
        <f>37500+37500+37500+37500+37500+37500</f>
        <v>225000</v>
      </c>
      <c r="K819" s="350" t="s">
        <v>394</v>
      </c>
      <c r="L819" s="354">
        <v>2803.6597999999999</v>
      </c>
      <c r="M819" s="576">
        <f t="shared" si="882"/>
        <v>80.25224743743874</v>
      </c>
      <c r="N819" s="354" t="s">
        <v>395</v>
      </c>
      <c r="O819" s="354">
        <v>0</v>
      </c>
      <c r="P819" s="374"/>
      <c r="Q819" s="354">
        <v>0</v>
      </c>
      <c r="R819" s="354">
        <v>0</v>
      </c>
      <c r="S819" s="354">
        <v>0</v>
      </c>
      <c r="T819" s="354">
        <v>0</v>
      </c>
      <c r="U819" s="374"/>
      <c r="V819" s="354">
        <v>0</v>
      </c>
      <c r="W819" s="354">
        <v>0</v>
      </c>
      <c r="X819" s="354">
        <v>0</v>
      </c>
      <c r="Y819" s="374"/>
      <c r="Z819" s="354">
        <v>0</v>
      </c>
      <c r="AA819" s="354">
        <v>0</v>
      </c>
      <c r="AB819" s="374"/>
      <c r="AC819" s="376">
        <v>0</v>
      </c>
      <c r="AD819" s="376">
        <v>0</v>
      </c>
      <c r="AE819" s="376">
        <v>0</v>
      </c>
      <c r="AF819" s="374"/>
      <c r="AG819" s="376">
        <v>0</v>
      </c>
      <c r="AH819" s="376">
        <v>0</v>
      </c>
      <c r="AI819" s="376">
        <v>0</v>
      </c>
      <c r="AJ819" s="376">
        <v>0</v>
      </c>
      <c r="AK819" s="374"/>
      <c r="AL819" s="376">
        <v>0</v>
      </c>
      <c r="AM819" s="376">
        <v>0</v>
      </c>
      <c r="AN819" s="376">
        <v>0</v>
      </c>
      <c r="AO819" s="374"/>
      <c r="AP819" s="376">
        <v>0</v>
      </c>
      <c r="AQ819" s="376">
        <v>0</v>
      </c>
      <c r="AR819" s="374"/>
      <c r="AS819" s="376">
        <v>0</v>
      </c>
      <c r="AT819" s="376">
        <v>0</v>
      </c>
      <c r="AU819" s="355"/>
      <c r="AV819" s="354" t="s">
        <v>346</v>
      </c>
      <c r="AW819" s="355">
        <v>0</v>
      </c>
      <c r="AX819" s="355">
        <v>0</v>
      </c>
      <c r="AY819" s="355">
        <v>0</v>
      </c>
      <c r="AZ819" s="355">
        <v>0</v>
      </c>
      <c r="BA819" s="355">
        <v>0</v>
      </c>
      <c r="BB819" s="355">
        <v>0</v>
      </c>
    </row>
    <row r="820" spans="1:54" ht="13.9" customHeight="1" x14ac:dyDescent="0.25">
      <c r="A820" s="422" t="s">
        <v>1017</v>
      </c>
      <c r="B820" s="349">
        <v>23</v>
      </c>
      <c r="C820" s="350" t="s">
        <v>997</v>
      </c>
      <c r="D820" s="574" t="s">
        <v>1001</v>
      </c>
      <c r="E820" s="352"/>
      <c r="F820" s="352">
        <v>6</v>
      </c>
      <c r="G820" s="348" t="s">
        <v>999</v>
      </c>
      <c r="H820" s="353" t="s">
        <v>1019</v>
      </c>
      <c r="I820" s="350" t="s">
        <v>393</v>
      </c>
      <c r="J820" s="575">
        <f>30000+20000+10000</f>
        <v>60000</v>
      </c>
      <c r="K820" s="350" t="s">
        <v>394</v>
      </c>
      <c r="L820" s="354">
        <v>2803.6597999999999</v>
      </c>
      <c r="M820" s="576">
        <f t="shared" si="882"/>
        <v>21.400599316650329</v>
      </c>
      <c r="N820" s="354" t="s">
        <v>395</v>
      </c>
      <c r="O820" s="354">
        <v>0</v>
      </c>
      <c r="P820" s="374"/>
      <c r="Q820" s="354">
        <v>0</v>
      </c>
      <c r="R820" s="354">
        <v>0</v>
      </c>
      <c r="S820" s="354">
        <v>0</v>
      </c>
      <c r="T820" s="354">
        <v>0</v>
      </c>
      <c r="U820" s="374"/>
      <c r="V820" s="354">
        <v>0</v>
      </c>
      <c r="W820" s="354">
        <v>0</v>
      </c>
      <c r="X820" s="354">
        <v>0</v>
      </c>
      <c r="Y820" s="374"/>
      <c r="Z820" s="354">
        <v>0</v>
      </c>
      <c r="AA820" s="354">
        <v>0</v>
      </c>
      <c r="AB820" s="374"/>
      <c r="AC820" s="376">
        <v>0</v>
      </c>
      <c r="AD820" s="376">
        <v>0</v>
      </c>
      <c r="AE820" s="376">
        <v>0</v>
      </c>
      <c r="AF820" s="374"/>
      <c r="AG820" s="376">
        <v>0</v>
      </c>
      <c r="AH820" s="376">
        <v>0</v>
      </c>
      <c r="AI820" s="376">
        <v>0</v>
      </c>
      <c r="AJ820" s="376">
        <v>0</v>
      </c>
      <c r="AK820" s="374"/>
      <c r="AL820" s="376">
        <v>0</v>
      </c>
      <c r="AM820" s="376">
        <v>0</v>
      </c>
      <c r="AN820" s="376">
        <v>0</v>
      </c>
      <c r="AO820" s="374"/>
      <c r="AP820" s="376">
        <v>0</v>
      </c>
      <c r="AQ820" s="376">
        <v>0</v>
      </c>
      <c r="AR820" s="374"/>
      <c r="AS820" s="376">
        <v>0</v>
      </c>
      <c r="AT820" s="376">
        <v>0</v>
      </c>
      <c r="AU820" s="355"/>
      <c r="AV820" s="354" t="s">
        <v>346</v>
      </c>
      <c r="AW820" s="355">
        <v>0</v>
      </c>
      <c r="AX820" s="355">
        <v>0</v>
      </c>
      <c r="AY820" s="355">
        <v>0</v>
      </c>
      <c r="AZ820" s="355">
        <v>0</v>
      </c>
      <c r="BA820" s="355">
        <v>0</v>
      </c>
      <c r="BB820" s="355">
        <v>0</v>
      </c>
    </row>
    <row r="821" spans="1:54" ht="13.9" customHeight="1" x14ac:dyDescent="0.25">
      <c r="A821" s="422" t="s">
        <v>1017</v>
      </c>
      <c r="B821" s="349">
        <v>23</v>
      </c>
      <c r="C821" s="350" t="s">
        <v>997</v>
      </c>
      <c r="D821" s="574" t="s">
        <v>1001</v>
      </c>
      <c r="E821" s="352"/>
      <c r="F821" s="352">
        <v>6</v>
      </c>
      <c r="G821" s="348" t="s">
        <v>999</v>
      </c>
      <c r="H821" s="353" t="s">
        <v>1020</v>
      </c>
      <c r="I821" s="350" t="s">
        <v>393</v>
      </c>
      <c r="J821" s="575">
        <f>60000+60000</f>
        <v>120000</v>
      </c>
      <c r="K821" s="350" t="s">
        <v>394</v>
      </c>
      <c r="L821" s="354">
        <v>2803.6597999999999</v>
      </c>
      <c r="M821" s="576">
        <f t="shared" si="882"/>
        <v>42.801198633300658</v>
      </c>
      <c r="N821" s="354" t="s">
        <v>395</v>
      </c>
      <c r="O821" s="354">
        <v>0</v>
      </c>
      <c r="P821" s="374"/>
      <c r="Q821" s="354">
        <v>0</v>
      </c>
      <c r="R821" s="354">
        <v>0</v>
      </c>
      <c r="S821" s="354">
        <v>0</v>
      </c>
      <c r="T821" s="354">
        <v>0</v>
      </c>
      <c r="U821" s="374"/>
      <c r="V821" s="354">
        <v>0</v>
      </c>
      <c r="W821" s="354">
        <v>0</v>
      </c>
      <c r="X821" s="354">
        <v>0</v>
      </c>
      <c r="Y821" s="374"/>
      <c r="Z821" s="354">
        <v>0</v>
      </c>
      <c r="AA821" s="354">
        <v>0</v>
      </c>
      <c r="AB821" s="374"/>
      <c r="AC821" s="376">
        <v>0</v>
      </c>
      <c r="AD821" s="376">
        <v>0</v>
      </c>
      <c r="AE821" s="376">
        <v>0</v>
      </c>
      <c r="AF821" s="374"/>
      <c r="AG821" s="376">
        <v>0</v>
      </c>
      <c r="AH821" s="376">
        <v>0</v>
      </c>
      <c r="AI821" s="376">
        <v>0</v>
      </c>
      <c r="AJ821" s="376">
        <v>0</v>
      </c>
      <c r="AK821" s="374"/>
      <c r="AL821" s="376">
        <v>0</v>
      </c>
      <c r="AM821" s="376">
        <v>0</v>
      </c>
      <c r="AN821" s="376">
        <v>0</v>
      </c>
      <c r="AO821" s="374"/>
      <c r="AP821" s="376">
        <v>0</v>
      </c>
      <c r="AQ821" s="376">
        <v>0</v>
      </c>
      <c r="AR821" s="374"/>
      <c r="AS821" s="376">
        <v>0</v>
      </c>
      <c r="AT821" s="376">
        <v>0</v>
      </c>
      <c r="AU821" s="355"/>
      <c r="AV821" s="354" t="s">
        <v>346</v>
      </c>
      <c r="AW821" s="355">
        <v>0</v>
      </c>
      <c r="AX821" s="355">
        <v>0</v>
      </c>
      <c r="AY821" s="355">
        <v>0</v>
      </c>
      <c r="AZ821" s="355">
        <v>0</v>
      </c>
      <c r="BA821" s="355">
        <v>0</v>
      </c>
      <c r="BB821" s="355">
        <v>0</v>
      </c>
    </row>
    <row r="822" spans="1:54" ht="13.9" customHeight="1" x14ac:dyDescent="0.25">
      <c r="A822" s="422" t="s">
        <v>1021</v>
      </c>
      <c r="B822" s="349">
        <v>23</v>
      </c>
      <c r="C822" s="350" t="s">
        <v>997</v>
      </c>
      <c r="D822" s="574" t="s">
        <v>1001</v>
      </c>
      <c r="E822" s="352"/>
      <c r="F822" s="352">
        <v>6</v>
      </c>
      <c r="G822" s="348" t="s">
        <v>999</v>
      </c>
      <c r="H822" s="353" t="s">
        <v>1022</v>
      </c>
      <c r="I822" s="350" t="s">
        <v>393</v>
      </c>
      <c r="J822" s="575">
        <v>12000</v>
      </c>
      <c r="K822" s="350" t="s">
        <v>394</v>
      </c>
      <c r="L822" s="354">
        <v>2803.6597999999999</v>
      </c>
      <c r="M822" s="576">
        <f t="shared" si="882"/>
        <v>4.2801198633300661</v>
      </c>
      <c r="N822" s="354" t="s">
        <v>395</v>
      </c>
      <c r="O822" s="354">
        <v>0</v>
      </c>
      <c r="P822" s="374"/>
      <c r="Q822" s="354">
        <v>0</v>
      </c>
      <c r="R822" s="354">
        <v>0</v>
      </c>
      <c r="S822" s="354">
        <v>0</v>
      </c>
      <c r="T822" s="354">
        <v>0</v>
      </c>
      <c r="U822" s="374"/>
      <c r="V822" s="354">
        <v>0</v>
      </c>
      <c r="W822" s="354">
        <v>0</v>
      </c>
      <c r="X822" s="354">
        <v>0</v>
      </c>
      <c r="Y822" s="374"/>
      <c r="Z822" s="354">
        <v>0</v>
      </c>
      <c r="AA822" s="354">
        <v>0</v>
      </c>
      <c r="AB822" s="374"/>
      <c r="AC822" s="376">
        <v>0</v>
      </c>
      <c r="AD822" s="376">
        <v>0</v>
      </c>
      <c r="AE822" s="376">
        <v>0</v>
      </c>
      <c r="AF822" s="374"/>
      <c r="AG822" s="376">
        <v>0</v>
      </c>
      <c r="AH822" s="376">
        <v>0</v>
      </c>
      <c r="AI822" s="376">
        <v>0</v>
      </c>
      <c r="AJ822" s="376">
        <v>0</v>
      </c>
      <c r="AK822" s="374"/>
      <c r="AL822" s="376">
        <v>0</v>
      </c>
      <c r="AM822" s="376">
        <v>0</v>
      </c>
      <c r="AN822" s="376">
        <v>0</v>
      </c>
      <c r="AO822" s="374"/>
      <c r="AP822" s="376">
        <v>0</v>
      </c>
      <c r="AQ822" s="376">
        <v>0</v>
      </c>
      <c r="AR822" s="374"/>
      <c r="AS822" s="376">
        <v>0</v>
      </c>
      <c r="AT822" s="376">
        <v>0</v>
      </c>
      <c r="AU822" s="355"/>
      <c r="AV822" s="354" t="s">
        <v>346</v>
      </c>
      <c r="AW822" s="355">
        <v>0</v>
      </c>
      <c r="AX822" s="355">
        <v>0</v>
      </c>
      <c r="AY822" s="355">
        <v>0</v>
      </c>
      <c r="AZ822" s="355">
        <v>0</v>
      </c>
      <c r="BA822" s="355">
        <v>0</v>
      </c>
      <c r="BB822" s="355">
        <v>0</v>
      </c>
    </row>
    <row r="823" spans="1:54" ht="13.9" customHeight="1" x14ac:dyDescent="0.25">
      <c r="A823" s="422" t="s">
        <v>1023</v>
      </c>
      <c r="B823" s="349">
        <v>23</v>
      </c>
      <c r="C823" s="350" t="s">
        <v>997</v>
      </c>
      <c r="D823" s="574" t="s">
        <v>1024</v>
      </c>
      <c r="E823" s="352"/>
      <c r="F823" s="352">
        <v>6</v>
      </c>
      <c r="G823" s="348" t="s">
        <v>999</v>
      </c>
      <c r="H823" s="353" t="s">
        <v>1025</v>
      </c>
      <c r="I823" s="350" t="s">
        <v>393</v>
      </c>
      <c r="J823" s="577">
        <f>500000+400000</f>
        <v>900000</v>
      </c>
      <c r="K823" s="350" t="s">
        <v>394</v>
      </c>
      <c r="L823" s="354">
        <v>2803.6597999999999</v>
      </c>
      <c r="M823" s="576">
        <f>J823/L823</f>
        <v>321.00898974975496</v>
      </c>
      <c r="N823" s="354" t="s">
        <v>395</v>
      </c>
      <c r="O823" s="354">
        <v>0</v>
      </c>
      <c r="P823" s="374"/>
      <c r="Q823" s="354">
        <v>0</v>
      </c>
      <c r="R823" s="354">
        <v>0</v>
      </c>
      <c r="S823" s="354">
        <v>0</v>
      </c>
      <c r="T823" s="354">
        <v>0</v>
      </c>
      <c r="U823" s="374"/>
      <c r="V823" s="354">
        <v>0</v>
      </c>
      <c r="W823" s="354">
        <v>0</v>
      </c>
      <c r="X823" s="354">
        <v>0</v>
      </c>
      <c r="Y823" s="374"/>
      <c r="Z823" s="354">
        <v>0</v>
      </c>
      <c r="AA823" s="354">
        <v>0</v>
      </c>
      <c r="AB823" s="374"/>
      <c r="AC823" s="376">
        <v>0</v>
      </c>
      <c r="AD823" s="376">
        <v>0</v>
      </c>
      <c r="AE823" s="376">
        <v>0</v>
      </c>
      <c r="AF823" s="374"/>
      <c r="AG823" s="376">
        <v>0</v>
      </c>
      <c r="AH823" s="376">
        <v>0</v>
      </c>
      <c r="AI823" s="376">
        <v>0</v>
      </c>
      <c r="AJ823" s="376">
        <v>0</v>
      </c>
      <c r="AK823" s="374"/>
      <c r="AL823" s="376">
        <v>0</v>
      </c>
      <c r="AM823" s="376">
        <v>0</v>
      </c>
      <c r="AN823" s="376">
        <v>0</v>
      </c>
      <c r="AO823" s="374"/>
      <c r="AP823" s="376">
        <v>0</v>
      </c>
      <c r="AQ823" s="376">
        <v>0</v>
      </c>
      <c r="AR823" s="374"/>
      <c r="AS823" s="376">
        <v>0</v>
      </c>
      <c r="AT823" s="376">
        <v>0</v>
      </c>
      <c r="AU823" s="355"/>
      <c r="AV823" s="354" t="s">
        <v>346</v>
      </c>
      <c r="AW823" s="355">
        <v>0</v>
      </c>
      <c r="AX823" s="355">
        <v>0</v>
      </c>
      <c r="AY823" s="355">
        <v>0</v>
      </c>
      <c r="AZ823" s="355">
        <v>0</v>
      </c>
      <c r="BA823" s="355">
        <v>0</v>
      </c>
      <c r="BB823" s="355">
        <v>0</v>
      </c>
    </row>
    <row r="824" spans="1:54" ht="13.9" customHeight="1" x14ac:dyDescent="0.25">
      <c r="A824" s="422" t="s">
        <v>1023</v>
      </c>
      <c r="B824" s="349">
        <v>23</v>
      </c>
      <c r="C824" s="350" t="s">
        <v>997</v>
      </c>
      <c r="D824" s="574" t="s">
        <v>1024</v>
      </c>
      <c r="E824" s="352"/>
      <c r="F824" s="352">
        <v>6</v>
      </c>
      <c r="G824" s="348" t="s">
        <v>999</v>
      </c>
      <c r="H824" s="353" t="s">
        <v>1002</v>
      </c>
      <c r="I824" s="350" t="s">
        <v>393</v>
      </c>
      <c r="J824" s="577">
        <f>83490+257500+322575+147400+321057+59202</f>
        <v>1191224</v>
      </c>
      <c r="K824" s="350" t="s">
        <v>394</v>
      </c>
      <c r="L824" s="354">
        <v>2803.6597999999999</v>
      </c>
      <c r="M824" s="576">
        <f t="shared" ref="M824:M840" si="883">J824/L824</f>
        <v>424.88179200629122</v>
      </c>
      <c r="N824" s="354" t="s">
        <v>395</v>
      </c>
      <c r="O824" s="354">
        <v>0</v>
      </c>
      <c r="P824" s="374"/>
      <c r="Q824" s="354">
        <v>0</v>
      </c>
      <c r="R824" s="354">
        <v>0</v>
      </c>
      <c r="S824" s="354">
        <v>0</v>
      </c>
      <c r="T824" s="354">
        <v>0</v>
      </c>
      <c r="U824" s="374"/>
      <c r="V824" s="354">
        <v>0</v>
      </c>
      <c r="W824" s="354">
        <v>0</v>
      </c>
      <c r="X824" s="354">
        <v>0</v>
      </c>
      <c r="Y824" s="374"/>
      <c r="Z824" s="354">
        <v>0</v>
      </c>
      <c r="AA824" s="354">
        <v>0</v>
      </c>
      <c r="AB824" s="374"/>
      <c r="AC824" s="376">
        <v>0</v>
      </c>
      <c r="AD824" s="376">
        <v>0</v>
      </c>
      <c r="AE824" s="376">
        <v>0</v>
      </c>
      <c r="AF824" s="374"/>
      <c r="AG824" s="376">
        <v>0</v>
      </c>
      <c r="AH824" s="376">
        <v>0</v>
      </c>
      <c r="AI824" s="376">
        <v>0</v>
      </c>
      <c r="AJ824" s="376">
        <v>0</v>
      </c>
      <c r="AK824" s="374"/>
      <c r="AL824" s="376">
        <v>0</v>
      </c>
      <c r="AM824" s="376">
        <v>0</v>
      </c>
      <c r="AN824" s="376">
        <v>0</v>
      </c>
      <c r="AO824" s="374"/>
      <c r="AP824" s="376">
        <v>0</v>
      </c>
      <c r="AQ824" s="376">
        <v>0</v>
      </c>
      <c r="AR824" s="374"/>
      <c r="AS824" s="376">
        <v>0</v>
      </c>
      <c r="AT824" s="376">
        <v>0</v>
      </c>
      <c r="AU824" s="355"/>
      <c r="AV824" s="354" t="s">
        <v>346</v>
      </c>
      <c r="AW824" s="355">
        <v>0</v>
      </c>
      <c r="AX824" s="355">
        <v>0</v>
      </c>
      <c r="AY824" s="355">
        <v>0</v>
      </c>
      <c r="AZ824" s="355">
        <v>0</v>
      </c>
      <c r="BA824" s="355">
        <v>0</v>
      </c>
      <c r="BB824" s="355">
        <v>0</v>
      </c>
    </row>
    <row r="825" spans="1:54" ht="13.9" customHeight="1" x14ac:dyDescent="0.25">
      <c r="A825" s="422" t="s">
        <v>1023</v>
      </c>
      <c r="B825" s="349">
        <v>23</v>
      </c>
      <c r="C825" s="350" t="s">
        <v>997</v>
      </c>
      <c r="D825" s="574" t="s">
        <v>1024</v>
      </c>
      <c r="E825" s="352"/>
      <c r="F825" s="352">
        <v>6</v>
      </c>
      <c r="G825" s="348" t="s">
        <v>999</v>
      </c>
      <c r="H825" s="353" t="s">
        <v>1004</v>
      </c>
      <c r="I825" s="350" t="s">
        <v>393</v>
      </c>
      <c r="J825" s="577">
        <f>80000+80000+80000+80000+75000+80000+80000</f>
        <v>555000</v>
      </c>
      <c r="K825" s="350" t="s">
        <v>394</v>
      </c>
      <c r="L825" s="354">
        <v>2803.6597999999999</v>
      </c>
      <c r="M825" s="576">
        <f t="shared" si="883"/>
        <v>197.95554367901556</v>
      </c>
      <c r="N825" s="354" t="s">
        <v>395</v>
      </c>
      <c r="O825" s="354">
        <v>0</v>
      </c>
      <c r="P825" s="374"/>
      <c r="Q825" s="354">
        <v>0</v>
      </c>
      <c r="R825" s="354">
        <v>0</v>
      </c>
      <c r="S825" s="354">
        <v>0</v>
      </c>
      <c r="T825" s="354">
        <v>0</v>
      </c>
      <c r="U825" s="374"/>
      <c r="V825" s="354">
        <v>0</v>
      </c>
      <c r="W825" s="354">
        <v>0</v>
      </c>
      <c r="X825" s="354">
        <v>0</v>
      </c>
      <c r="Y825" s="374"/>
      <c r="Z825" s="354">
        <v>0</v>
      </c>
      <c r="AA825" s="354">
        <v>0</v>
      </c>
      <c r="AB825" s="374"/>
      <c r="AC825" s="376">
        <v>0</v>
      </c>
      <c r="AD825" s="376">
        <v>0</v>
      </c>
      <c r="AE825" s="376">
        <v>0</v>
      </c>
      <c r="AF825" s="374"/>
      <c r="AG825" s="376">
        <v>0</v>
      </c>
      <c r="AH825" s="376">
        <v>0</v>
      </c>
      <c r="AI825" s="376">
        <v>0</v>
      </c>
      <c r="AJ825" s="376">
        <v>0</v>
      </c>
      <c r="AK825" s="374"/>
      <c r="AL825" s="376">
        <v>0</v>
      </c>
      <c r="AM825" s="376">
        <v>0</v>
      </c>
      <c r="AN825" s="376">
        <v>0</v>
      </c>
      <c r="AO825" s="374"/>
      <c r="AP825" s="376">
        <v>0</v>
      </c>
      <c r="AQ825" s="376">
        <v>0</v>
      </c>
      <c r="AR825" s="374"/>
      <c r="AS825" s="376">
        <v>0</v>
      </c>
      <c r="AT825" s="376">
        <v>0</v>
      </c>
      <c r="AU825" s="355"/>
      <c r="AV825" s="354" t="s">
        <v>346</v>
      </c>
      <c r="AW825" s="355">
        <v>0</v>
      </c>
      <c r="AX825" s="355">
        <v>0</v>
      </c>
      <c r="AY825" s="355">
        <v>0</v>
      </c>
      <c r="AZ825" s="355">
        <v>0</v>
      </c>
      <c r="BA825" s="355">
        <v>0</v>
      </c>
      <c r="BB825" s="355">
        <v>0</v>
      </c>
    </row>
    <row r="826" spans="1:54" ht="13.9" customHeight="1" x14ac:dyDescent="0.25">
      <c r="A826" s="422" t="s">
        <v>1023</v>
      </c>
      <c r="B826" s="349">
        <v>23</v>
      </c>
      <c r="C826" s="350" t="s">
        <v>997</v>
      </c>
      <c r="D826" s="574" t="s">
        <v>1024</v>
      </c>
      <c r="E826" s="352"/>
      <c r="F826" s="352">
        <v>6</v>
      </c>
      <c r="G826" s="348" t="s">
        <v>999</v>
      </c>
      <c r="H826" s="353" t="s">
        <v>1006</v>
      </c>
      <c r="I826" s="350" t="s">
        <v>393</v>
      </c>
      <c r="J826" s="577">
        <f>240000+240000+240000+180000+180000+180000</f>
        <v>1260000</v>
      </c>
      <c r="K826" s="350" t="s">
        <v>394</v>
      </c>
      <c r="L826" s="354">
        <v>2803.6597999999999</v>
      </c>
      <c r="M826" s="576">
        <f t="shared" si="883"/>
        <v>449.41258564965693</v>
      </c>
      <c r="N826" s="354" t="s">
        <v>395</v>
      </c>
      <c r="O826" s="354">
        <v>0</v>
      </c>
      <c r="P826" s="374"/>
      <c r="Q826" s="354">
        <v>0</v>
      </c>
      <c r="R826" s="354">
        <v>0</v>
      </c>
      <c r="S826" s="354">
        <v>0</v>
      </c>
      <c r="T826" s="354">
        <v>0</v>
      </c>
      <c r="U826" s="374"/>
      <c r="V826" s="354">
        <v>0</v>
      </c>
      <c r="W826" s="354">
        <v>0</v>
      </c>
      <c r="X826" s="354">
        <v>0</v>
      </c>
      <c r="Y826" s="374"/>
      <c r="Z826" s="354">
        <v>0</v>
      </c>
      <c r="AA826" s="354">
        <v>0</v>
      </c>
      <c r="AB826" s="374"/>
      <c r="AC826" s="376">
        <v>0</v>
      </c>
      <c r="AD826" s="376">
        <v>0</v>
      </c>
      <c r="AE826" s="376">
        <v>0</v>
      </c>
      <c r="AF826" s="374"/>
      <c r="AG826" s="376">
        <v>0</v>
      </c>
      <c r="AH826" s="376">
        <v>0</v>
      </c>
      <c r="AI826" s="376">
        <v>0</v>
      </c>
      <c r="AJ826" s="376">
        <v>0</v>
      </c>
      <c r="AK826" s="374"/>
      <c r="AL826" s="376">
        <v>0</v>
      </c>
      <c r="AM826" s="376">
        <v>0</v>
      </c>
      <c r="AN826" s="376">
        <v>0</v>
      </c>
      <c r="AO826" s="374"/>
      <c r="AP826" s="376">
        <v>0</v>
      </c>
      <c r="AQ826" s="376">
        <v>0</v>
      </c>
      <c r="AR826" s="374"/>
      <c r="AS826" s="376">
        <v>0</v>
      </c>
      <c r="AT826" s="376">
        <v>0</v>
      </c>
      <c r="AU826" s="355"/>
      <c r="AV826" s="354" t="s">
        <v>346</v>
      </c>
      <c r="AW826" s="355">
        <v>0</v>
      </c>
      <c r="AX826" s="355">
        <v>0</v>
      </c>
      <c r="AY826" s="355">
        <v>0</v>
      </c>
      <c r="AZ826" s="355">
        <v>0</v>
      </c>
      <c r="BA826" s="355">
        <v>0</v>
      </c>
      <c r="BB826" s="355">
        <v>0</v>
      </c>
    </row>
    <row r="827" spans="1:54" ht="13.9" customHeight="1" x14ac:dyDescent="0.25">
      <c r="A827" s="422" t="s">
        <v>1023</v>
      </c>
      <c r="B827" s="349">
        <v>23</v>
      </c>
      <c r="C827" s="350" t="s">
        <v>997</v>
      </c>
      <c r="D827" s="574" t="s">
        <v>1024</v>
      </c>
      <c r="E827" s="352"/>
      <c r="F827" s="352">
        <v>6</v>
      </c>
      <c r="G827" s="348" t="s">
        <v>999</v>
      </c>
      <c r="H827" s="353" t="s">
        <v>1008</v>
      </c>
      <c r="I827" s="350" t="s">
        <v>393</v>
      </c>
      <c r="J827" s="577">
        <f>270000+270000+300000+285000+300000+300000+300000</f>
        <v>2025000</v>
      </c>
      <c r="K827" s="350" t="s">
        <v>394</v>
      </c>
      <c r="L827" s="354">
        <v>2803.6597999999999</v>
      </c>
      <c r="M827" s="576">
        <f t="shared" si="883"/>
        <v>722.27022693694869</v>
      </c>
      <c r="N827" s="354" t="s">
        <v>395</v>
      </c>
      <c r="O827" s="354">
        <v>0</v>
      </c>
      <c r="P827" s="374"/>
      <c r="Q827" s="354">
        <v>0</v>
      </c>
      <c r="R827" s="354">
        <v>0</v>
      </c>
      <c r="S827" s="354">
        <v>0</v>
      </c>
      <c r="T827" s="354">
        <v>0</v>
      </c>
      <c r="U827" s="374"/>
      <c r="V827" s="354">
        <v>0</v>
      </c>
      <c r="W827" s="354">
        <v>0</v>
      </c>
      <c r="X827" s="354">
        <v>0</v>
      </c>
      <c r="Y827" s="374"/>
      <c r="Z827" s="354">
        <v>0</v>
      </c>
      <c r="AA827" s="354">
        <v>0</v>
      </c>
      <c r="AB827" s="374"/>
      <c r="AC827" s="376">
        <v>0</v>
      </c>
      <c r="AD827" s="376">
        <v>0</v>
      </c>
      <c r="AE827" s="376">
        <v>0</v>
      </c>
      <c r="AF827" s="374"/>
      <c r="AG827" s="376">
        <v>0</v>
      </c>
      <c r="AH827" s="376">
        <v>0</v>
      </c>
      <c r="AI827" s="376">
        <v>0</v>
      </c>
      <c r="AJ827" s="376">
        <v>0</v>
      </c>
      <c r="AK827" s="374"/>
      <c r="AL827" s="376">
        <v>0</v>
      </c>
      <c r="AM827" s="376">
        <v>0</v>
      </c>
      <c r="AN827" s="376">
        <v>0</v>
      </c>
      <c r="AO827" s="374"/>
      <c r="AP827" s="376">
        <v>0</v>
      </c>
      <c r="AQ827" s="376">
        <v>0</v>
      </c>
      <c r="AR827" s="374"/>
      <c r="AS827" s="376">
        <v>0</v>
      </c>
      <c r="AT827" s="376">
        <v>0</v>
      </c>
      <c r="AU827" s="355"/>
      <c r="AV827" s="354" t="s">
        <v>346</v>
      </c>
      <c r="AW827" s="355">
        <v>0</v>
      </c>
      <c r="AX827" s="355">
        <v>0</v>
      </c>
      <c r="AY827" s="355">
        <v>0</v>
      </c>
      <c r="AZ827" s="355">
        <v>0</v>
      </c>
      <c r="BA827" s="355">
        <v>0</v>
      </c>
      <c r="BB827" s="355">
        <v>0</v>
      </c>
    </row>
    <row r="828" spans="1:54" ht="13.9" customHeight="1" x14ac:dyDescent="0.25">
      <c r="A828" s="422" t="s">
        <v>1023</v>
      </c>
      <c r="B828" s="349">
        <v>23</v>
      </c>
      <c r="C828" s="350" t="s">
        <v>997</v>
      </c>
      <c r="D828" s="574" t="s">
        <v>1024</v>
      </c>
      <c r="E828" s="352"/>
      <c r="F828" s="352">
        <v>6</v>
      </c>
      <c r="G828" s="348" t="s">
        <v>999</v>
      </c>
      <c r="H828" s="353" t="s">
        <v>1026</v>
      </c>
      <c r="I828" s="350" t="s">
        <v>393</v>
      </c>
      <c r="J828" s="577">
        <f>20000+20000+20000+20000+20000+20000+20000</f>
        <v>140000</v>
      </c>
      <c r="K828" s="350" t="s">
        <v>394</v>
      </c>
      <c r="L828" s="354">
        <v>2803.6597999999999</v>
      </c>
      <c r="M828" s="576">
        <f t="shared" si="883"/>
        <v>49.934731738850772</v>
      </c>
      <c r="N828" s="354" t="s">
        <v>395</v>
      </c>
      <c r="O828" s="354">
        <v>0</v>
      </c>
      <c r="P828" s="374"/>
      <c r="Q828" s="354">
        <v>0</v>
      </c>
      <c r="R828" s="354">
        <v>0</v>
      </c>
      <c r="S828" s="354">
        <v>0</v>
      </c>
      <c r="T828" s="354">
        <v>0</v>
      </c>
      <c r="U828" s="374"/>
      <c r="V828" s="354">
        <v>0</v>
      </c>
      <c r="W828" s="354">
        <v>0</v>
      </c>
      <c r="X828" s="354">
        <v>0</v>
      </c>
      <c r="Y828" s="374"/>
      <c r="Z828" s="354">
        <v>0</v>
      </c>
      <c r="AA828" s="354">
        <v>0</v>
      </c>
      <c r="AB828" s="374"/>
      <c r="AC828" s="376">
        <v>0</v>
      </c>
      <c r="AD828" s="376">
        <v>0</v>
      </c>
      <c r="AE828" s="376">
        <v>0</v>
      </c>
      <c r="AF828" s="374"/>
      <c r="AG828" s="376">
        <v>0</v>
      </c>
      <c r="AH828" s="376">
        <v>0</v>
      </c>
      <c r="AI828" s="376">
        <v>0</v>
      </c>
      <c r="AJ828" s="376">
        <v>0</v>
      </c>
      <c r="AK828" s="374"/>
      <c r="AL828" s="376">
        <v>0</v>
      </c>
      <c r="AM828" s="376">
        <v>0</v>
      </c>
      <c r="AN828" s="376">
        <v>0</v>
      </c>
      <c r="AO828" s="374"/>
      <c r="AP828" s="376">
        <v>0</v>
      </c>
      <c r="AQ828" s="376">
        <v>0</v>
      </c>
      <c r="AR828" s="374"/>
      <c r="AS828" s="376">
        <v>0</v>
      </c>
      <c r="AT828" s="376">
        <v>0</v>
      </c>
      <c r="AU828" s="355"/>
      <c r="AV828" s="354" t="s">
        <v>346</v>
      </c>
      <c r="AW828" s="355">
        <v>0</v>
      </c>
      <c r="AX828" s="355">
        <v>0</v>
      </c>
      <c r="AY828" s="355">
        <v>0</v>
      </c>
      <c r="AZ828" s="355">
        <v>0</v>
      </c>
      <c r="BA828" s="355">
        <v>0</v>
      </c>
      <c r="BB828" s="355">
        <v>0</v>
      </c>
    </row>
    <row r="829" spans="1:54" ht="13.9" customHeight="1" x14ac:dyDescent="0.25">
      <c r="A829" s="422" t="s">
        <v>1023</v>
      </c>
      <c r="B829" s="349">
        <v>23</v>
      </c>
      <c r="C829" s="350" t="s">
        <v>997</v>
      </c>
      <c r="D829" s="574" t="s">
        <v>1024</v>
      </c>
      <c r="E829" s="352"/>
      <c r="F829" s="352">
        <v>6</v>
      </c>
      <c r="G829" s="348" t="s">
        <v>999</v>
      </c>
      <c r="H829" s="353" t="s">
        <v>1012</v>
      </c>
      <c r="I829" s="350" t="s">
        <v>393</v>
      </c>
      <c r="J829" s="577">
        <f>5000+5000</f>
        <v>10000</v>
      </c>
      <c r="K829" s="350" t="s">
        <v>394</v>
      </c>
      <c r="L829" s="354">
        <v>2803.6597999999999</v>
      </c>
      <c r="M829" s="576">
        <f t="shared" si="883"/>
        <v>3.5667665527750549</v>
      </c>
      <c r="N829" s="354" t="s">
        <v>395</v>
      </c>
      <c r="O829" s="354">
        <v>0</v>
      </c>
      <c r="P829" s="374"/>
      <c r="Q829" s="354">
        <v>0</v>
      </c>
      <c r="R829" s="354">
        <v>0</v>
      </c>
      <c r="S829" s="354">
        <v>0</v>
      </c>
      <c r="T829" s="354">
        <v>0</v>
      </c>
      <c r="U829" s="374"/>
      <c r="V829" s="354">
        <v>0</v>
      </c>
      <c r="W829" s="354">
        <v>0</v>
      </c>
      <c r="X829" s="354">
        <v>0</v>
      </c>
      <c r="Y829" s="374"/>
      <c r="Z829" s="354">
        <v>0</v>
      </c>
      <c r="AA829" s="354">
        <v>0</v>
      </c>
      <c r="AB829" s="374"/>
      <c r="AC829" s="376">
        <v>0</v>
      </c>
      <c r="AD829" s="376">
        <v>0</v>
      </c>
      <c r="AE829" s="376">
        <v>0</v>
      </c>
      <c r="AF829" s="374"/>
      <c r="AG829" s="376">
        <v>0</v>
      </c>
      <c r="AH829" s="376">
        <v>0</v>
      </c>
      <c r="AI829" s="376">
        <v>0</v>
      </c>
      <c r="AJ829" s="376">
        <v>0</v>
      </c>
      <c r="AK829" s="374"/>
      <c r="AL829" s="376">
        <v>0</v>
      </c>
      <c r="AM829" s="376">
        <v>0</v>
      </c>
      <c r="AN829" s="376">
        <v>0</v>
      </c>
      <c r="AO829" s="374"/>
      <c r="AP829" s="376">
        <v>0</v>
      </c>
      <c r="AQ829" s="376">
        <v>0</v>
      </c>
      <c r="AR829" s="374"/>
      <c r="AS829" s="376">
        <v>0</v>
      </c>
      <c r="AT829" s="376">
        <v>0</v>
      </c>
      <c r="AU829" s="355"/>
      <c r="AV829" s="354" t="s">
        <v>346</v>
      </c>
      <c r="AW829" s="355">
        <v>0</v>
      </c>
      <c r="AX829" s="355">
        <v>0</v>
      </c>
      <c r="AY829" s="355">
        <v>0</v>
      </c>
      <c r="AZ829" s="355">
        <v>0</v>
      </c>
      <c r="BA829" s="355">
        <v>0</v>
      </c>
      <c r="BB829" s="355">
        <v>0</v>
      </c>
    </row>
    <row r="830" spans="1:54" ht="13.9" customHeight="1" x14ac:dyDescent="0.25">
      <c r="A830" s="422" t="s">
        <v>1023</v>
      </c>
      <c r="B830" s="349">
        <v>23</v>
      </c>
      <c r="C830" s="350" t="s">
        <v>997</v>
      </c>
      <c r="D830" s="574" t="s">
        <v>1024</v>
      </c>
      <c r="E830" s="352"/>
      <c r="F830" s="352">
        <v>6</v>
      </c>
      <c r="G830" s="348" t="s">
        <v>999</v>
      </c>
      <c r="H830" s="353" t="s">
        <v>1014</v>
      </c>
      <c r="I830" s="350" t="s">
        <v>393</v>
      </c>
      <c r="J830" s="577">
        <f>30000+30000+30000+30000+30000+30000+30000+30000+30000+30000+30000+30000+30000+30000</f>
        <v>420000</v>
      </c>
      <c r="K830" s="350" t="s">
        <v>394</v>
      </c>
      <c r="L830" s="354">
        <v>2803.6597999999999</v>
      </c>
      <c r="M830" s="576">
        <f t="shared" si="883"/>
        <v>149.8041952165523</v>
      </c>
      <c r="N830" s="354" t="s">
        <v>395</v>
      </c>
      <c r="O830" s="354">
        <v>0</v>
      </c>
      <c r="P830" s="374"/>
      <c r="Q830" s="354">
        <v>0</v>
      </c>
      <c r="R830" s="354">
        <v>0</v>
      </c>
      <c r="S830" s="354">
        <v>0</v>
      </c>
      <c r="T830" s="354">
        <v>0</v>
      </c>
      <c r="U830" s="374"/>
      <c r="V830" s="354">
        <v>0</v>
      </c>
      <c r="W830" s="354">
        <v>0</v>
      </c>
      <c r="X830" s="354">
        <v>0</v>
      </c>
      <c r="Y830" s="374"/>
      <c r="Z830" s="354">
        <v>0</v>
      </c>
      <c r="AA830" s="354">
        <v>0</v>
      </c>
      <c r="AB830" s="374"/>
      <c r="AC830" s="376">
        <v>0</v>
      </c>
      <c r="AD830" s="376">
        <v>0</v>
      </c>
      <c r="AE830" s="376">
        <v>0</v>
      </c>
      <c r="AF830" s="374"/>
      <c r="AG830" s="376">
        <v>0</v>
      </c>
      <c r="AH830" s="376">
        <v>0</v>
      </c>
      <c r="AI830" s="376">
        <v>0</v>
      </c>
      <c r="AJ830" s="376">
        <v>0</v>
      </c>
      <c r="AK830" s="374"/>
      <c r="AL830" s="376">
        <v>0</v>
      </c>
      <c r="AM830" s="376">
        <v>0</v>
      </c>
      <c r="AN830" s="376">
        <v>0</v>
      </c>
      <c r="AO830" s="374"/>
      <c r="AP830" s="376">
        <v>0</v>
      </c>
      <c r="AQ830" s="376">
        <v>0</v>
      </c>
      <c r="AR830" s="374"/>
      <c r="AS830" s="376">
        <v>0</v>
      </c>
      <c r="AT830" s="376">
        <v>0</v>
      </c>
      <c r="AU830" s="355"/>
      <c r="AV830" s="354" t="s">
        <v>346</v>
      </c>
      <c r="AW830" s="355">
        <v>0</v>
      </c>
      <c r="AX830" s="355">
        <v>0</v>
      </c>
      <c r="AY830" s="355">
        <v>0</v>
      </c>
      <c r="AZ830" s="355">
        <v>0</v>
      </c>
      <c r="BA830" s="355">
        <v>0</v>
      </c>
      <c r="BB830" s="355">
        <v>0</v>
      </c>
    </row>
    <row r="831" spans="1:54" ht="13.9" customHeight="1" x14ac:dyDescent="0.25">
      <c r="A831" s="422" t="s">
        <v>1023</v>
      </c>
      <c r="B831" s="349">
        <v>23</v>
      </c>
      <c r="C831" s="350" t="s">
        <v>997</v>
      </c>
      <c r="D831" s="574" t="s">
        <v>1024</v>
      </c>
      <c r="E831" s="352"/>
      <c r="F831" s="352">
        <v>6</v>
      </c>
      <c r="G831" s="348" t="s">
        <v>999</v>
      </c>
      <c r="H831" s="353" t="s">
        <v>1016</v>
      </c>
      <c r="I831" s="350" t="s">
        <v>393</v>
      </c>
      <c r="J831" s="577">
        <f>125000+125000+125000+125000+125000+125000+125000</f>
        <v>875000</v>
      </c>
      <c r="K831" s="350" t="s">
        <v>394</v>
      </c>
      <c r="L831" s="354">
        <v>2803.6597999999999</v>
      </c>
      <c r="M831" s="576">
        <f t="shared" si="883"/>
        <v>312.09207336781731</v>
      </c>
      <c r="N831" s="354" t="s">
        <v>395</v>
      </c>
      <c r="O831" s="354">
        <v>0</v>
      </c>
      <c r="P831" s="374"/>
      <c r="Q831" s="354">
        <v>0</v>
      </c>
      <c r="R831" s="354">
        <v>0</v>
      </c>
      <c r="S831" s="354">
        <v>0</v>
      </c>
      <c r="T831" s="354">
        <v>0</v>
      </c>
      <c r="U831" s="374"/>
      <c r="V831" s="354">
        <v>0</v>
      </c>
      <c r="W831" s="354">
        <v>0</v>
      </c>
      <c r="X831" s="354">
        <v>0</v>
      </c>
      <c r="Y831" s="374"/>
      <c r="Z831" s="354">
        <v>0</v>
      </c>
      <c r="AA831" s="354">
        <v>0</v>
      </c>
      <c r="AB831" s="374"/>
      <c r="AC831" s="376">
        <v>0</v>
      </c>
      <c r="AD831" s="376">
        <v>0</v>
      </c>
      <c r="AE831" s="376">
        <v>0</v>
      </c>
      <c r="AF831" s="374"/>
      <c r="AG831" s="376">
        <v>0</v>
      </c>
      <c r="AH831" s="376">
        <v>0</v>
      </c>
      <c r="AI831" s="376">
        <v>0</v>
      </c>
      <c r="AJ831" s="376">
        <v>0</v>
      </c>
      <c r="AK831" s="374"/>
      <c r="AL831" s="376">
        <v>0</v>
      </c>
      <c r="AM831" s="376">
        <v>0</v>
      </c>
      <c r="AN831" s="376">
        <v>0</v>
      </c>
      <c r="AO831" s="374"/>
      <c r="AP831" s="376">
        <v>0</v>
      </c>
      <c r="AQ831" s="376">
        <v>0</v>
      </c>
      <c r="AR831" s="374"/>
      <c r="AS831" s="376">
        <v>0</v>
      </c>
      <c r="AT831" s="376">
        <v>0</v>
      </c>
      <c r="AU831" s="355"/>
      <c r="AV831" s="354" t="s">
        <v>346</v>
      </c>
      <c r="AW831" s="355">
        <v>0</v>
      </c>
      <c r="AX831" s="355">
        <v>0</v>
      </c>
      <c r="AY831" s="355">
        <v>0</v>
      </c>
      <c r="AZ831" s="355">
        <v>0</v>
      </c>
      <c r="BA831" s="355">
        <v>0</v>
      </c>
      <c r="BB831" s="355">
        <v>0</v>
      </c>
    </row>
    <row r="832" spans="1:54" ht="13.9" customHeight="1" x14ac:dyDescent="0.25">
      <c r="A832" s="422" t="s">
        <v>1023</v>
      </c>
      <c r="B832" s="349">
        <v>23</v>
      </c>
      <c r="C832" s="350" t="s">
        <v>997</v>
      </c>
      <c r="D832" s="574" t="s">
        <v>1024</v>
      </c>
      <c r="E832" s="352"/>
      <c r="F832" s="352">
        <v>6</v>
      </c>
      <c r="G832" s="348" t="s">
        <v>999</v>
      </c>
      <c r="H832" s="353" t="s">
        <v>1018</v>
      </c>
      <c r="I832" s="350" t="s">
        <v>393</v>
      </c>
      <c r="J832" s="577">
        <f>37500+37500+37500+37500+37500+37500+37500</f>
        <v>262500</v>
      </c>
      <c r="K832" s="350" t="s">
        <v>394</v>
      </c>
      <c r="L832" s="354">
        <v>2803.6597999999999</v>
      </c>
      <c r="M832" s="576">
        <f t="shared" si="883"/>
        <v>93.627622010345192</v>
      </c>
      <c r="N832" s="354" t="s">
        <v>395</v>
      </c>
      <c r="O832" s="354">
        <v>0</v>
      </c>
      <c r="P832" s="374"/>
      <c r="Q832" s="354">
        <v>0</v>
      </c>
      <c r="R832" s="354">
        <v>0</v>
      </c>
      <c r="S832" s="354">
        <v>0</v>
      </c>
      <c r="T832" s="354">
        <v>0</v>
      </c>
      <c r="U832" s="374"/>
      <c r="V832" s="354">
        <v>0</v>
      </c>
      <c r="W832" s="354">
        <v>0</v>
      </c>
      <c r="X832" s="354">
        <v>0</v>
      </c>
      <c r="Y832" s="374"/>
      <c r="Z832" s="354">
        <v>0</v>
      </c>
      <c r="AA832" s="354">
        <v>0</v>
      </c>
      <c r="AB832" s="374"/>
      <c r="AC832" s="376">
        <v>0</v>
      </c>
      <c r="AD832" s="376">
        <v>0</v>
      </c>
      <c r="AE832" s="376">
        <v>0</v>
      </c>
      <c r="AF832" s="374"/>
      <c r="AG832" s="376">
        <v>0</v>
      </c>
      <c r="AH832" s="376">
        <v>0</v>
      </c>
      <c r="AI832" s="376">
        <v>0</v>
      </c>
      <c r="AJ832" s="376">
        <v>0</v>
      </c>
      <c r="AK832" s="374"/>
      <c r="AL832" s="376">
        <v>0</v>
      </c>
      <c r="AM832" s="376">
        <v>0</v>
      </c>
      <c r="AN832" s="376">
        <v>0</v>
      </c>
      <c r="AO832" s="374"/>
      <c r="AP832" s="376">
        <v>0</v>
      </c>
      <c r="AQ832" s="376">
        <v>0</v>
      </c>
      <c r="AR832" s="374"/>
      <c r="AS832" s="376">
        <v>0</v>
      </c>
      <c r="AT832" s="376">
        <v>0</v>
      </c>
      <c r="AU832" s="355"/>
      <c r="AV832" s="354" t="s">
        <v>346</v>
      </c>
      <c r="AW832" s="355">
        <v>0</v>
      </c>
      <c r="AX832" s="355">
        <v>0</v>
      </c>
      <c r="AY832" s="355">
        <v>0</v>
      </c>
      <c r="AZ832" s="355">
        <v>0</v>
      </c>
      <c r="BA832" s="355">
        <v>0</v>
      </c>
      <c r="BB832" s="355">
        <v>0</v>
      </c>
    </row>
    <row r="833" spans="1:54" ht="13.9" customHeight="1" x14ac:dyDescent="0.25">
      <c r="A833" s="422" t="s">
        <v>1023</v>
      </c>
      <c r="B833" s="349">
        <v>23</v>
      </c>
      <c r="C833" s="350" t="s">
        <v>997</v>
      </c>
      <c r="D833" s="574" t="s">
        <v>1024</v>
      </c>
      <c r="E833" s="352"/>
      <c r="F833" s="352">
        <v>6</v>
      </c>
      <c r="G833" s="348" t="s">
        <v>999</v>
      </c>
      <c r="H833" s="381" t="s">
        <v>1019</v>
      </c>
      <c r="I833" s="350" t="s">
        <v>393</v>
      </c>
      <c r="J833" s="577">
        <f>30000+10000+10000+10000</f>
        <v>60000</v>
      </c>
      <c r="K833" s="350" t="s">
        <v>394</v>
      </c>
      <c r="L833" s="354">
        <v>2803.6597999999999</v>
      </c>
      <c r="M833" s="576">
        <f t="shared" si="883"/>
        <v>21.400599316650329</v>
      </c>
      <c r="N833" s="354" t="s">
        <v>395</v>
      </c>
      <c r="O833" s="354">
        <v>0</v>
      </c>
      <c r="P833" s="374"/>
      <c r="Q833" s="354">
        <v>0</v>
      </c>
      <c r="R833" s="354">
        <v>0</v>
      </c>
      <c r="S833" s="354">
        <v>0</v>
      </c>
      <c r="T833" s="354">
        <v>0</v>
      </c>
      <c r="U833" s="374"/>
      <c r="V833" s="354">
        <v>0</v>
      </c>
      <c r="W833" s="354">
        <v>0</v>
      </c>
      <c r="X833" s="354">
        <v>0</v>
      </c>
      <c r="Y833" s="374"/>
      <c r="Z833" s="354">
        <v>0</v>
      </c>
      <c r="AA833" s="354">
        <v>0</v>
      </c>
      <c r="AB833" s="374"/>
      <c r="AC833" s="376">
        <v>0</v>
      </c>
      <c r="AD833" s="376">
        <v>0</v>
      </c>
      <c r="AE833" s="376">
        <v>0</v>
      </c>
      <c r="AF833" s="374"/>
      <c r="AG833" s="376">
        <v>0</v>
      </c>
      <c r="AH833" s="376">
        <v>0</v>
      </c>
      <c r="AI833" s="376">
        <v>0</v>
      </c>
      <c r="AJ833" s="376">
        <v>0</v>
      </c>
      <c r="AK833" s="374"/>
      <c r="AL833" s="376">
        <v>0</v>
      </c>
      <c r="AM833" s="376">
        <v>0</v>
      </c>
      <c r="AN833" s="376">
        <v>0</v>
      </c>
      <c r="AO833" s="374"/>
      <c r="AP833" s="376">
        <v>0</v>
      </c>
      <c r="AQ833" s="376">
        <v>0</v>
      </c>
      <c r="AR833" s="374"/>
      <c r="AS833" s="376">
        <v>0</v>
      </c>
      <c r="AT833" s="376">
        <v>0</v>
      </c>
      <c r="AU833" s="355"/>
      <c r="AV833" s="354" t="s">
        <v>346</v>
      </c>
      <c r="AW833" s="355">
        <v>0</v>
      </c>
      <c r="AX833" s="355">
        <v>0</v>
      </c>
      <c r="AY833" s="355">
        <v>0</v>
      </c>
      <c r="AZ833" s="355">
        <v>0</v>
      </c>
      <c r="BA833" s="355">
        <v>0</v>
      </c>
      <c r="BB833" s="355">
        <v>0</v>
      </c>
    </row>
    <row r="834" spans="1:54" x14ac:dyDescent="0.25">
      <c r="A834" s="348" t="s">
        <v>1027</v>
      </c>
      <c r="B834" s="349">
        <v>30</v>
      </c>
      <c r="C834" s="350" t="s">
        <v>970</v>
      </c>
      <c r="D834" s="574" t="s">
        <v>1028</v>
      </c>
      <c r="E834" s="352"/>
      <c r="F834" s="352">
        <v>6</v>
      </c>
      <c r="G834" s="348" t="s">
        <v>999</v>
      </c>
      <c r="H834" s="353" t="s">
        <v>1029</v>
      </c>
      <c r="I834" s="350" t="s">
        <v>393</v>
      </c>
      <c r="J834" s="575">
        <v>300000</v>
      </c>
      <c r="K834" s="350" t="s">
        <v>394</v>
      </c>
      <c r="L834" s="354">
        <v>2803.6597999999999</v>
      </c>
      <c r="M834" s="576">
        <f t="shared" si="883"/>
        <v>107.00299658325166</v>
      </c>
      <c r="N834" s="354" t="s">
        <v>395</v>
      </c>
      <c r="O834" s="354">
        <v>0</v>
      </c>
      <c r="P834" s="374"/>
      <c r="Q834" s="354">
        <v>0</v>
      </c>
      <c r="R834" s="354">
        <v>0</v>
      </c>
      <c r="S834" s="354">
        <v>0</v>
      </c>
      <c r="T834" s="354">
        <v>0</v>
      </c>
      <c r="U834" s="374"/>
      <c r="V834" s="354">
        <v>0</v>
      </c>
      <c r="W834" s="354">
        <v>0</v>
      </c>
      <c r="X834" s="354">
        <v>0</v>
      </c>
      <c r="Y834" s="374"/>
      <c r="Z834" s="354">
        <v>0</v>
      </c>
      <c r="AA834" s="354">
        <v>0</v>
      </c>
      <c r="AB834" s="374"/>
      <c r="AC834" s="376">
        <v>0</v>
      </c>
      <c r="AD834" s="376">
        <v>0</v>
      </c>
      <c r="AE834" s="376">
        <v>0</v>
      </c>
      <c r="AF834" s="374"/>
      <c r="AG834" s="376">
        <v>0</v>
      </c>
      <c r="AH834" s="376">
        <v>0</v>
      </c>
      <c r="AI834" s="376">
        <v>0</v>
      </c>
      <c r="AJ834" s="376">
        <v>0</v>
      </c>
      <c r="AK834" s="374"/>
      <c r="AL834" s="376">
        <v>0</v>
      </c>
      <c r="AM834" s="376">
        <v>0</v>
      </c>
      <c r="AN834" s="376">
        <v>0</v>
      </c>
      <c r="AO834" s="374"/>
      <c r="AP834" s="376">
        <v>0</v>
      </c>
      <c r="AQ834" s="376">
        <v>0</v>
      </c>
      <c r="AR834" s="374"/>
      <c r="AS834" s="376">
        <v>0</v>
      </c>
      <c r="AT834" s="376">
        <v>0</v>
      </c>
      <c r="AU834" s="355"/>
      <c r="AV834" s="354" t="s">
        <v>346</v>
      </c>
      <c r="AW834" s="355">
        <v>0</v>
      </c>
      <c r="AX834" s="355">
        <v>0</v>
      </c>
      <c r="AY834" s="355">
        <v>0</v>
      </c>
      <c r="AZ834" s="355">
        <v>0</v>
      </c>
      <c r="BA834" s="355">
        <v>0</v>
      </c>
      <c r="BB834" s="355">
        <v>0</v>
      </c>
    </row>
    <row r="835" spans="1:54" x14ac:dyDescent="0.25">
      <c r="A835" s="348" t="s">
        <v>1030</v>
      </c>
      <c r="B835" s="349">
        <v>30</v>
      </c>
      <c r="C835" s="350" t="s">
        <v>970</v>
      </c>
      <c r="D835" s="574" t="s">
        <v>1028</v>
      </c>
      <c r="E835" s="352"/>
      <c r="F835" s="352">
        <v>6</v>
      </c>
      <c r="G835" s="348" t="s">
        <v>999</v>
      </c>
      <c r="H835" s="353" t="s">
        <v>1029</v>
      </c>
      <c r="I835" s="350" t="s">
        <v>393</v>
      </c>
      <c r="J835" s="575">
        <v>300000</v>
      </c>
      <c r="K835" s="350" t="s">
        <v>394</v>
      </c>
      <c r="L835" s="354">
        <v>2803.6597999999999</v>
      </c>
      <c r="M835" s="576">
        <f t="shared" si="883"/>
        <v>107.00299658325166</v>
      </c>
      <c r="N835" s="354" t="s">
        <v>395</v>
      </c>
      <c r="O835" s="354">
        <v>0</v>
      </c>
      <c r="P835" s="374"/>
      <c r="Q835" s="354">
        <v>0</v>
      </c>
      <c r="R835" s="354">
        <v>0</v>
      </c>
      <c r="S835" s="354">
        <v>0</v>
      </c>
      <c r="T835" s="354">
        <v>0</v>
      </c>
      <c r="U835" s="374"/>
      <c r="V835" s="354">
        <v>0</v>
      </c>
      <c r="W835" s="354">
        <v>0</v>
      </c>
      <c r="X835" s="354">
        <v>0</v>
      </c>
      <c r="Y835" s="374"/>
      <c r="Z835" s="354">
        <v>0</v>
      </c>
      <c r="AA835" s="354">
        <v>0</v>
      </c>
      <c r="AB835" s="374"/>
      <c r="AC835" s="376">
        <v>0</v>
      </c>
      <c r="AD835" s="376">
        <v>0</v>
      </c>
      <c r="AE835" s="376">
        <v>0</v>
      </c>
      <c r="AF835" s="374"/>
      <c r="AG835" s="376">
        <v>0</v>
      </c>
      <c r="AH835" s="376">
        <v>0</v>
      </c>
      <c r="AI835" s="376">
        <v>0</v>
      </c>
      <c r="AJ835" s="376">
        <v>0</v>
      </c>
      <c r="AK835" s="374"/>
      <c r="AL835" s="376">
        <v>0</v>
      </c>
      <c r="AM835" s="376">
        <v>0</v>
      </c>
      <c r="AN835" s="376">
        <v>0</v>
      </c>
      <c r="AO835" s="374"/>
      <c r="AP835" s="376">
        <v>0</v>
      </c>
      <c r="AQ835" s="376">
        <v>0</v>
      </c>
      <c r="AR835" s="374"/>
      <c r="AS835" s="376">
        <v>0</v>
      </c>
      <c r="AT835" s="376">
        <v>0</v>
      </c>
      <c r="AU835" s="355"/>
      <c r="AV835" s="354" t="s">
        <v>346</v>
      </c>
      <c r="AW835" s="355">
        <v>0</v>
      </c>
      <c r="AX835" s="355">
        <v>0</v>
      </c>
      <c r="AY835" s="355">
        <v>0</v>
      </c>
      <c r="AZ835" s="355">
        <v>0</v>
      </c>
      <c r="BA835" s="355">
        <v>0</v>
      </c>
      <c r="BB835" s="355">
        <v>0</v>
      </c>
    </row>
    <row r="836" spans="1:54" x14ac:dyDescent="0.25">
      <c r="A836" s="348" t="s">
        <v>1031</v>
      </c>
      <c r="B836" s="349">
        <v>30</v>
      </c>
      <c r="C836" s="350" t="s">
        <v>970</v>
      </c>
      <c r="D836" s="574" t="s">
        <v>1028</v>
      </c>
      <c r="E836" s="352"/>
      <c r="F836" s="352">
        <v>6</v>
      </c>
      <c r="G836" s="348" t="s">
        <v>999</v>
      </c>
      <c r="H836" s="353" t="s">
        <v>1029</v>
      </c>
      <c r="I836" s="350" t="s">
        <v>393</v>
      </c>
      <c r="J836" s="575">
        <v>300000</v>
      </c>
      <c r="K836" s="350" t="s">
        <v>394</v>
      </c>
      <c r="L836" s="354">
        <v>2803.6597999999999</v>
      </c>
      <c r="M836" s="576">
        <f t="shared" si="883"/>
        <v>107.00299658325166</v>
      </c>
      <c r="N836" s="354" t="s">
        <v>395</v>
      </c>
      <c r="O836" s="354">
        <v>0</v>
      </c>
      <c r="P836" s="374"/>
      <c r="Q836" s="354">
        <v>0</v>
      </c>
      <c r="R836" s="354">
        <v>0</v>
      </c>
      <c r="S836" s="354">
        <v>0</v>
      </c>
      <c r="T836" s="354">
        <v>0</v>
      </c>
      <c r="U836" s="374"/>
      <c r="V836" s="354">
        <v>0</v>
      </c>
      <c r="W836" s="354">
        <v>0</v>
      </c>
      <c r="X836" s="354">
        <v>0</v>
      </c>
      <c r="Y836" s="374"/>
      <c r="Z836" s="354">
        <v>0</v>
      </c>
      <c r="AA836" s="354">
        <v>0</v>
      </c>
      <c r="AB836" s="374"/>
      <c r="AC836" s="376">
        <v>0</v>
      </c>
      <c r="AD836" s="376">
        <v>0</v>
      </c>
      <c r="AE836" s="376">
        <v>0</v>
      </c>
      <c r="AF836" s="374"/>
      <c r="AG836" s="376">
        <v>0</v>
      </c>
      <c r="AH836" s="376">
        <v>0</v>
      </c>
      <c r="AI836" s="376">
        <v>0</v>
      </c>
      <c r="AJ836" s="376">
        <v>0</v>
      </c>
      <c r="AK836" s="374"/>
      <c r="AL836" s="376">
        <v>0</v>
      </c>
      <c r="AM836" s="376">
        <v>0</v>
      </c>
      <c r="AN836" s="376">
        <v>0</v>
      </c>
      <c r="AO836" s="374"/>
      <c r="AP836" s="376">
        <v>0</v>
      </c>
      <c r="AQ836" s="376">
        <v>0</v>
      </c>
      <c r="AR836" s="374"/>
      <c r="AS836" s="376">
        <v>0</v>
      </c>
      <c r="AT836" s="376">
        <v>0</v>
      </c>
      <c r="AU836" s="355"/>
      <c r="AV836" s="354" t="s">
        <v>346</v>
      </c>
      <c r="AW836" s="355">
        <v>0</v>
      </c>
      <c r="AX836" s="355">
        <v>0</v>
      </c>
      <c r="AY836" s="355">
        <v>0</v>
      </c>
      <c r="AZ836" s="355">
        <v>0</v>
      </c>
      <c r="BA836" s="355">
        <v>0</v>
      </c>
      <c r="BB836" s="355">
        <v>0</v>
      </c>
    </row>
    <row r="837" spans="1:54" x14ac:dyDescent="0.25">
      <c r="A837" s="348" t="s">
        <v>1032</v>
      </c>
      <c r="B837" s="349">
        <v>30</v>
      </c>
      <c r="C837" s="350" t="s">
        <v>970</v>
      </c>
      <c r="D837" s="574" t="s">
        <v>1028</v>
      </c>
      <c r="E837" s="352"/>
      <c r="F837" s="352">
        <v>6</v>
      </c>
      <c r="G837" s="348" t="s">
        <v>999</v>
      </c>
      <c r="H837" s="353" t="s">
        <v>1029</v>
      </c>
      <c r="I837" s="350" t="s">
        <v>393</v>
      </c>
      <c r="J837" s="575">
        <v>300000</v>
      </c>
      <c r="K837" s="350" t="s">
        <v>394</v>
      </c>
      <c r="L837" s="354">
        <v>2803.6597999999999</v>
      </c>
      <c r="M837" s="576">
        <f t="shared" si="883"/>
        <v>107.00299658325166</v>
      </c>
      <c r="N837" s="354" t="s">
        <v>395</v>
      </c>
      <c r="O837" s="354">
        <v>0</v>
      </c>
      <c r="P837" s="374"/>
      <c r="Q837" s="354">
        <v>0</v>
      </c>
      <c r="R837" s="354">
        <v>0</v>
      </c>
      <c r="S837" s="354">
        <v>0</v>
      </c>
      <c r="T837" s="354">
        <v>0</v>
      </c>
      <c r="U837" s="374"/>
      <c r="V837" s="354">
        <v>0</v>
      </c>
      <c r="W837" s="354">
        <v>0</v>
      </c>
      <c r="X837" s="354">
        <v>0</v>
      </c>
      <c r="Y837" s="374"/>
      <c r="Z837" s="354">
        <v>0</v>
      </c>
      <c r="AA837" s="354">
        <v>0</v>
      </c>
      <c r="AB837" s="374"/>
      <c r="AC837" s="376">
        <v>0</v>
      </c>
      <c r="AD837" s="376">
        <v>0</v>
      </c>
      <c r="AE837" s="376">
        <v>0</v>
      </c>
      <c r="AF837" s="374"/>
      <c r="AG837" s="376">
        <v>0</v>
      </c>
      <c r="AH837" s="376">
        <v>0</v>
      </c>
      <c r="AI837" s="376">
        <v>0</v>
      </c>
      <c r="AJ837" s="376">
        <v>0</v>
      </c>
      <c r="AK837" s="374"/>
      <c r="AL837" s="376">
        <v>0</v>
      </c>
      <c r="AM837" s="376">
        <v>0</v>
      </c>
      <c r="AN837" s="376">
        <v>0</v>
      </c>
      <c r="AO837" s="374"/>
      <c r="AP837" s="376">
        <v>0</v>
      </c>
      <c r="AQ837" s="376">
        <v>0</v>
      </c>
      <c r="AR837" s="374"/>
      <c r="AS837" s="376">
        <v>0</v>
      </c>
      <c r="AT837" s="376">
        <v>0</v>
      </c>
      <c r="AU837" s="355"/>
      <c r="AV837" s="354" t="s">
        <v>346</v>
      </c>
      <c r="AW837" s="355">
        <v>0</v>
      </c>
      <c r="AX837" s="355">
        <v>0</v>
      </c>
      <c r="AY837" s="355">
        <v>0</v>
      </c>
      <c r="AZ837" s="355">
        <v>0</v>
      </c>
      <c r="BA837" s="355">
        <v>0</v>
      </c>
      <c r="BB837" s="355">
        <v>0</v>
      </c>
    </row>
    <row r="838" spans="1:54" x14ac:dyDescent="0.25">
      <c r="A838" s="348" t="s">
        <v>1033</v>
      </c>
      <c r="B838" s="349">
        <v>30</v>
      </c>
      <c r="C838" s="350" t="s">
        <v>970</v>
      </c>
      <c r="D838" s="574" t="s">
        <v>1028</v>
      </c>
      <c r="E838" s="352"/>
      <c r="F838" s="352">
        <v>6</v>
      </c>
      <c r="G838" s="348" t="s">
        <v>999</v>
      </c>
      <c r="H838" s="353" t="s">
        <v>1029</v>
      </c>
      <c r="I838" s="350" t="s">
        <v>393</v>
      </c>
      <c r="J838" s="575">
        <v>300000</v>
      </c>
      <c r="K838" s="350" t="s">
        <v>394</v>
      </c>
      <c r="L838" s="354">
        <v>2803.6597999999999</v>
      </c>
      <c r="M838" s="576">
        <f t="shared" si="883"/>
        <v>107.00299658325166</v>
      </c>
      <c r="N838" s="354" t="s">
        <v>395</v>
      </c>
      <c r="O838" s="354">
        <v>0</v>
      </c>
      <c r="P838" s="374"/>
      <c r="Q838" s="354">
        <v>0</v>
      </c>
      <c r="R838" s="354">
        <v>0</v>
      </c>
      <c r="S838" s="354">
        <v>0</v>
      </c>
      <c r="T838" s="354">
        <v>0</v>
      </c>
      <c r="U838" s="374"/>
      <c r="V838" s="354">
        <v>0</v>
      </c>
      <c r="W838" s="354">
        <v>0</v>
      </c>
      <c r="X838" s="354">
        <v>0</v>
      </c>
      <c r="Y838" s="374"/>
      <c r="Z838" s="354">
        <v>0</v>
      </c>
      <c r="AA838" s="354">
        <v>0</v>
      </c>
      <c r="AB838" s="374"/>
      <c r="AC838" s="376">
        <v>0</v>
      </c>
      <c r="AD838" s="376">
        <v>0</v>
      </c>
      <c r="AE838" s="376">
        <v>0</v>
      </c>
      <c r="AF838" s="374"/>
      <c r="AG838" s="376">
        <v>0</v>
      </c>
      <c r="AH838" s="376">
        <v>0</v>
      </c>
      <c r="AI838" s="376">
        <v>0</v>
      </c>
      <c r="AJ838" s="376">
        <v>0</v>
      </c>
      <c r="AK838" s="374"/>
      <c r="AL838" s="376">
        <v>0</v>
      </c>
      <c r="AM838" s="376">
        <v>0</v>
      </c>
      <c r="AN838" s="376">
        <v>0</v>
      </c>
      <c r="AO838" s="374"/>
      <c r="AP838" s="376">
        <v>0</v>
      </c>
      <c r="AQ838" s="376">
        <v>0</v>
      </c>
      <c r="AR838" s="374"/>
      <c r="AS838" s="376">
        <v>0</v>
      </c>
      <c r="AT838" s="376">
        <v>0</v>
      </c>
      <c r="AU838" s="355"/>
      <c r="AV838" s="354" t="s">
        <v>346</v>
      </c>
      <c r="AW838" s="355">
        <v>0</v>
      </c>
      <c r="AX838" s="355">
        <v>0</v>
      </c>
      <c r="AY838" s="355">
        <v>0</v>
      </c>
      <c r="AZ838" s="355">
        <v>0</v>
      </c>
      <c r="BA838" s="355">
        <v>0</v>
      </c>
      <c r="BB838" s="355">
        <v>0</v>
      </c>
    </row>
    <row r="839" spans="1:54" x14ac:dyDescent="0.25">
      <c r="A839" s="348" t="s">
        <v>1034</v>
      </c>
      <c r="B839" s="349">
        <v>30</v>
      </c>
      <c r="C839" s="350" t="s">
        <v>970</v>
      </c>
      <c r="D839" s="574" t="s">
        <v>1028</v>
      </c>
      <c r="E839" s="352"/>
      <c r="F839" s="352">
        <v>6</v>
      </c>
      <c r="G839" s="348" t="s">
        <v>999</v>
      </c>
      <c r="H839" s="353" t="s">
        <v>1029</v>
      </c>
      <c r="I839" s="350" t="s">
        <v>393</v>
      </c>
      <c r="J839" s="575">
        <v>300000</v>
      </c>
      <c r="K839" s="350" t="s">
        <v>394</v>
      </c>
      <c r="L839" s="354">
        <v>2803.6597999999999</v>
      </c>
      <c r="M839" s="576">
        <f t="shared" si="883"/>
        <v>107.00299658325166</v>
      </c>
      <c r="N839" s="354" t="s">
        <v>395</v>
      </c>
      <c r="O839" s="354">
        <v>0</v>
      </c>
      <c r="P839" s="374"/>
      <c r="Q839" s="354">
        <v>0</v>
      </c>
      <c r="R839" s="354">
        <v>0</v>
      </c>
      <c r="S839" s="354">
        <v>0</v>
      </c>
      <c r="T839" s="354">
        <v>0</v>
      </c>
      <c r="U839" s="374"/>
      <c r="V839" s="354">
        <v>0</v>
      </c>
      <c r="W839" s="354">
        <v>0</v>
      </c>
      <c r="X839" s="354">
        <v>0</v>
      </c>
      <c r="Y839" s="374"/>
      <c r="Z839" s="354">
        <v>0</v>
      </c>
      <c r="AA839" s="354">
        <v>0</v>
      </c>
      <c r="AB839" s="374"/>
      <c r="AC839" s="376">
        <v>0</v>
      </c>
      <c r="AD839" s="376">
        <v>0</v>
      </c>
      <c r="AE839" s="376">
        <v>0</v>
      </c>
      <c r="AF839" s="374"/>
      <c r="AG839" s="376">
        <v>0</v>
      </c>
      <c r="AH839" s="376">
        <v>0</v>
      </c>
      <c r="AI839" s="376">
        <v>0</v>
      </c>
      <c r="AJ839" s="376">
        <v>0</v>
      </c>
      <c r="AK839" s="374"/>
      <c r="AL839" s="376">
        <v>0</v>
      </c>
      <c r="AM839" s="376">
        <v>0</v>
      </c>
      <c r="AN839" s="376">
        <v>0</v>
      </c>
      <c r="AO839" s="374"/>
      <c r="AP839" s="376">
        <v>0</v>
      </c>
      <c r="AQ839" s="376">
        <v>0</v>
      </c>
      <c r="AR839" s="374"/>
      <c r="AS839" s="376">
        <v>0</v>
      </c>
      <c r="AT839" s="376">
        <v>0</v>
      </c>
      <c r="AU839" s="355"/>
      <c r="AV839" s="354" t="s">
        <v>346</v>
      </c>
      <c r="AW839" s="355">
        <v>0</v>
      </c>
      <c r="AX839" s="355">
        <v>0</v>
      </c>
      <c r="AY839" s="355">
        <v>0</v>
      </c>
      <c r="AZ839" s="355">
        <v>0</v>
      </c>
      <c r="BA839" s="355">
        <v>0</v>
      </c>
      <c r="BB839" s="355">
        <v>0</v>
      </c>
    </row>
    <row r="840" spans="1:54" x14ac:dyDescent="0.25">
      <c r="A840" s="348" t="s">
        <v>1034</v>
      </c>
      <c r="B840" s="349">
        <v>30</v>
      </c>
      <c r="C840" s="350" t="s">
        <v>970</v>
      </c>
      <c r="D840" s="574" t="s">
        <v>1028</v>
      </c>
      <c r="E840" s="352"/>
      <c r="F840" s="352">
        <v>6</v>
      </c>
      <c r="G840" s="348" t="s">
        <v>999</v>
      </c>
      <c r="H840" s="353" t="s">
        <v>1035</v>
      </c>
      <c r="I840" s="350" t="s">
        <v>393</v>
      </c>
      <c r="J840" s="575">
        <v>463000</v>
      </c>
      <c r="K840" s="350" t="s">
        <v>394</v>
      </c>
      <c r="L840" s="354">
        <v>2803.6597999999999</v>
      </c>
      <c r="M840" s="576">
        <f t="shared" si="883"/>
        <v>165.14129139348506</v>
      </c>
      <c r="N840" s="354" t="s">
        <v>395</v>
      </c>
      <c r="O840" s="354">
        <v>0</v>
      </c>
      <c r="P840" s="374"/>
      <c r="Q840" s="354">
        <v>0</v>
      </c>
      <c r="R840" s="354">
        <v>0</v>
      </c>
      <c r="S840" s="354">
        <v>0</v>
      </c>
      <c r="T840" s="354">
        <v>0</v>
      </c>
      <c r="U840" s="374"/>
      <c r="V840" s="354">
        <v>0</v>
      </c>
      <c r="W840" s="354">
        <v>0</v>
      </c>
      <c r="X840" s="354">
        <v>0</v>
      </c>
      <c r="Y840" s="374"/>
      <c r="Z840" s="354">
        <v>0</v>
      </c>
      <c r="AA840" s="354">
        <v>0</v>
      </c>
      <c r="AB840" s="374"/>
      <c r="AC840" s="376">
        <v>0</v>
      </c>
      <c r="AD840" s="376">
        <v>0</v>
      </c>
      <c r="AE840" s="376">
        <v>0</v>
      </c>
      <c r="AF840" s="374"/>
      <c r="AG840" s="376">
        <v>0</v>
      </c>
      <c r="AH840" s="376">
        <v>0</v>
      </c>
      <c r="AI840" s="376">
        <v>0</v>
      </c>
      <c r="AJ840" s="376">
        <v>0</v>
      </c>
      <c r="AK840" s="374"/>
      <c r="AL840" s="376">
        <v>0</v>
      </c>
      <c r="AM840" s="376">
        <v>0</v>
      </c>
      <c r="AN840" s="376">
        <v>0</v>
      </c>
      <c r="AO840" s="374"/>
      <c r="AP840" s="376">
        <v>0</v>
      </c>
      <c r="AQ840" s="376">
        <v>0</v>
      </c>
      <c r="AR840" s="374"/>
      <c r="AS840" s="376">
        <v>0</v>
      </c>
      <c r="AT840" s="376">
        <v>0</v>
      </c>
      <c r="AU840" s="355"/>
      <c r="AV840" s="354" t="s">
        <v>346</v>
      </c>
      <c r="AW840" s="355">
        <v>0</v>
      </c>
      <c r="AX840" s="355">
        <v>0</v>
      </c>
      <c r="AY840" s="355">
        <v>0</v>
      </c>
      <c r="AZ840" s="355">
        <v>0</v>
      </c>
      <c r="BA840" s="355">
        <v>0</v>
      </c>
      <c r="BB840" s="355">
        <v>0</v>
      </c>
    </row>
    <row r="841" spans="1:54" x14ac:dyDescent="0.25">
      <c r="A841" s="348" t="s">
        <v>1353</v>
      </c>
      <c r="B841" s="349">
        <v>68</v>
      </c>
      <c r="C841" s="350" t="s">
        <v>997</v>
      </c>
      <c r="D841" s="351">
        <v>45159</v>
      </c>
      <c r="E841" s="352"/>
      <c r="F841" s="352">
        <v>6</v>
      </c>
      <c r="G841" s="348" t="s">
        <v>999</v>
      </c>
      <c r="H841" s="350" t="s">
        <v>1354</v>
      </c>
      <c r="I841" s="350" t="s">
        <v>393</v>
      </c>
      <c r="J841" s="375">
        <v>35000</v>
      </c>
      <c r="K841" s="350" t="s">
        <v>394</v>
      </c>
      <c r="L841" s="354">
        <v>2802.3999950000002</v>
      </c>
      <c r="M841" s="578">
        <f t="shared" ref="M841:M846" si="884">J841/L841</f>
        <v>12.489294912377417</v>
      </c>
      <c r="N841" s="354" t="s">
        <v>395</v>
      </c>
      <c r="O841" s="354">
        <v>0</v>
      </c>
      <c r="P841" s="374"/>
      <c r="Q841" s="354">
        <v>0</v>
      </c>
      <c r="R841" s="354">
        <v>0</v>
      </c>
      <c r="S841" s="354">
        <v>0</v>
      </c>
      <c r="T841" s="354">
        <v>0</v>
      </c>
      <c r="U841" s="374"/>
      <c r="V841" s="354">
        <v>0</v>
      </c>
      <c r="W841" s="354">
        <v>0</v>
      </c>
      <c r="X841" s="354">
        <v>0</v>
      </c>
      <c r="Y841" s="374"/>
      <c r="Z841" s="354">
        <v>0</v>
      </c>
      <c r="AA841" s="354">
        <v>0</v>
      </c>
      <c r="AB841" s="374"/>
      <c r="AC841" s="376">
        <v>0</v>
      </c>
      <c r="AD841" s="376">
        <v>0</v>
      </c>
      <c r="AE841" s="376">
        <v>0</v>
      </c>
      <c r="AF841" s="374"/>
      <c r="AG841" s="376">
        <v>0</v>
      </c>
      <c r="AH841" s="376">
        <v>0</v>
      </c>
      <c r="AI841" s="376">
        <v>0</v>
      </c>
      <c r="AJ841" s="376">
        <v>0</v>
      </c>
      <c r="AK841" s="374"/>
      <c r="AL841" s="376">
        <v>0</v>
      </c>
      <c r="AM841" s="376">
        <v>0</v>
      </c>
      <c r="AN841" s="376">
        <v>0</v>
      </c>
      <c r="AO841" s="374"/>
      <c r="AP841" s="376">
        <v>0</v>
      </c>
      <c r="AQ841" s="376">
        <v>0</v>
      </c>
      <c r="AR841" s="374"/>
      <c r="AS841" s="376">
        <v>0</v>
      </c>
      <c r="AT841" s="376">
        <v>0</v>
      </c>
      <c r="AU841" s="355" t="s">
        <v>396</v>
      </c>
      <c r="AV841" s="354" t="s">
        <v>397</v>
      </c>
      <c r="AW841" s="355">
        <v>0</v>
      </c>
      <c r="AX841" s="355">
        <v>0</v>
      </c>
      <c r="AY841" s="355">
        <v>0</v>
      </c>
      <c r="AZ841" s="355">
        <v>0</v>
      </c>
      <c r="BA841" s="355">
        <v>0</v>
      </c>
      <c r="BB841" s="355">
        <v>0</v>
      </c>
    </row>
    <row r="842" spans="1:54" x14ac:dyDescent="0.25">
      <c r="A842" s="348" t="s">
        <v>1353</v>
      </c>
      <c r="B842" s="349">
        <v>69</v>
      </c>
      <c r="C842" s="350" t="s">
        <v>997</v>
      </c>
      <c r="D842" s="351">
        <v>45159</v>
      </c>
      <c r="E842" s="352"/>
      <c r="F842" s="352">
        <v>6</v>
      </c>
      <c r="G842" s="348" t="s">
        <v>999</v>
      </c>
      <c r="H842" s="350" t="s">
        <v>1164</v>
      </c>
      <c r="I842" s="350" t="s">
        <v>393</v>
      </c>
      <c r="J842" s="375">
        <v>90000</v>
      </c>
      <c r="K842" s="350" t="s">
        <v>394</v>
      </c>
      <c r="L842" s="354">
        <v>2802.3999950000002</v>
      </c>
      <c r="M842" s="578">
        <f t="shared" si="884"/>
        <v>32.115329774684788</v>
      </c>
      <c r="N842" s="354" t="s">
        <v>395</v>
      </c>
      <c r="O842" s="354">
        <v>0</v>
      </c>
      <c r="P842" s="374"/>
      <c r="Q842" s="354">
        <v>0</v>
      </c>
      <c r="R842" s="354">
        <v>0</v>
      </c>
      <c r="S842" s="354">
        <v>0</v>
      </c>
      <c r="T842" s="354">
        <v>0</v>
      </c>
      <c r="U842" s="374"/>
      <c r="V842" s="354">
        <v>0</v>
      </c>
      <c r="W842" s="354">
        <v>0</v>
      </c>
      <c r="X842" s="354">
        <v>0</v>
      </c>
      <c r="Y842" s="374"/>
      <c r="Z842" s="354">
        <v>0</v>
      </c>
      <c r="AA842" s="354">
        <v>0</v>
      </c>
      <c r="AB842" s="374"/>
      <c r="AC842" s="376">
        <v>0</v>
      </c>
      <c r="AD842" s="376">
        <v>0</v>
      </c>
      <c r="AE842" s="376">
        <v>0</v>
      </c>
      <c r="AF842" s="374"/>
      <c r="AG842" s="376">
        <v>0</v>
      </c>
      <c r="AH842" s="376">
        <v>0</v>
      </c>
      <c r="AI842" s="376">
        <v>0</v>
      </c>
      <c r="AJ842" s="376">
        <v>0</v>
      </c>
      <c r="AK842" s="374"/>
      <c r="AL842" s="376">
        <v>0</v>
      </c>
      <c r="AM842" s="376">
        <v>0</v>
      </c>
      <c r="AN842" s="376">
        <v>0</v>
      </c>
      <c r="AO842" s="374"/>
      <c r="AP842" s="376">
        <v>0</v>
      </c>
      <c r="AQ842" s="376">
        <v>0</v>
      </c>
      <c r="AR842" s="374"/>
      <c r="AS842" s="376">
        <v>0</v>
      </c>
      <c r="AT842" s="376">
        <v>0</v>
      </c>
      <c r="AU842" s="355" t="s">
        <v>396</v>
      </c>
      <c r="AV842" s="354" t="s">
        <v>397</v>
      </c>
      <c r="AW842" s="355">
        <v>0</v>
      </c>
      <c r="AX842" s="355">
        <v>0</v>
      </c>
      <c r="AY842" s="355">
        <v>0</v>
      </c>
      <c r="AZ842" s="355">
        <v>0</v>
      </c>
      <c r="BA842" s="355">
        <v>0</v>
      </c>
      <c r="BB842" s="355">
        <v>0</v>
      </c>
    </row>
    <row r="843" spans="1:54" ht="15.75" x14ac:dyDescent="0.25">
      <c r="A843" s="348" t="s">
        <v>1353</v>
      </c>
      <c r="B843" s="349">
        <v>70</v>
      </c>
      <c r="C843" s="350" t="s">
        <v>997</v>
      </c>
      <c r="D843" s="351">
        <v>45159</v>
      </c>
      <c r="E843" s="352"/>
      <c r="F843" s="352">
        <v>6</v>
      </c>
      <c r="G843" s="348" t="s">
        <v>999</v>
      </c>
      <c r="H843" s="437" t="s">
        <v>1355</v>
      </c>
      <c r="I843" s="350" t="s">
        <v>393</v>
      </c>
      <c r="J843" s="375">
        <v>350000</v>
      </c>
      <c r="K843" s="350" t="s">
        <v>394</v>
      </c>
      <c r="L843" s="354">
        <v>2802.3999950000002</v>
      </c>
      <c r="M843" s="578">
        <f t="shared" si="884"/>
        <v>124.89294912377416</v>
      </c>
      <c r="N843" s="354" t="s">
        <v>395</v>
      </c>
      <c r="O843" s="354">
        <v>0</v>
      </c>
      <c r="P843" s="374"/>
      <c r="Q843" s="354">
        <v>0</v>
      </c>
      <c r="R843" s="354">
        <v>0</v>
      </c>
      <c r="S843" s="354">
        <v>0</v>
      </c>
      <c r="T843" s="354">
        <v>0</v>
      </c>
      <c r="U843" s="374"/>
      <c r="V843" s="354">
        <v>0</v>
      </c>
      <c r="W843" s="354">
        <v>0</v>
      </c>
      <c r="X843" s="354">
        <v>0</v>
      </c>
      <c r="Y843" s="374"/>
      <c r="Z843" s="354">
        <v>0</v>
      </c>
      <c r="AA843" s="354">
        <v>0</v>
      </c>
      <c r="AB843" s="374"/>
      <c r="AC843" s="376">
        <v>0</v>
      </c>
      <c r="AD843" s="376">
        <v>0</v>
      </c>
      <c r="AE843" s="376">
        <v>0</v>
      </c>
      <c r="AF843" s="374"/>
      <c r="AG843" s="376">
        <v>0</v>
      </c>
      <c r="AH843" s="376">
        <v>0</v>
      </c>
      <c r="AI843" s="376">
        <v>0</v>
      </c>
      <c r="AJ843" s="376">
        <v>0</v>
      </c>
      <c r="AK843" s="374"/>
      <c r="AL843" s="376">
        <v>0</v>
      </c>
      <c r="AM843" s="376">
        <v>0</v>
      </c>
      <c r="AN843" s="376">
        <v>0</v>
      </c>
      <c r="AO843" s="374"/>
      <c r="AP843" s="376">
        <v>0</v>
      </c>
      <c r="AQ843" s="376">
        <v>0</v>
      </c>
      <c r="AR843" s="374"/>
      <c r="AS843" s="376">
        <v>0</v>
      </c>
      <c r="AT843" s="376">
        <v>0</v>
      </c>
      <c r="AU843" s="355" t="s">
        <v>396</v>
      </c>
      <c r="AV843" s="354" t="s">
        <v>397</v>
      </c>
      <c r="AW843" s="355">
        <v>0</v>
      </c>
      <c r="AX843" s="355">
        <v>0</v>
      </c>
      <c r="AY843" s="355">
        <v>0</v>
      </c>
      <c r="AZ843" s="355">
        <v>0</v>
      </c>
      <c r="BA843" s="355">
        <v>0</v>
      </c>
      <c r="BB843" s="355">
        <v>0</v>
      </c>
    </row>
    <row r="844" spans="1:54" x14ac:dyDescent="0.25">
      <c r="A844" s="422" t="s">
        <v>1036</v>
      </c>
      <c r="B844" s="349">
        <v>22</v>
      </c>
      <c r="C844" s="350" t="s">
        <v>997</v>
      </c>
      <c r="D844" s="574" t="s">
        <v>1037</v>
      </c>
      <c r="E844" s="352"/>
      <c r="F844" s="352">
        <v>6</v>
      </c>
      <c r="G844" s="434" t="s">
        <v>1038</v>
      </c>
      <c r="H844" s="381" t="s">
        <v>1039</v>
      </c>
      <c r="I844" s="350" t="s">
        <v>393</v>
      </c>
      <c r="J844" s="560">
        <f>300000</f>
        <v>300000</v>
      </c>
      <c r="K844" s="350" t="s">
        <v>394</v>
      </c>
      <c r="L844" s="354">
        <v>2803.6597999999999</v>
      </c>
      <c r="M844" s="576">
        <f t="shared" si="884"/>
        <v>107.00299658325166</v>
      </c>
      <c r="N844" s="354" t="s">
        <v>395</v>
      </c>
      <c r="O844" s="354">
        <v>0</v>
      </c>
      <c r="P844" s="374"/>
      <c r="Q844" s="354">
        <v>0</v>
      </c>
      <c r="R844" s="354">
        <v>0</v>
      </c>
      <c r="S844" s="354">
        <v>0</v>
      </c>
      <c r="T844" s="354">
        <v>0</v>
      </c>
      <c r="U844" s="374"/>
      <c r="V844" s="354">
        <v>0</v>
      </c>
      <c r="W844" s="354">
        <v>0</v>
      </c>
      <c r="X844" s="354">
        <v>0</v>
      </c>
      <c r="Y844" s="374"/>
      <c r="Z844" s="354">
        <v>0</v>
      </c>
      <c r="AA844" s="354">
        <v>0</v>
      </c>
      <c r="AB844" s="374"/>
      <c r="AC844" s="376">
        <v>0</v>
      </c>
      <c r="AD844" s="376">
        <v>0</v>
      </c>
      <c r="AE844" s="376">
        <v>0</v>
      </c>
      <c r="AF844" s="374"/>
      <c r="AG844" s="376">
        <v>0</v>
      </c>
      <c r="AH844" s="376">
        <v>0</v>
      </c>
      <c r="AI844" s="376">
        <v>0</v>
      </c>
      <c r="AJ844" s="376">
        <v>0</v>
      </c>
      <c r="AK844" s="374"/>
      <c r="AL844" s="376">
        <v>0</v>
      </c>
      <c r="AM844" s="376">
        <v>0</v>
      </c>
      <c r="AN844" s="376">
        <v>0</v>
      </c>
      <c r="AO844" s="374"/>
      <c r="AP844" s="376">
        <v>0</v>
      </c>
      <c r="AQ844" s="376">
        <v>0</v>
      </c>
      <c r="AR844" s="374"/>
      <c r="AS844" s="376">
        <v>0</v>
      </c>
      <c r="AT844" s="376">
        <v>0</v>
      </c>
      <c r="AU844" s="355" t="s">
        <v>396</v>
      </c>
      <c r="AV844" s="354" t="s">
        <v>346</v>
      </c>
      <c r="AW844" s="353">
        <v>0</v>
      </c>
      <c r="AX844" s="353">
        <v>0</v>
      </c>
      <c r="AY844" s="353">
        <v>0</v>
      </c>
      <c r="AZ844" s="353">
        <v>0</v>
      </c>
      <c r="BA844" s="353">
        <v>0</v>
      </c>
      <c r="BB844" s="353">
        <v>0</v>
      </c>
    </row>
    <row r="845" spans="1:54" x14ac:dyDescent="0.25">
      <c r="A845" s="422" t="s">
        <v>1040</v>
      </c>
      <c r="B845" s="349">
        <v>22</v>
      </c>
      <c r="C845" s="350" t="s">
        <v>997</v>
      </c>
      <c r="D845" s="574" t="s">
        <v>1041</v>
      </c>
      <c r="E845" s="352"/>
      <c r="F845" s="352">
        <v>6</v>
      </c>
      <c r="G845" s="434" t="s">
        <v>1038</v>
      </c>
      <c r="H845" s="381" t="s">
        <v>1042</v>
      </c>
      <c r="I845" s="350" t="s">
        <v>393</v>
      </c>
      <c r="J845" s="560">
        <v>600000</v>
      </c>
      <c r="K845" s="350" t="s">
        <v>394</v>
      </c>
      <c r="L845" s="354">
        <v>2803.6597999999999</v>
      </c>
      <c r="M845" s="576">
        <f t="shared" si="884"/>
        <v>214.00599316650332</v>
      </c>
      <c r="N845" s="354" t="s">
        <v>395</v>
      </c>
      <c r="O845" s="354">
        <v>0</v>
      </c>
      <c r="P845" s="374"/>
      <c r="Q845" s="354">
        <v>0</v>
      </c>
      <c r="R845" s="354">
        <v>0</v>
      </c>
      <c r="S845" s="354">
        <v>0</v>
      </c>
      <c r="T845" s="354">
        <v>0</v>
      </c>
      <c r="U845" s="374"/>
      <c r="V845" s="354">
        <v>0</v>
      </c>
      <c r="W845" s="354">
        <v>0</v>
      </c>
      <c r="X845" s="354">
        <v>0</v>
      </c>
      <c r="Y845" s="374"/>
      <c r="Z845" s="354">
        <v>0</v>
      </c>
      <c r="AA845" s="354">
        <v>0</v>
      </c>
      <c r="AB845" s="374"/>
      <c r="AC845" s="376">
        <v>0</v>
      </c>
      <c r="AD845" s="376">
        <v>0</v>
      </c>
      <c r="AE845" s="376">
        <v>0</v>
      </c>
      <c r="AF845" s="374"/>
      <c r="AG845" s="376">
        <v>0</v>
      </c>
      <c r="AH845" s="376">
        <v>0</v>
      </c>
      <c r="AI845" s="376">
        <v>0</v>
      </c>
      <c r="AJ845" s="376">
        <v>0</v>
      </c>
      <c r="AK845" s="374"/>
      <c r="AL845" s="376">
        <v>0</v>
      </c>
      <c r="AM845" s="376">
        <v>0</v>
      </c>
      <c r="AN845" s="376">
        <v>0</v>
      </c>
      <c r="AO845" s="374"/>
      <c r="AP845" s="376">
        <v>0</v>
      </c>
      <c r="AQ845" s="376">
        <v>0</v>
      </c>
      <c r="AR845" s="374"/>
      <c r="AS845" s="376">
        <v>0</v>
      </c>
      <c r="AT845" s="376">
        <v>0</v>
      </c>
      <c r="AU845" s="355" t="s">
        <v>396</v>
      </c>
      <c r="AV845" s="354" t="s">
        <v>346</v>
      </c>
      <c r="AW845" s="353">
        <v>0</v>
      </c>
      <c r="AX845" s="353">
        <v>0</v>
      </c>
      <c r="AY845" s="353">
        <v>0</v>
      </c>
      <c r="AZ845" s="353">
        <v>0</v>
      </c>
      <c r="BA845" s="353">
        <v>0</v>
      </c>
      <c r="BB845" s="353">
        <v>0</v>
      </c>
    </row>
    <row r="846" spans="1:54" x14ac:dyDescent="0.25">
      <c r="A846" s="422" t="s">
        <v>1043</v>
      </c>
      <c r="B846" s="349">
        <v>22</v>
      </c>
      <c r="C846" s="350" t="s">
        <v>997</v>
      </c>
      <c r="D846" s="574" t="s">
        <v>1041</v>
      </c>
      <c r="E846" s="352"/>
      <c r="F846" s="352">
        <v>6</v>
      </c>
      <c r="G846" s="434" t="s">
        <v>1038</v>
      </c>
      <c r="H846" s="381" t="s">
        <v>1044</v>
      </c>
      <c r="I846" s="350" t="s">
        <v>393</v>
      </c>
      <c r="J846" s="560">
        <v>500000</v>
      </c>
      <c r="K846" s="350" t="s">
        <v>394</v>
      </c>
      <c r="L846" s="354">
        <v>2803.6597999999999</v>
      </c>
      <c r="M846" s="576">
        <f t="shared" si="884"/>
        <v>178.33832763875276</v>
      </c>
      <c r="N846" s="354" t="s">
        <v>395</v>
      </c>
      <c r="O846" s="354">
        <v>0</v>
      </c>
      <c r="P846" s="374"/>
      <c r="Q846" s="354">
        <v>0</v>
      </c>
      <c r="R846" s="354">
        <v>0</v>
      </c>
      <c r="S846" s="354">
        <v>0</v>
      </c>
      <c r="T846" s="354">
        <v>0</v>
      </c>
      <c r="U846" s="374"/>
      <c r="V846" s="354">
        <v>0</v>
      </c>
      <c r="W846" s="354">
        <v>0</v>
      </c>
      <c r="X846" s="354">
        <v>0</v>
      </c>
      <c r="Y846" s="374"/>
      <c r="Z846" s="354">
        <v>0</v>
      </c>
      <c r="AA846" s="354">
        <v>0</v>
      </c>
      <c r="AB846" s="374"/>
      <c r="AC846" s="376">
        <v>0</v>
      </c>
      <c r="AD846" s="376">
        <v>0</v>
      </c>
      <c r="AE846" s="376">
        <v>0</v>
      </c>
      <c r="AF846" s="374"/>
      <c r="AG846" s="376">
        <v>0</v>
      </c>
      <c r="AH846" s="376">
        <v>0</v>
      </c>
      <c r="AI846" s="376">
        <v>0</v>
      </c>
      <c r="AJ846" s="376">
        <v>0</v>
      </c>
      <c r="AK846" s="374"/>
      <c r="AL846" s="376">
        <v>0</v>
      </c>
      <c r="AM846" s="376">
        <v>0</v>
      </c>
      <c r="AN846" s="376">
        <v>0</v>
      </c>
      <c r="AO846" s="374"/>
      <c r="AP846" s="376">
        <v>0</v>
      </c>
      <c r="AQ846" s="376">
        <v>0</v>
      </c>
      <c r="AR846" s="374"/>
      <c r="AS846" s="376">
        <v>0</v>
      </c>
      <c r="AT846" s="376">
        <v>0</v>
      </c>
      <c r="AU846" s="355" t="s">
        <v>396</v>
      </c>
      <c r="AV846" s="354" t="s">
        <v>346</v>
      </c>
      <c r="AW846" s="353">
        <v>0</v>
      </c>
      <c r="AX846" s="353">
        <v>0</v>
      </c>
      <c r="AY846" s="353">
        <v>0</v>
      </c>
      <c r="AZ846" s="353">
        <v>0</v>
      </c>
      <c r="BA846" s="353">
        <v>0</v>
      </c>
      <c r="BB846" s="353">
        <v>0</v>
      </c>
    </row>
    <row r="847" spans="1:54" x14ac:dyDescent="0.25">
      <c r="A847" s="422" t="s">
        <v>1045</v>
      </c>
      <c r="B847" s="349">
        <v>22</v>
      </c>
      <c r="C847" s="350" t="s">
        <v>997</v>
      </c>
      <c r="D847" s="579">
        <v>45177</v>
      </c>
      <c r="E847" s="352"/>
      <c r="F847" s="352">
        <v>6</v>
      </c>
      <c r="G847" s="434" t="s">
        <v>1038</v>
      </c>
      <c r="H847" s="353" t="s">
        <v>1046</v>
      </c>
      <c r="I847" s="350" t="s">
        <v>393</v>
      </c>
      <c r="J847" s="560">
        <f>240500+312125+240000+80000+10000</f>
        <v>882625</v>
      </c>
      <c r="K847" s="350" t="s">
        <v>394</v>
      </c>
      <c r="L847" s="354">
        <v>2803.6597999999999</v>
      </c>
      <c r="M847" s="576">
        <f t="shared" ref="M847:M850" si="885">J847/L847</f>
        <v>314.81173286430828</v>
      </c>
      <c r="N847" s="354" t="s">
        <v>395</v>
      </c>
      <c r="O847" s="354">
        <v>0</v>
      </c>
      <c r="P847" s="374"/>
      <c r="Q847" s="354">
        <v>0</v>
      </c>
      <c r="R847" s="354">
        <v>0</v>
      </c>
      <c r="S847" s="354">
        <v>0</v>
      </c>
      <c r="T847" s="354">
        <v>0</v>
      </c>
      <c r="U847" s="374"/>
      <c r="V847" s="354">
        <v>0</v>
      </c>
      <c r="W847" s="354">
        <v>0</v>
      </c>
      <c r="X847" s="354">
        <v>0</v>
      </c>
      <c r="Y847" s="374"/>
      <c r="Z847" s="354">
        <v>0</v>
      </c>
      <c r="AA847" s="354">
        <v>0</v>
      </c>
      <c r="AB847" s="374"/>
      <c r="AC847" s="376">
        <v>0</v>
      </c>
      <c r="AD847" s="376">
        <v>0</v>
      </c>
      <c r="AE847" s="376">
        <v>0</v>
      </c>
      <c r="AF847" s="374"/>
      <c r="AG847" s="376">
        <v>0</v>
      </c>
      <c r="AH847" s="376">
        <v>0</v>
      </c>
      <c r="AI847" s="376">
        <v>0</v>
      </c>
      <c r="AJ847" s="376">
        <v>0</v>
      </c>
      <c r="AK847" s="374"/>
      <c r="AL847" s="376">
        <v>0</v>
      </c>
      <c r="AM847" s="376">
        <v>0</v>
      </c>
      <c r="AN847" s="376">
        <v>0</v>
      </c>
      <c r="AO847" s="374"/>
      <c r="AP847" s="376">
        <v>0</v>
      </c>
      <c r="AQ847" s="376">
        <v>0</v>
      </c>
      <c r="AR847" s="374"/>
      <c r="AS847" s="376">
        <v>0</v>
      </c>
      <c r="AT847" s="376">
        <v>0</v>
      </c>
      <c r="AU847" s="355" t="s">
        <v>396</v>
      </c>
      <c r="AV847" s="354" t="s">
        <v>346</v>
      </c>
      <c r="AW847" s="353">
        <v>0</v>
      </c>
      <c r="AX847" s="353">
        <v>0</v>
      </c>
      <c r="AY847" s="353">
        <v>0</v>
      </c>
      <c r="AZ847" s="353">
        <v>0</v>
      </c>
      <c r="BA847" s="353">
        <v>0</v>
      </c>
      <c r="BB847" s="353">
        <v>0</v>
      </c>
    </row>
    <row r="848" spans="1:54" x14ac:dyDescent="0.25">
      <c r="A848" s="422" t="s">
        <v>1047</v>
      </c>
      <c r="B848" s="349">
        <v>22</v>
      </c>
      <c r="C848" s="350" t="s">
        <v>997</v>
      </c>
      <c r="D848" s="579" t="s">
        <v>1048</v>
      </c>
      <c r="E848" s="352"/>
      <c r="F848" s="352">
        <v>6</v>
      </c>
      <c r="G848" s="434" t="s">
        <v>1038</v>
      </c>
      <c r="H848" s="353" t="s">
        <v>1049</v>
      </c>
      <c r="I848" s="350" t="s">
        <v>393</v>
      </c>
      <c r="J848" s="560">
        <v>508250</v>
      </c>
      <c r="K848" s="350" t="s">
        <v>394</v>
      </c>
      <c r="L848" s="354">
        <v>2803.6597999999999</v>
      </c>
      <c r="M848" s="576">
        <f t="shared" si="885"/>
        <v>181.28091004479217</v>
      </c>
      <c r="N848" s="354" t="s">
        <v>395</v>
      </c>
      <c r="O848" s="354">
        <v>0</v>
      </c>
      <c r="P848" s="374"/>
      <c r="Q848" s="354">
        <v>0</v>
      </c>
      <c r="R848" s="354">
        <v>0</v>
      </c>
      <c r="S848" s="354">
        <v>0</v>
      </c>
      <c r="T848" s="354">
        <v>0</v>
      </c>
      <c r="U848" s="374"/>
      <c r="V848" s="354">
        <v>0</v>
      </c>
      <c r="W848" s="354">
        <v>0</v>
      </c>
      <c r="X848" s="354">
        <v>0</v>
      </c>
      <c r="Y848" s="374"/>
      <c r="Z848" s="354">
        <v>0</v>
      </c>
      <c r="AA848" s="354">
        <v>0</v>
      </c>
      <c r="AB848" s="374"/>
      <c r="AC848" s="376">
        <v>0</v>
      </c>
      <c r="AD848" s="376">
        <v>0</v>
      </c>
      <c r="AE848" s="376">
        <v>0</v>
      </c>
      <c r="AF848" s="374"/>
      <c r="AG848" s="376">
        <v>0</v>
      </c>
      <c r="AH848" s="376">
        <v>0</v>
      </c>
      <c r="AI848" s="376">
        <v>0</v>
      </c>
      <c r="AJ848" s="376">
        <v>0</v>
      </c>
      <c r="AK848" s="374"/>
      <c r="AL848" s="376">
        <v>0</v>
      </c>
      <c r="AM848" s="376">
        <v>0</v>
      </c>
      <c r="AN848" s="376">
        <v>0</v>
      </c>
      <c r="AO848" s="374"/>
      <c r="AP848" s="376">
        <v>0</v>
      </c>
      <c r="AQ848" s="376">
        <v>0</v>
      </c>
      <c r="AR848" s="374"/>
      <c r="AS848" s="376">
        <v>0</v>
      </c>
      <c r="AT848" s="376">
        <v>0</v>
      </c>
      <c r="AU848" s="355" t="s">
        <v>396</v>
      </c>
      <c r="AV848" s="354" t="s">
        <v>346</v>
      </c>
      <c r="AW848" s="353">
        <v>0</v>
      </c>
      <c r="AX848" s="353">
        <v>0</v>
      </c>
      <c r="AY848" s="353">
        <v>0</v>
      </c>
      <c r="AZ848" s="353">
        <v>0</v>
      </c>
      <c r="BA848" s="353">
        <v>0</v>
      </c>
      <c r="BB848" s="353">
        <v>0</v>
      </c>
    </row>
    <row r="849" spans="1:54" x14ac:dyDescent="0.25">
      <c r="A849" s="422" t="s">
        <v>1050</v>
      </c>
      <c r="B849" s="349">
        <v>22</v>
      </c>
      <c r="C849" s="350" t="s">
        <v>997</v>
      </c>
      <c r="D849" s="579" t="s">
        <v>1048</v>
      </c>
      <c r="E849" s="352"/>
      <c r="F849" s="352">
        <v>6</v>
      </c>
      <c r="G849" s="434" t="s">
        <v>1038</v>
      </c>
      <c r="H849" s="353" t="s">
        <v>1049</v>
      </c>
      <c r="I849" s="350" t="s">
        <v>393</v>
      </c>
      <c r="J849" s="560">
        <v>676113</v>
      </c>
      <c r="K849" s="350" t="s">
        <v>394</v>
      </c>
      <c r="L849" s="354">
        <v>2803.6597999999999</v>
      </c>
      <c r="M849" s="576">
        <f t="shared" si="885"/>
        <v>241.15372342964008</v>
      </c>
      <c r="N849" s="354" t="s">
        <v>395</v>
      </c>
      <c r="O849" s="354">
        <v>0</v>
      </c>
      <c r="P849" s="374"/>
      <c r="Q849" s="354">
        <v>0</v>
      </c>
      <c r="R849" s="354">
        <v>0</v>
      </c>
      <c r="S849" s="354">
        <v>0</v>
      </c>
      <c r="T849" s="354">
        <v>0</v>
      </c>
      <c r="U849" s="374"/>
      <c r="V849" s="354">
        <v>0</v>
      </c>
      <c r="W849" s="354">
        <v>0</v>
      </c>
      <c r="X849" s="354">
        <v>0</v>
      </c>
      <c r="Y849" s="374"/>
      <c r="Z849" s="354">
        <v>0</v>
      </c>
      <c r="AA849" s="354">
        <v>0</v>
      </c>
      <c r="AB849" s="374"/>
      <c r="AC849" s="376">
        <v>0</v>
      </c>
      <c r="AD849" s="376">
        <v>0</v>
      </c>
      <c r="AE849" s="376">
        <v>0</v>
      </c>
      <c r="AF849" s="374"/>
      <c r="AG849" s="376">
        <v>0</v>
      </c>
      <c r="AH849" s="376">
        <v>0</v>
      </c>
      <c r="AI849" s="376">
        <v>0</v>
      </c>
      <c r="AJ849" s="376">
        <v>0</v>
      </c>
      <c r="AK849" s="374"/>
      <c r="AL849" s="376">
        <v>0</v>
      </c>
      <c r="AM849" s="376">
        <v>0</v>
      </c>
      <c r="AN849" s="376">
        <v>0</v>
      </c>
      <c r="AO849" s="374"/>
      <c r="AP849" s="376">
        <v>0</v>
      </c>
      <c r="AQ849" s="376">
        <v>0</v>
      </c>
      <c r="AR849" s="374"/>
      <c r="AS849" s="376">
        <v>0</v>
      </c>
      <c r="AT849" s="376">
        <v>0</v>
      </c>
      <c r="AU849" s="355" t="s">
        <v>396</v>
      </c>
      <c r="AV849" s="354" t="s">
        <v>346</v>
      </c>
      <c r="AW849" s="353">
        <v>0</v>
      </c>
      <c r="AX849" s="353">
        <v>0</v>
      </c>
      <c r="AY849" s="353">
        <v>0</v>
      </c>
      <c r="AZ849" s="353">
        <v>0</v>
      </c>
      <c r="BA849" s="353">
        <v>0</v>
      </c>
      <c r="BB849" s="353">
        <v>0</v>
      </c>
    </row>
    <row r="850" spans="1:54" x14ac:dyDescent="0.25">
      <c r="A850" s="422" t="s">
        <v>1051</v>
      </c>
      <c r="B850" s="349">
        <v>22</v>
      </c>
      <c r="C850" s="350" t="s">
        <v>997</v>
      </c>
      <c r="D850" s="579">
        <v>45115</v>
      </c>
      <c r="E850" s="352"/>
      <c r="F850" s="352">
        <v>6</v>
      </c>
      <c r="G850" s="434" t="s">
        <v>1038</v>
      </c>
      <c r="H850" s="353" t="s">
        <v>1049</v>
      </c>
      <c r="I850" s="350" t="s">
        <v>393</v>
      </c>
      <c r="J850" s="560">
        <v>846100</v>
      </c>
      <c r="K850" s="350" t="s">
        <v>394</v>
      </c>
      <c r="L850" s="354">
        <v>2803.6597999999999</v>
      </c>
      <c r="M850" s="576">
        <f t="shared" si="885"/>
        <v>301.78411803029741</v>
      </c>
      <c r="N850" s="354" t="s">
        <v>395</v>
      </c>
      <c r="O850" s="354">
        <v>0</v>
      </c>
      <c r="P850" s="374"/>
      <c r="Q850" s="354">
        <v>0</v>
      </c>
      <c r="R850" s="354">
        <v>0</v>
      </c>
      <c r="S850" s="354">
        <v>0</v>
      </c>
      <c r="T850" s="354">
        <v>0</v>
      </c>
      <c r="U850" s="374"/>
      <c r="V850" s="354">
        <v>0</v>
      </c>
      <c r="W850" s="354">
        <v>0</v>
      </c>
      <c r="X850" s="354">
        <v>0</v>
      </c>
      <c r="Y850" s="374"/>
      <c r="Z850" s="354">
        <v>0</v>
      </c>
      <c r="AA850" s="354">
        <v>0</v>
      </c>
      <c r="AB850" s="374"/>
      <c r="AC850" s="376">
        <v>0</v>
      </c>
      <c r="AD850" s="376">
        <v>0</v>
      </c>
      <c r="AE850" s="376">
        <v>0</v>
      </c>
      <c r="AF850" s="374"/>
      <c r="AG850" s="376">
        <v>0</v>
      </c>
      <c r="AH850" s="376">
        <v>0</v>
      </c>
      <c r="AI850" s="376">
        <v>0</v>
      </c>
      <c r="AJ850" s="376">
        <v>0</v>
      </c>
      <c r="AK850" s="374"/>
      <c r="AL850" s="376">
        <v>0</v>
      </c>
      <c r="AM850" s="376">
        <v>0</v>
      </c>
      <c r="AN850" s="376">
        <v>0</v>
      </c>
      <c r="AO850" s="374"/>
      <c r="AP850" s="376">
        <v>0</v>
      </c>
      <c r="AQ850" s="376">
        <v>0</v>
      </c>
      <c r="AR850" s="374"/>
      <c r="AS850" s="376">
        <v>0</v>
      </c>
      <c r="AT850" s="376">
        <v>0</v>
      </c>
      <c r="AU850" s="355" t="s">
        <v>396</v>
      </c>
      <c r="AV850" s="354" t="s">
        <v>346</v>
      </c>
      <c r="AW850" s="353">
        <v>0</v>
      </c>
      <c r="AX850" s="353">
        <v>0</v>
      </c>
      <c r="AY850" s="353">
        <v>0</v>
      </c>
      <c r="AZ850" s="353">
        <v>0</v>
      </c>
      <c r="BA850" s="353">
        <v>0</v>
      </c>
      <c r="BB850" s="353">
        <v>0</v>
      </c>
    </row>
    <row r="851" spans="1:54" x14ac:dyDescent="0.25">
      <c r="A851" s="348" t="s">
        <v>1160</v>
      </c>
      <c r="B851" s="379">
        <v>42</v>
      </c>
      <c r="C851" s="350" t="s">
        <v>1102</v>
      </c>
      <c r="D851" s="351" t="s">
        <v>1161</v>
      </c>
      <c r="E851" s="352">
        <v>6345</v>
      </c>
      <c r="F851" s="352">
        <v>6</v>
      </c>
      <c r="G851" s="434" t="s">
        <v>1038</v>
      </c>
      <c r="H851" s="580" t="s">
        <v>1162</v>
      </c>
      <c r="I851" s="350" t="s">
        <v>393</v>
      </c>
      <c r="J851" s="556">
        <v>30000</v>
      </c>
      <c r="K851" s="350" t="s">
        <v>394</v>
      </c>
      <c r="L851" s="353">
        <v>2801.6</v>
      </c>
      <c r="M851" s="560">
        <f>+J851/L851</f>
        <v>10.708166761850372</v>
      </c>
      <c r="N851" s="354" t="s">
        <v>395</v>
      </c>
      <c r="O851" s="354">
        <v>0</v>
      </c>
      <c r="P851" s="374"/>
      <c r="Q851" s="354">
        <v>0</v>
      </c>
      <c r="R851" s="354">
        <v>0</v>
      </c>
      <c r="S851" s="354">
        <v>0</v>
      </c>
      <c r="T851" s="354">
        <v>0</v>
      </c>
      <c r="U851" s="374"/>
      <c r="V851" s="354">
        <v>0</v>
      </c>
      <c r="W851" s="354">
        <v>0</v>
      </c>
      <c r="X851" s="354">
        <v>0</v>
      </c>
      <c r="Y851" s="374"/>
      <c r="Z851" s="354">
        <v>0</v>
      </c>
      <c r="AA851" s="354">
        <v>0</v>
      </c>
      <c r="AB851" s="374"/>
      <c r="AC851" s="376">
        <v>0</v>
      </c>
      <c r="AD851" s="376">
        <v>0</v>
      </c>
      <c r="AE851" s="376">
        <v>0</v>
      </c>
      <c r="AF851" s="374"/>
      <c r="AG851" s="376">
        <v>0</v>
      </c>
      <c r="AH851" s="376">
        <v>0</v>
      </c>
      <c r="AI851" s="376">
        <v>0</v>
      </c>
      <c r="AJ851" s="376">
        <v>0</v>
      </c>
      <c r="AK851" s="374"/>
      <c r="AL851" s="376">
        <v>0</v>
      </c>
      <c r="AM851" s="376">
        <v>0</v>
      </c>
      <c r="AN851" s="376">
        <v>0</v>
      </c>
      <c r="AO851" s="374"/>
      <c r="AP851" s="376">
        <v>0</v>
      </c>
      <c r="AQ851" s="376">
        <v>0</v>
      </c>
      <c r="AR851" s="374"/>
      <c r="AS851" s="376">
        <v>0</v>
      </c>
      <c r="AT851" s="376">
        <v>0</v>
      </c>
      <c r="AU851" s="355" t="s">
        <v>396</v>
      </c>
      <c r="AV851" s="354" t="s">
        <v>345</v>
      </c>
      <c r="AW851" s="353">
        <v>0</v>
      </c>
      <c r="AX851" s="353">
        <v>0</v>
      </c>
      <c r="AY851" s="353">
        <v>0</v>
      </c>
      <c r="AZ851" s="353">
        <v>0</v>
      </c>
      <c r="BA851" s="353">
        <v>0</v>
      </c>
      <c r="BB851" s="353">
        <v>0</v>
      </c>
    </row>
    <row r="852" spans="1:54" x14ac:dyDescent="0.25">
      <c r="A852" s="348" t="s">
        <v>1160</v>
      </c>
      <c r="B852" s="379">
        <v>42</v>
      </c>
      <c r="C852" s="350" t="s">
        <v>1102</v>
      </c>
      <c r="D852" s="351" t="s">
        <v>1161</v>
      </c>
      <c r="E852" s="352">
        <v>6345</v>
      </c>
      <c r="F852" s="352">
        <v>6</v>
      </c>
      <c r="G852" s="434" t="s">
        <v>1038</v>
      </c>
      <c r="H852" s="580" t="s">
        <v>1163</v>
      </c>
      <c r="I852" s="350" t="s">
        <v>393</v>
      </c>
      <c r="J852" s="556">
        <v>90000</v>
      </c>
      <c r="K852" s="350" t="s">
        <v>394</v>
      </c>
      <c r="L852" s="353">
        <v>2801.6</v>
      </c>
      <c r="M852" s="560">
        <f t="shared" ref="M852:M882" si="886">+J852/L852</f>
        <v>32.124500285551115</v>
      </c>
      <c r="N852" s="354" t="s">
        <v>395</v>
      </c>
      <c r="O852" s="354">
        <v>0</v>
      </c>
      <c r="P852" s="374"/>
      <c r="Q852" s="354">
        <v>0</v>
      </c>
      <c r="R852" s="354">
        <v>0</v>
      </c>
      <c r="S852" s="354">
        <v>0</v>
      </c>
      <c r="T852" s="354">
        <v>0</v>
      </c>
      <c r="U852" s="374"/>
      <c r="V852" s="354">
        <v>0</v>
      </c>
      <c r="W852" s="354">
        <v>0</v>
      </c>
      <c r="X852" s="354">
        <v>0</v>
      </c>
      <c r="Y852" s="374"/>
      <c r="Z852" s="354">
        <v>0</v>
      </c>
      <c r="AA852" s="354">
        <v>0</v>
      </c>
      <c r="AB852" s="374"/>
      <c r="AC852" s="376">
        <v>0</v>
      </c>
      <c r="AD852" s="376">
        <v>0</v>
      </c>
      <c r="AE852" s="376">
        <v>0</v>
      </c>
      <c r="AF852" s="374"/>
      <c r="AG852" s="376">
        <v>0</v>
      </c>
      <c r="AH852" s="376">
        <v>0</v>
      </c>
      <c r="AI852" s="376">
        <v>0</v>
      </c>
      <c r="AJ852" s="376">
        <v>0</v>
      </c>
      <c r="AK852" s="374"/>
      <c r="AL852" s="376">
        <v>0</v>
      </c>
      <c r="AM852" s="376">
        <v>0</v>
      </c>
      <c r="AN852" s="376">
        <v>0</v>
      </c>
      <c r="AO852" s="374"/>
      <c r="AP852" s="376">
        <v>0</v>
      </c>
      <c r="AQ852" s="376">
        <v>0</v>
      </c>
      <c r="AR852" s="374"/>
      <c r="AS852" s="376">
        <v>0</v>
      </c>
      <c r="AT852" s="376">
        <v>0</v>
      </c>
      <c r="AU852" s="355" t="s">
        <v>396</v>
      </c>
      <c r="AV852" s="354" t="s">
        <v>345</v>
      </c>
      <c r="AW852" s="353">
        <v>0</v>
      </c>
      <c r="AX852" s="353">
        <v>0</v>
      </c>
      <c r="AY852" s="353">
        <v>0</v>
      </c>
      <c r="AZ852" s="353">
        <v>0</v>
      </c>
      <c r="BA852" s="353">
        <v>0</v>
      </c>
      <c r="BB852" s="353">
        <v>0</v>
      </c>
    </row>
    <row r="853" spans="1:54" x14ac:dyDescent="0.25">
      <c r="A853" s="348" t="s">
        <v>1160</v>
      </c>
      <c r="B853" s="379">
        <v>42</v>
      </c>
      <c r="C853" s="350" t="s">
        <v>1102</v>
      </c>
      <c r="D853" s="351" t="s">
        <v>1161</v>
      </c>
      <c r="E853" s="352">
        <v>6345</v>
      </c>
      <c r="F853" s="352">
        <v>6</v>
      </c>
      <c r="G853" s="434" t="s">
        <v>1038</v>
      </c>
      <c r="H853" s="580" t="s">
        <v>1164</v>
      </c>
      <c r="I853" s="350" t="s">
        <v>393</v>
      </c>
      <c r="J853" s="556">
        <v>900000</v>
      </c>
      <c r="K853" s="350" t="s">
        <v>394</v>
      </c>
      <c r="L853" s="353">
        <v>2801.6</v>
      </c>
      <c r="M853" s="560">
        <f t="shared" si="886"/>
        <v>321.24500285551113</v>
      </c>
      <c r="N853" s="354" t="s">
        <v>395</v>
      </c>
      <c r="O853" s="354">
        <v>0</v>
      </c>
      <c r="P853" s="374"/>
      <c r="Q853" s="354">
        <v>0</v>
      </c>
      <c r="R853" s="354">
        <v>0</v>
      </c>
      <c r="S853" s="354">
        <v>0</v>
      </c>
      <c r="T853" s="354">
        <v>0</v>
      </c>
      <c r="U853" s="374"/>
      <c r="V853" s="354">
        <v>0</v>
      </c>
      <c r="W853" s="354">
        <v>0</v>
      </c>
      <c r="X853" s="354">
        <v>0</v>
      </c>
      <c r="Y853" s="374"/>
      <c r="Z853" s="354">
        <v>0</v>
      </c>
      <c r="AA853" s="354">
        <v>0</v>
      </c>
      <c r="AB853" s="374"/>
      <c r="AC853" s="376">
        <v>0</v>
      </c>
      <c r="AD853" s="376">
        <v>0</v>
      </c>
      <c r="AE853" s="376">
        <v>0</v>
      </c>
      <c r="AF853" s="374"/>
      <c r="AG853" s="376">
        <v>0</v>
      </c>
      <c r="AH853" s="376">
        <v>0</v>
      </c>
      <c r="AI853" s="376">
        <v>0</v>
      </c>
      <c r="AJ853" s="376">
        <v>0</v>
      </c>
      <c r="AK853" s="374"/>
      <c r="AL853" s="376">
        <v>0</v>
      </c>
      <c r="AM853" s="376">
        <v>0</v>
      </c>
      <c r="AN853" s="376">
        <v>0</v>
      </c>
      <c r="AO853" s="374"/>
      <c r="AP853" s="376">
        <v>0</v>
      </c>
      <c r="AQ853" s="376">
        <v>0</v>
      </c>
      <c r="AR853" s="374"/>
      <c r="AS853" s="376">
        <v>0</v>
      </c>
      <c r="AT853" s="376">
        <v>0</v>
      </c>
      <c r="AU853" s="355" t="s">
        <v>396</v>
      </c>
      <c r="AV853" s="354" t="s">
        <v>345</v>
      </c>
      <c r="AW853" s="353">
        <v>0</v>
      </c>
      <c r="AX853" s="353">
        <v>0</v>
      </c>
      <c r="AY853" s="353">
        <v>0</v>
      </c>
      <c r="AZ853" s="353">
        <v>0</v>
      </c>
      <c r="BA853" s="353">
        <v>0</v>
      </c>
      <c r="BB853" s="353">
        <v>0</v>
      </c>
    </row>
    <row r="854" spans="1:54" x14ac:dyDescent="0.25">
      <c r="A854" s="348" t="s">
        <v>1160</v>
      </c>
      <c r="B854" s="379">
        <v>42</v>
      </c>
      <c r="C854" s="350" t="s">
        <v>1102</v>
      </c>
      <c r="D854" s="351" t="s">
        <v>1161</v>
      </c>
      <c r="E854" s="352">
        <v>6345</v>
      </c>
      <c r="F854" s="352">
        <v>6</v>
      </c>
      <c r="G854" s="434" t="s">
        <v>1038</v>
      </c>
      <c r="H854" s="580" t="s">
        <v>352</v>
      </c>
      <c r="I854" s="350" t="s">
        <v>393</v>
      </c>
      <c r="J854" s="556">
        <v>360000</v>
      </c>
      <c r="K854" s="350" t="s">
        <v>394</v>
      </c>
      <c r="L854" s="353">
        <v>2801.6</v>
      </c>
      <c r="M854" s="560">
        <f t="shared" si="886"/>
        <v>128.49800114220446</v>
      </c>
      <c r="N854" s="354" t="s">
        <v>395</v>
      </c>
      <c r="O854" s="354">
        <v>0</v>
      </c>
      <c r="P854" s="374"/>
      <c r="Q854" s="354">
        <v>0</v>
      </c>
      <c r="R854" s="354">
        <v>0</v>
      </c>
      <c r="S854" s="354">
        <v>0</v>
      </c>
      <c r="T854" s="354">
        <v>0</v>
      </c>
      <c r="U854" s="374"/>
      <c r="V854" s="354">
        <v>0</v>
      </c>
      <c r="W854" s="354">
        <v>0</v>
      </c>
      <c r="X854" s="354">
        <v>0</v>
      </c>
      <c r="Y854" s="374"/>
      <c r="Z854" s="354">
        <v>0</v>
      </c>
      <c r="AA854" s="354">
        <v>0</v>
      </c>
      <c r="AB854" s="374"/>
      <c r="AC854" s="376">
        <v>0</v>
      </c>
      <c r="AD854" s="376">
        <v>0</v>
      </c>
      <c r="AE854" s="376">
        <v>0</v>
      </c>
      <c r="AF854" s="374"/>
      <c r="AG854" s="376">
        <v>0</v>
      </c>
      <c r="AH854" s="376">
        <v>0</v>
      </c>
      <c r="AI854" s="376">
        <v>0</v>
      </c>
      <c r="AJ854" s="376">
        <v>0</v>
      </c>
      <c r="AK854" s="374"/>
      <c r="AL854" s="376">
        <v>0</v>
      </c>
      <c r="AM854" s="376">
        <v>0</v>
      </c>
      <c r="AN854" s="376">
        <v>0</v>
      </c>
      <c r="AO854" s="374"/>
      <c r="AP854" s="376">
        <v>0</v>
      </c>
      <c r="AQ854" s="376">
        <v>0</v>
      </c>
      <c r="AR854" s="374"/>
      <c r="AS854" s="376">
        <v>0</v>
      </c>
      <c r="AT854" s="376">
        <v>0</v>
      </c>
      <c r="AU854" s="355" t="s">
        <v>396</v>
      </c>
      <c r="AV854" s="354" t="s">
        <v>345</v>
      </c>
      <c r="AW854" s="353">
        <v>0</v>
      </c>
      <c r="AX854" s="353">
        <v>0</v>
      </c>
      <c r="AY854" s="353">
        <v>0</v>
      </c>
      <c r="AZ854" s="353">
        <v>0</v>
      </c>
      <c r="BA854" s="353">
        <v>0</v>
      </c>
      <c r="BB854" s="353">
        <v>0</v>
      </c>
    </row>
    <row r="855" spans="1:54" x14ac:dyDescent="0.25">
      <c r="A855" s="348" t="s">
        <v>1165</v>
      </c>
      <c r="B855" s="379">
        <v>40</v>
      </c>
      <c r="C855" s="350" t="s">
        <v>1102</v>
      </c>
      <c r="D855" s="351" t="s">
        <v>1161</v>
      </c>
      <c r="E855" s="352">
        <v>6176</v>
      </c>
      <c r="F855" s="352">
        <v>6</v>
      </c>
      <c r="G855" s="434" t="s">
        <v>1038</v>
      </c>
      <c r="H855" s="580" t="s">
        <v>1166</v>
      </c>
      <c r="I855" s="350" t="s">
        <v>393</v>
      </c>
      <c r="J855" s="556">
        <v>412000</v>
      </c>
      <c r="K855" s="350" t="s">
        <v>394</v>
      </c>
      <c r="L855" s="353">
        <v>2801.6</v>
      </c>
      <c r="M855" s="560">
        <f t="shared" si="886"/>
        <v>147.05882352941177</v>
      </c>
      <c r="N855" s="354" t="s">
        <v>395</v>
      </c>
      <c r="O855" s="354">
        <v>0</v>
      </c>
      <c r="P855" s="374"/>
      <c r="Q855" s="354">
        <v>0</v>
      </c>
      <c r="R855" s="354">
        <v>0</v>
      </c>
      <c r="S855" s="354">
        <v>0</v>
      </c>
      <c r="T855" s="354">
        <v>0</v>
      </c>
      <c r="U855" s="374"/>
      <c r="V855" s="354">
        <v>0</v>
      </c>
      <c r="W855" s="354">
        <v>0</v>
      </c>
      <c r="X855" s="354">
        <v>0</v>
      </c>
      <c r="Y855" s="374"/>
      <c r="Z855" s="354">
        <v>0</v>
      </c>
      <c r="AA855" s="354">
        <v>0</v>
      </c>
      <c r="AB855" s="374"/>
      <c r="AC855" s="376">
        <v>0</v>
      </c>
      <c r="AD855" s="376">
        <v>0</v>
      </c>
      <c r="AE855" s="376">
        <v>0</v>
      </c>
      <c r="AF855" s="374"/>
      <c r="AG855" s="376">
        <v>0</v>
      </c>
      <c r="AH855" s="376">
        <v>0</v>
      </c>
      <c r="AI855" s="376">
        <v>0</v>
      </c>
      <c r="AJ855" s="376">
        <v>0</v>
      </c>
      <c r="AK855" s="374"/>
      <c r="AL855" s="376">
        <v>0</v>
      </c>
      <c r="AM855" s="376">
        <v>0</v>
      </c>
      <c r="AN855" s="376">
        <v>0</v>
      </c>
      <c r="AO855" s="374"/>
      <c r="AP855" s="376">
        <v>0</v>
      </c>
      <c r="AQ855" s="376">
        <v>0</v>
      </c>
      <c r="AR855" s="374"/>
      <c r="AS855" s="376">
        <v>0</v>
      </c>
      <c r="AT855" s="376">
        <v>0</v>
      </c>
      <c r="AU855" s="355" t="s">
        <v>396</v>
      </c>
      <c r="AV855" s="354" t="s">
        <v>345</v>
      </c>
      <c r="AW855" s="353">
        <v>0</v>
      </c>
      <c r="AX855" s="353">
        <v>0</v>
      </c>
      <c r="AY855" s="353">
        <v>0</v>
      </c>
      <c r="AZ855" s="353">
        <v>0</v>
      </c>
      <c r="BA855" s="353">
        <v>0</v>
      </c>
      <c r="BB855" s="353">
        <v>0</v>
      </c>
    </row>
    <row r="856" spans="1:54" x14ac:dyDescent="0.25">
      <c r="A856" s="348" t="s">
        <v>1167</v>
      </c>
      <c r="B856" s="379">
        <v>39</v>
      </c>
      <c r="C856" s="350" t="s">
        <v>1102</v>
      </c>
      <c r="D856" s="351" t="s">
        <v>1161</v>
      </c>
      <c r="E856" s="352">
        <v>6172</v>
      </c>
      <c r="F856" s="352">
        <v>6</v>
      </c>
      <c r="G856" s="434" t="s">
        <v>1038</v>
      </c>
      <c r="H856" s="350" t="s">
        <v>1168</v>
      </c>
      <c r="I856" s="350" t="s">
        <v>393</v>
      </c>
      <c r="J856" s="556">
        <v>683100</v>
      </c>
      <c r="K856" s="350" t="s">
        <v>394</v>
      </c>
      <c r="L856" s="353">
        <v>2801.6</v>
      </c>
      <c r="M856" s="560">
        <f t="shared" si="886"/>
        <v>243.82495716733297</v>
      </c>
      <c r="N856" s="354" t="s">
        <v>395</v>
      </c>
      <c r="O856" s="354">
        <v>0</v>
      </c>
      <c r="P856" s="374"/>
      <c r="Q856" s="354">
        <v>0</v>
      </c>
      <c r="R856" s="354">
        <v>0</v>
      </c>
      <c r="S856" s="354">
        <v>0</v>
      </c>
      <c r="T856" s="354">
        <v>0</v>
      </c>
      <c r="U856" s="374"/>
      <c r="V856" s="354">
        <v>0</v>
      </c>
      <c r="W856" s="354">
        <v>0</v>
      </c>
      <c r="X856" s="354">
        <v>0</v>
      </c>
      <c r="Y856" s="374"/>
      <c r="Z856" s="354">
        <v>0</v>
      </c>
      <c r="AA856" s="354">
        <v>0</v>
      </c>
      <c r="AB856" s="374"/>
      <c r="AC856" s="376">
        <v>0</v>
      </c>
      <c r="AD856" s="376">
        <v>0</v>
      </c>
      <c r="AE856" s="376">
        <v>0</v>
      </c>
      <c r="AF856" s="374"/>
      <c r="AG856" s="376">
        <v>0</v>
      </c>
      <c r="AH856" s="376">
        <v>0</v>
      </c>
      <c r="AI856" s="376">
        <v>0</v>
      </c>
      <c r="AJ856" s="376">
        <v>0</v>
      </c>
      <c r="AK856" s="374"/>
      <c r="AL856" s="376">
        <v>0</v>
      </c>
      <c r="AM856" s="376">
        <v>0</v>
      </c>
      <c r="AN856" s="376">
        <v>0</v>
      </c>
      <c r="AO856" s="374"/>
      <c r="AP856" s="376">
        <v>0</v>
      </c>
      <c r="AQ856" s="376">
        <v>0</v>
      </c>
      <c r="AR856" s="374"/>
      <c r="AS856" s="376">
        <v>0</v>
      </c>
      <c r="AT856" s="376">
        <v>0</v>
      </c>
      <c r="AU856" s="355" t="s">
        <v>396</v>
      </c>
      <c r="AV856" s="354" t="s">
        <v>345</v>
      </c>
      <c r="AW856" s="353">
        <v>0</v>
      </c>
      <c r="AX856" s="353">
        <v>0</v>
      </c>
      <c r="AY856" s="353">
        <v>0</v>
      </c>
      <c r="AZ856" s="353">
        <v>0</v>
      </c>
      <c r="BA856" s="353">
        <v>0</v>
      </c>
      <c r="BB856" s="353">
        <v>0</v>
      </c>
    </row>
    <row r="857" spans="1:54" x14ac:dyDescent="0.25">
      <c r="A857" s="348" t="s">
        <v>1169</v>
      </c>
      <c r="B857" s="379">
        <v>41</v>
      </c>
      <c r="C857" s="350" t="s">
        <v>1102</v>
      </c>
      <c r="D857" s="351" t="s">
        <v>1161</v>
      </c>
      <c r="E857" s="352">
        <v>6345</v>
      </c>
      <c r="F857" s="352">
        <v>6</v>
      </c>
      <c r="G857" s="434" t="s">
        <v>1038</v>
      </c>
      <c r="H857" s="580" t="s">
        <v>1170</v>
      </c>
      <c r="I857" s="350" t="s">
        <v>393</v>
      </c>
      <c r="J857" s="556">
        <v>300000</v>
      </c>
      <c r="K857" s="350" t="s">
        <v>394</v>
      </c>
      <c r="L857" s="353">
        <v>2801.6</v>
      </c>
      <c r="M857" s="560">
        <f t="shared" si="886"/>
        <v>107.08166761850372</v>
      </c>
      <c r="N857" s="354" t="s">
        <v>395</v>
      </c>
      <c r="O857" s="354">
        <v>0</v>
      </c>
      <c r="P857" s="374"/>
      <c r="Q857" s="354">
        <v>0</v>
      </c>
      <c r="R857" s="354">
        <v>0</v>
      </c>
      <c r="S857" s="354">
        <v>0</v>
      </c>
      <c r="T857" s="354">
        <v>0</v>
      </c>
      <c r="U857" s="374"/>
      <c r="V857" s="354">
        <v>0</v>
      </c>
      <c r="W857" s="354">
        <v>0</v>
      </c>
      <c r="X857" s="354">
        <v>0</v>
      </c>
      <c r="Y857" s="374"/>
      <c r="Z857" s="354">
        <v>0</v>
      </c>
      <c r="AA857" s="354">
        <v>0</v>
      </c>
      <c r="AB857" s="374"/>
      <c r="AC857" s="376">
        <v>0</v>
      </c>
      <c r="AD857" s="376">
        <v>0</v>
      </c>
      <c r="AE857" s="376">
        <v>0</v>
      </c>
      <c r="AF857" s="374"/>
      <c r="AG857" s="376">
        <v>0</v>
      </c>
      <c r="AH857" s="376">
        <v>0</v>
      </c>
      <c r="AI857" s="376">
        <v>0</v>
      </c>
      <c r="AJ857" s="376">
        <v>0</v>
      </c>
      <c r="AK857" s="374"/>
      <c r="AL857" s="376">
        <v>0</v>
      </c>
      <c r="AM857" s="376">
        <v>0</v>
      </c>
      <c r="AN857" s="376">
        <v>0</v>
      </c>
      <c r="AO857" s="374"/>
      <c r="AP857" s="376">
        <v>0</v>
      </c>
      <c r="AQ857" s="376">
        <v>0</v>
      </c>
      <c r="AR857" s="374"/>
      <c r="AS857" s="376">
        <v>0</v>
      </c>
      <c r="AT857" s="376">
        <v>0</v>
      </c>
      <c r="AU857" s="355" t="s">
        <v>396</v>
      </c>
      <c r="AV857" s="354" t="s">
        <v>345</v>
      </c>
      <c r="AW857" s="353">
        <v>0</v>
      </c>
      <c r="AX857" s="353">
        <v>0</v>
      </c>
      <c r="AY857" s="353">
        <v>0</v>
      </c>
      <c r="AZ857" s="353">
        <v>0</v>
      </c>
      <c r="BA857" s="353">
        <v>0</v>
      </c>
      <c r="BB857" s="353">
        <v>0</v>
      </c>
    </row>
    <row r="858" spans="1:54" x14ac:dyDescent="0.25">
      <c r="A858" s="348" t="s">
        <v>1171</v>
      </c>
      <c r="B858" s="379">
        <v>36</v>
      </c>
      <c r="C858" s="350" t="s">
        <v>1102</v>
      </c>
      <c r="D858" s="351" t="s">
        <v>1161</v>
      </c>
      <c r="E858" s="352">
        <v>6345</v>
      </c>
      <c r="F858" s="352">
        <v>6</v>
      </c>
      <c r="G858" s="434" t="s">
        <v>1038</v>
      </c>
      <c r="H858" s="580" t="s">
        <v>1172</v>
      </c>
      <c r="I858" s="350" t="s">
        <v>393</v>
      </c>
      <c r="J858" s="556">
        <v>140000</v>
      </c>
      <c r="K858" s="350" t="s">
        <v>394</v>
      </c>
      <c r="L858" s="353">
        <v>2801.6</v>
      </c>
      <c r="M858" s="560">
        <f t="shared" si="886"/>
        <v>49.97144488863507</v>
      </c>
      <c r="N858" s="354" t="s">
        <v>395</v>
      </c>
      <c r="O858" s="354">
        <v>0</v>
      </c>
      <c r="P858" s="374"/>
      <c r="Q858" s="354">
        <v>0</v>
      </c>
      <c r="R858" s="354">
        <v>0</v>
      </c>
      <c r="S858" s="354">
        <v>0</v>
      </c>
      <c r="T858" s="354">
        <v>0</v>
      </c>
      <c r="U858" s="374"/>
      <c r="V858" s="354">
        <v>0</v>
      </c>
      <c r="W858" s="354">
        <v>0</v>
      </c>
      <c r="X858" s="354">
        <v>0</v>
      </c>
      <c r="Y858" s="374"/>
      <c r="Z858" s="354">
        <v>0</v>
      </c>
      <c r="AA858" s="354">
        <v>0</v>
      </c>
      <c r="AB858" s="374"/>
      <c r="AC858" s="376">
        <v>0</v>
      </c>
      <c r="AD858" s="376">
        <v>0</v>
      </c>
      <c r="AE858" s="376">
        <v>0</v>
      </c>
      <c r="AF858" s="374"/>
      <c r="AG858" s="376">
        <v>0</v>
      </c>
      <c r="AH858" s="376">
        <v>0</v>
      </c>
      <c r="AI858" s="376">
        <v>0</v>
      </c>
      <c r="AJ858" s="376">
        <v>0</v>
      </c>
      <c r="AK858" s="374"/>
      <c r="AL858" s="376">
        <v>0</v>
      </c>
      <c r="AM858" s="376">
        <v>0</v>
      </c>
      <c r="AN858" s="376">
        <v>0</v>
      </c>
      <c r="AO858" s="374"/>
      <c r="AP858" s="376">
        <v>0</v>
      </c>
      <c r="AQ858" s="376">
        <v>0</v>
      </c>
      <c r="AR858" s="374"/>
      <c r="AS858" s="376">
        <v>0</v>
      </c>
      <c r="AT858" s="376">
        <v>0</v>
      </c>
      <c r="AU858" s="355" t="s">
        <v>396</v>
      </c>
      <c r="AV858" s="354" t="s">
        <v>345</v>
      </c>
      <c r="AW858" s="353">
        <v>0</v>
      </c>
      <c r="AX858" s="353">
        <v>0</v>
      </c>
      <c r="AY858" s="353">
        <v>0</v>
      </c>
      <c r="AZ858" s="353">
        <v>0</v>
      </c>
      <c r="BA858" s="353">
        <v>0</v>
      </c>
      <c r="BB858" s="353">
        <v>0</v>
      </c>
    </row>
    <row r="859" spans="1:54" x14ac:dyDescent="0.25">
      <c r="A859" s="348" t="s">
        <v>1171</v>
      </c>
      <c r="B859" s="379">
        <v>36</v>
      </c>
      <c r="C859" s="350" t="s">
        <v>1102</v>
      </c>
      <c r="D859" s="351" t="s">
        <v>1161</v>
      </c>
      <c r="E859" s="352">
        <v>6345</v>
      </c>
      <c r="F859" s="352">
        <v>6</v>
      </c>
      <c r="G859" s="434" t="s">
        <v>1038</v>
      </c>
      <c r="H859" s="580" t="s">
        <v>1173</v>
      </c>
      <c r="I859" s="350" t="s">
        <v>393</v>
      </c>
      <c r="J859" s="556">
        <v>104000</v>
      </c>
      <c r="K859" s="350" t="s">
        <v>394</v>
      </c>
      <c r="L859" s="353">
        <v>2801.6</v>
      </c>
      <c r="M859" s="560">
        <f t="shared" si="886"/>
        <v>37.121644774414619</v>
      </c>
      <c r="N859" s="354" t="s">
        <v>395</v>
      </c>
      <c r="O859" s="354">
        <v>0</v>
      </c>
      <c r="P859" s="374"/>
      <c r="Q859" s="354">
        <v>0</v>
      </c>
      <c r="R859" s="354">
        <v>0</v>
      </c>
      <c r="S859" s="354">
        <v>0</v>
      </c>
      <c r="T859" s="354">
        <v>0</v>
      </c>
      <c r="U859" s="374"/>
      <c r="V859" s="354">
        <v>0</v>
      </c>
      <c r="W859" s="354">
        <v>0</v>
      </c>
      <c r="X859" s="354">
        <v>0</v>
      </c>
      <c r="Y859" s="374"/>
      <c r="Z859" s="354">
        <v>0</v>
      </c>
      <c r="AA859" s="354">
        <v>0</v>
      </c>
      <c r="AB859" s="374"/>
      <c r="AC859" s="376">
        <v>0</v>
      </c>
      <c r="AD859" s="376">
        <v>0</v>
      </c>
      <c r="AE859" s="376">
        <v>0</v>
      </c>
      <c r="AF859" s="374"/>
      <c r="AG859" s="376">
        <v>0</v>
      </c>
      <c r="AH859" s="376">
        <v>0</v>
      </c>
      <c r="AI859" s="376">
        <v>0</v>
      </c>
      <c r="AJ859" s="376">
        <v>0</v>
      </c>
      <c r="AK859" s="374"/>
      <c r="AL859" s="376">
        <v>0</v>
      </c>
      <c r="AM859" s="376">
        <v>0</v>
      </c>
      <c r="AN859" s="376">
        <v>0</v>
      </c>
      <c r="AO859" s="374"/>
      <c r="AP859" s="376">
        <v>0</v>
      </c>
      <c r="AQ859" s="376">
        <v>0</v>
      </c>
      <c r="AR859" s="374"/>
      <c r="AS859" s="376">
        <v>0</v>
      </c>
      <c r="AT859" s="376">
        <v>0</v>
      </c>
      <c r="AU859" s="355" t="s">
        <v>396</v>
      </c>
      <c r="AV859" s="354" t="s">
        <v>345</v>
      </c>
      <c r="AW859" s="353">
        <v>0</v>
      </c>
      <c r="AX859" s="353">
        <v>0</v>
      </c>
      <c r="AY859" s="353">
        <v>0</v>
      </c>
      <c r="AZ859" s="353">
        <v>0</v>
      </c>
      <c r="BA859" s="353">
        <v>0</v>
      </c>
      <c r="BB859" s="353">
        <v>0</v>
      </c>
    </row>
    <row r="860" spans="1:54" x14ac:dyDescent="0.25">
      <c r="A860" s="348" t="s">
        <v>1171</v>
      </c>
      <c r="B860" s="379">
        <v>36</v>
      </c>
      <c r="C860" s="350" t="s">
        <v>1102</v>
      </c>
      <c r="D860" s="351" t="s">
        <v>1161</v>
      </c>
      <c r="E860" s="352">
        <v>6345</v>
      </c>
      <c r="F860" s="352">
        <v>6</v>
      </c>
      <c r="G860" s="434" t="s">
        <v>1038</v>
      </c>
      <c r="H860" s="580" t="s">
        <v>1174</v>
      </c>
      <c r="I860" s="350" t="s">
        <v>393</v>
      </c>
      <c r="J860" s="556">
        <v>390000</v>
      </c>
      <c r="K860" s="350" t="s">
        <v>394</v>
      </c>
      <c r="L860" s="353">
        <v>2801.6</v>
      </c>
      <c r="M860" s="560">
        <f t="shared" si="886"/>
        <v>139.20616790405484</v>
      </c>
      <c r="N860" s="354" t="s">
        <v>395</v>
      </c>
      <c r="O860" s="354">
        <v>0</v>
      </c>
      <c r="P860" s="374"/>
      <c r="Q860" s="354">
        <v>0</v>
      </c>
      <c r="R860" s="354">
        <v>0</v>
      </c>
      <c r="S860" s="354">
        <v>0</v>
      </c>
      <c r="T860" s="354">
        <v>0</v>
      </c>
      <c r="U860" s="374"/>
      <c r="V860" s="354">
        <v>0</v>
      </c>
      <c r="W860" s="354">
        <v>0</v>
      </c>
      <c r="X860" s="354">
        <v>0</v>
      </c>
      <c r="Y860" s="374"/>
      <c r="Z860" s="354">
        <v>0</v>
      </c>
      <c r="AA860" s="354">
        <v>0</v>
      </c>
      <c r="AB860" s="374"/>
      <c r="AC860" s="376">
        <v>0</v>
      </c>
      <c r="AD860" s="376">
        <v>0</v>
      </c>
      <c r="AE860" s="376">
        <v>0</v>
      </c>
      <c r="AF860" s="374"/>
      <c r="AG860" s="376">
        <v>0</v>
      </c>
      <c r="AH860" s="376">
        <v>0</v>
      </c>
      <c r="AI860" s="376">
        <v>0</v>
      </c>
      <c r="AJ860" s="376">
        <v>0</v>
      </c>
      <c r="AK860" s="374"/>
      <c r="AL860" s="376">
        <v>0</v>
      </c>
      <c r="AM860" s="376">
        <v>0</v>
      </c>
      <c r="AN860" s="376">
        <v>0</v>
      </c>
      <c r="AO860" s="374"/>
      <c r="AP860" s="376">
        <v>0</v>
      </c>
      <c r="AQ860" s="376">
        <v>0</v>
      </c>
      <c r="AR860" s="374"/>
      <c r="AS860" s="376">
        <v>0</v>
      </c>
      <c r="AT860" s="376">
        <v>0</v>
      </c>
      <c r="AU860" s="355" t="s">
        <v>396</v>
      </c>
      <c r="AV860" s="354" t="s">
        <v>345</v>
      </c>
      <c r="AW860" s="353">
        <v>0</v>
      </c>
      <c r="AX860" s="353">
        <v>0</v>
      </c>
      <c r="AY860" s="353">
        <v>0</v>
      </c>
      <c r="AZ860" s="353">
        <v>0</v>
      </c>
      <c r="BA860" s="353">
        <v>0</v>
      </c>
      <c r="BB860" s="353">
        <v>0</v>
      </c>
    </row>
    <row r="861" spans="1:54" x14ac:dyDescent="0.25">
      <c r="A861" s="348" t="s">
        <v>1175</v>
      </c>
      <c r="B861" s="379">
        <v>44</v>
      </c>
      <c r="C861" s="350" t="s">
        <v>1102</v>
      </c>
      <c r="D861" s="351" t="s">
        <v>1176</v>
      </c>
      <c r="E861" s="352">
        <v>6345</v>
      </c>
      <c r="F861" s="352">
        <v>6</v>
      </c>
      <c r="G861" s="434" t="s">
        <v>1038</v>
      </c>
      <c r="H861" s="580" t="s">
        <v>1177</v>
      </c>
      <c r="I861" s="350" t="s">
        <v>393</v>
      </c>
      <c r="J861" s="556">
        <v>150000</v>
      </c>
      <c r="K861" s="350" t="s">
        <v>394</v>
      </c>
      <c r="L861" s="353">
        <v>2801.6</v>
      </c>
      <c r="M861" s="560">
        <f t="shared" si="886"/>
        <v>53.540833809251858</v>
      </c>
      <c r="N861" s="354" t="s">
        <v>395</v>
      </c>
      <c r="O861" s="354">
        <v>0</v>
      </c>
      <c r="P861" s="374"/>
      <c r="Q861" s="354">
        <v>0</v>
      </c>
      <c r="R861" s="354">
        <v>0</v>
      </c>
      <c r="S861" s="354">
        <v>0</v>
      </c>
      <c r="T861" s="354">
        <v>0</v>
      </c>
      <c r="U861" s="374"/>
      <c r="V861" s="354">
        <v>0</v>
      </c>
      <c r="W861" s="354">
        <v>0</v>
      </c>
      <c r="X861" s="354">
        <v>0</v>
      </c>
      <c r="Y861" s="374"/>
      <c r="Z861" s="354">
        <v>0</v>
      </c>
      <c r="AA861" s="354">
        <v>0</v>
      </c>
      <c r="AB861" s="374"/>
      <c r="AC861" s="376">
        <v>0</v>
      </c>
      <c r="AD861" s="376">
        <v>0</v>
      </c>
      <c r="AE861" s="376">
        <v>0</v>
      </c>
      <c r="AF861" s="374"/>
      <c r="AG861" s="376">
        <v>0</v>
      </c>
      <c r="AH861" s="376">
        <v>0</v>
      </c>
      <c r="AI861" s="376">
        <v>0</v>
      </c>
      <c r="AJ861" s="376">
        <v>0</v>
      </c>
      <c r="AK861" s="374"/>
      <c r="AL861" s="376">
        <v>0</v>
      </c>
      <c r="AM861" s="376">
        <v>0</v>
      </c>
      <c r="AN861" s="376">
        <v>0</v>
      </c>
      <c r="AO861" s="374"/>
      <c r="AP861" s="376">
        <v>0</v>
      </c>
      <c r="AQ861" s="376">
        <v>0</v>
      </c>
      <c r="AR861" s="374"/>
      <c r="AS861" s="376">
        <v>0</v>
      </c>
      <c r="AT861" s="376">
        <v>0</v>
      </c>
      <c r="AU861" s="355" t="s">
        <v>396</v>
      </c>
      <c r="AV861" s="354" t="s">
        <v>345</v>
      </c>
      <c r="AW861" s="353">
        <v>0</v>
      </c>
      <c r="AX861" s="353">
        <v>0</v>
      </c>
      <c r="AY861" s="353">
        <v>0</v>
      </c>
      <c r="AZ861" s="353">
        <v>0</v>
      </c>
      <c r="BA861" s="353">
        <v>0</v>
      </c>
      <c r="BB861" s="353">
        <v>0</v>
      </c>
    </row>
    <row r="862" spans="1:54" x14ac:dyDescent="0.25">
      <c r="A862" s="348" t="s">
        <v>1175</v>
      </c>
      <c r="B862" s="379">
        <v>44</v>
      </c>
      <c r="C862" s="350" t="s">
        <v>1102</v>
      </c>
      <c r="D862" s="351" t="s">
        <v>1176</v>
      </c>
      <c r="E862" s="352">
        <v>6345</v>
      </c>
      <c r="F862" s="352">
        <v>6</v>
      </c>
      <c r="G862" s="434" t="s">
        <v>1038</v>
      </c>
      <c r="H862" s="580" t="s">
        <v>1178</v>
      </c>
      <c r="I862" s="350" t="s">
        <v>393</v>
      </c>
      <c r="J862" s="556">
        <v>117000</v>
      </c>
      <c r="K862" s="350" t="s">
        <v>394</v>
      </c>
      <c r="L862" s="353">
        <v>2801.6</v>
      </c>
      <c r="M862" s="560">
        <f t="shared" si="886"/>
        <v>41.761850371216447</v>
      </c>
      <c r="N862" s="354" t="s">
        <v>395</v>
      </c>
      <c r="O862" s="354">
        <v>0</v>
      </c>
      <c r="P862" s="374"/>
      <c r="Q862" s="354">
        <v>0</v>
      </c>
      <c r="R862" s="354">
        <v>0</v>
      </c>
      <c r="S862" s="354">
        <v>0</v>
      </c>
      <c r="T862" s="354">
        <v>0</v>
      </c>
      <c r="U862" s="374"/>
      <c r="V862" s="354">
        <v>0</v>
      </c>
      <c r="W862" s="354">
        <v>0</v>
      </c>
      <c r="X862" s="354">
        <v>0</v>
      </c>
      <c r="Y862" s="374"/>
      <c r="Z862" s="354">
        <v>0</v>
      </c>
      <c r="AA862" s="354">
        <v>0</v>
      </c>
      <c r="AB862" s="374"/>
      <c r="AC862" s="376">
        <v>0</v>
      </c>
      <c r="AD862" s="376">
        <v>0</v>
      </c>
      <c r="AE862" s="376">
        <v>0</v>
      </c>
      <c r="AF862" s="374"/>
      <c r="AG862" s="376">
        <v>0</v>
      </c>
      <c r="AH862" s="376">
        <v>0</v>
      </c>
      <c r="AI862" s="376">
        <v>0</v>
      </c>
      <c r="AJ862" s="376">
        <v>0</v>
      </c>
      <c r="AK862" s="374"/>
      <c r="AL862" s="376">
        <v>0</v>
      </c>
      <c r="AM862" s="376">
        <v>0</v>
      </c>
      <c r="AN862" s="376">
        <v>0</v>
      </c>
      <c r="AO862" s="374"/>
      <c r="AP862" s="376">
        <v>0</v>
      </c>
      <c r="AQ862" s="376">
        <v>0</v>
      </c>
      <c r="AR862" s="374"/>
      <c r="AS862" s="376">
        <v>0</v>
      </c>
      <c r="AT862" s="376">
        <v>0</v>
      </c>
      <c r="AU862" s="355" t="s">
        <v>396</v>
      </c>
      <c r="AV862" s="354" t="s">
        <v>345</v>
      </c>
      <c r="AW862" s="353">
        <v>0</v>
      </c>
      <c r="AX862" s="353">
        <v>0</v>
      </c>
      <c r="AY862" s="353">
        <v>0</v>
      </c>
      <c r="AZ862" s="353">
        <v>0</v>
      </c>
      <c r="BA862" s="353">
        <v>0</v>
      </c>
      <c r="BB862" s="353">
        <v>0</v>
      </c>
    </row>
    <row r="863" spans="1:54" x14ac:dyDescent="0.25">
      <c r="A863" s="348" t="s">
        <v>1175</v>
      </c>
      <c r="B863" s="379">
        <v>44</v>
      </c>
      <c r="C863" s="350" t="s">
        <v>1102</v>
      </c>
      <c r="D863" s="351" t="s">
        <v>1176</v>
      </c>
      <c r="E863" s="352">
        <v>6345</v>
      </c>
      <c r="F863" s="352">
        <v>6</v>
      </c>
      <c r="G863" s="434" t="s">
        <v>1038</v>
      </c>
      <c r="H863" s="580" t="s">
        <v>1179</v>
      </c>
      <c r="I863" s="350" t="s">
        <v>393</v>
      </c>
      <c r="J863" s="556">
        <v>364000</v>
      </c>
      <c r="K863" s="350" t="s">
        <v>394</v>
      </c>
      <c r="L863" s="353">
        <v>2801.6</v>
      </c>
      <c r="M863" s="560">
        <f t="shared" si="886"/>
        <v>129.92575671045117</v>
      </c>
      <c r="N863" s="354" t="s">
        <v>395</v>
      </c>
      <c r="O863" s="354">
        <v>0</v>
      </c>
      <c r="P863" s="374"/>
      <c r="Q863" s="354">
        <v>0</v>
      </c>
      <c r="R863" s="354">
        <v>0</v>
      </c>
      <c r="S863" s="354">
        <v>0</v>
      </c>
      <c r="T863" s="354">
        <v>0</v>
      </c>
      <c r="U863" s="374"/>
      <c r="V863" s="354">
        <v>0</v>
      </c>
      <c r="W863" s="354">
        <v>0</v>
      </c>
      <c r="X863" s="354">
        <v>0</v>
      </c>
      <c r="Y863" s="374"/>
      <c r="Z863" s="354">
        <v>0</v>
      </c>
      <c r="AA863" s="354">
        <v>0</v>
      </c>
      <c r="AB863" s="374"/>
      <c r="AC863" s="376">
        <v>0</v>
      </c>
      <c r="AD863" s="376">
        <v>0</v>
      </c>
      <c r="AE863" s="376">
        <v>0</v>
      </c>
      <c r="AF863" s="374"/>
      <c r="AG863" s="376">
        <v>0</v>
      </c>
      <c r="AH863" s="376">
        <v>0</v>
      </c>
      <c r="AI863" s="376">
        <v>0</v>
      </c>
      <c r="AJ863" s="376">
        <v>0</v>
      </c>
      <c r="AK863" s="374"/>
      <c r="AL863" s="376">
        <v>0</v>
      </c>
      <c r="AM863" s="376">
        <v>0</v>
      </c>
      <c r="AN863" s="376">
        <v>0</v>
      </c>
      <c r="AO863" s="374"/>
      <c r="AP863" s="376">
        <v>0</v>
      </c>
      <c r="AQ863" s="376">
        <v>0</v>
      </c>
      <c r="AR863" s="374"/>
      <c r="AS863" s="376">
        <v>0</v>
      </c>
      <c r="AT863" s="376">
        <v>0</v>
      </c>
      <c r="AU863" s="355" t="s">
        <v>396</v>
      </c>
      <c r="AV863" s="354" t="s">
        <v>345</v>
      </c>
      <c r="AW863" s="353">
        <v>0</v>
      </c>
      <c r="AX863" s="353">
        <v>0</v>
      </c>
      <c r="AY863" s="353">
        <v>0</v>
      </c>
      <c r="AZ863" s="353">
        <v>0</v>
      </c>
      <c r="BA863" s="353">
        <v>0</v>
      </c>
      <c r="BB863" s="353">
        <v>0</v>
      </c>
    </row>
    <row r="864" spans="1:54" x14ac:dyDescent="0.25">
      <c r="A864" s="348" t="s">
        <v>1180</v>
      </c>
      <c r="B864" s="379">
        <v>37</v>
      </c>
      <c r="C864" s="350" t="s">
        <v>1102</v>
      </c>
      <c r="D864" s="351" t="s">
        <v>1181</v>
      </c>
      <c r="E864" s="352">
        <v>6345</v>
      </c>
      <c r="F864" s="352">
        <v>6</v>
      </c>
      <c r="G864" s="434" t="s">
        <v>1038</v>
      </c>
      <c r="H864" s="580" t="s">
        <v>1182</v>
      </c>
      <c r="I864" s="350" t="s">
        <v>393</v>
      </c>
      <c r="J864" s="556">
        <v>150000</v>
      </c>
      <c r="K864" s="350" t="s">
        <v>394</v>
      </c>
      <c r="L864" s="353">
        <v>2801.6</v>
      </c>
      <c r="M864" s="560">
        <f t="shared" si="886"/>
        <v>53.540833809251858</v>
      </c>
      <c r="N864" s="354" t="s">
        <v>395</v>
      </c>
      <c r="O864" s="354">
        <v>0</v>
      </c>
      <c r="P864" s="374"/>
      <c r="Q864" s="354">
        <v>0</v>
      </c>
      <c r="R864" s="354">
        <v>0</v>
      </c>
      <c r="S864" s="354">
        <v>0</v>
      </c>
      <c r="T864" s="354">
        <v>0</v>
      </c>
      <c r="U864" s="374"/>
      <c r="V864" s="354">
        <v>0</v>
      </c>
      <c r="W864" s="354">
        <v>0</v>
      </c>
      <c r="X864" s="354">
        <v>0</v>
      </c>
      <c r="Y864" s="374"/>
      <c r="Z864" s="354">
        <v>0</v>
      </c>
      <c r="AA864" s="354">
        <v>0</v>
      </c>
      <c r="AB864" s="374"/>
      <c r="AC864" s="376">
        <v>0</v>
      </c>
      <c r="AD864" s="376">
        <v>0</v>
      </c>
      <c r="AE864" s="376">
        <v>0</v>
      </c>
      <c r="AF864" s="374"/>
      <c r="AG864" s="376">
        <v>0</v>
      </c>
      <c r="AH864" s="376">
        <v>0</v>
      </c>
      <c r="AI864" s="376">
        <v>0</v>
      </c>
      <c r="AJ864" s="376">
        <v>0</v>
      </c>
      <c r="AK864" s="374"/>
      <c r="AL864" s="376">
        <v>0</v>
      </c>
      <c r="AM864" s="376">
        <v>0</v>
      </c>
      <c r="AN864" s="376">
        <v>0</v>
      </c>
      <c r="AO864" s="374"/>
      <c r="AP864" s="376">
        <v>0</v>
      </c>
      <c r="AQ864" s="376">
        <v>0</v>
      </c>
      <c r="AR864" s="374"/>
      <c r="AS864" s="376">
        <v>0</v>
      </c>
      <c r="AT864" s="376">
        <v>0</v>
      </c>
      <c r="AU864" s="355" t="s">
        <v>396</v>
      </c>
      <c r="AV864" s="354" t="s">
        <v>345</v>
      </c>
      <c r="AW864" s="353">
        <v>0</v>
      </c>
      <c r="AX864" s="353">
        <v>0</v>
      </c>
      <c r="AY864" s="353">
        <v>0</v>
      </c>
      <c r="AZ864" s="353">
        <v>0</v>
      </c>
      <c r="BA864" s="353">
        <v>0</v>
      </c>
      <c r="BB864" s="353">
        <v>0</v>
      </c>
    </row>
    <row r="865" spans="1:54" x14ac:dyDescent="0.25">
      <c r="A865" s="348" t="s">
        <v>1180</v>
      </c>
      <c r="B865" s="379">
        <v>37</v>
      </c>
      <c r="C865" s="350" t="s">
        <v>1102</v>
      </c>
      <c r="D865" s="351" t="s">
        <v>1181</v>
      </c>
      <c r="E865" s="352">
        <v>6345</v>
      </c>
      <c r="F865" s="352">
        <v>6</v>
      </c>
      <c r="G865" s="434" t="s">
        <v>1038</v>
      </c>
      <c r="H865" s="580" t="s">
        <v>1183</v>
      </c>
      <c r="I865" s="350" t="s">
        <v>393</v>
      </c>
      <c r="J865" s="556">
        <v>130000</v>
      </c>
      <c r="K865" s="350" t="s">
        <v>394</v>
      </c>
      <c r="L865" s="353">
        <v>2801.6</v>
      </c>
      <c r="M865" s="560">
        <f t="shared" si="886"/>
        <v>46.402055968018274</v>
      </c>
      <c r="N865" s="354" t="s">
        <v>395</v>
      </c>
      <c r="O865" s="354">
        <v>0</v>
      </c>
      <c r="P865" s="374"/>
      <c r="Q865" s="354">
        <v>0</v>
      </c>
      <c r="R865" s="354">
        <v>0</v>
      </c>
      <c r="S865" s="354">
        <v>0</v>
      </c>
      <c r="T865" s="354">
        <v>0</v>
      </c>
      <c r="U865" s="374"/>
      <c r="V865" s="354">
        <v>0</v>
      </c>
      <c r="W865" s="354">
        <v>0</v>
      </c>
      <c r="X865" s="354">
        <v>0</v>
      </c>
      <c r="Y865" s="374"/>
      <c r="Z865" s="354">
        <v>0</v>
      </c>
      <c r="AA865" s="354">
        <v>0</v>
      </c>
      <c r="AB865" s="374"/>
      <c r="AC865" s="376">
        <v>0</v>
      </c>
      <c r="AD865" s="376">
        <v>0</v>
      </c>
      <c r="AE865" s="376">
        <v>0</v>
      </c>
      <c r="AF865" s="374"/>
      <c r="AG865" s="376">
        <v>0</v>
      </c>
      <c r="AH865" s="376">
        <v>0</v>
      </c>
      <c r="AI865" s="376">
        <v>0</v>
      </c>
      <c r="AJ865" s="376">
        <v>0</v>
      </c>
      <c r="AK865" s="374"/>
      <c r="AL865" s="376">
        <v>0</v>
      </c>
      <c r="AM865" s="376">
        <v>0</v>
      </c>
      <c r="AN865" s="376">
        <v>0</v>
      </c>
      <c r="AO865" s="374"/>
      <c r="AP865" s="376">
        <v>0</v>
      </c>
      <c r="AQ865" s="376">
        <v>0</v>
      </c>
      <c r="AR865" s="374"/>
      <c r="AS865" s="376">
        <v>0</v>
      </c>
      <c r="AT865" s="376">
        <v>0</v>
      </c>
      <c r="AU865" s="355" t="s">
        <v>396</v>
      </c>
      <c r="AV865" s="354" t="s">
        <v>345</v>
      </c>
      <c r="AW865" s="353">
        <v>0</v>
      </c>
      <c r="AX865" s="353">
        <v>0</v>
      </c>
      <c r="AY865" s="353">
        <v>0</v>
      </c>
      <c r="AZ865" s="353">
        <v>0</v>
      </c>
      <c r="BA865" s="353">
        <v>0</v>
      </c>
      <c r="BB865" s="353">
        <v>0</v>
      </c>
    </row>
    <row r="866" spans="1:54" x14ac:dyDescent="0.25">
      <c r="A866" s="348" t="s">
        <v>1180</v>
      </c>
      <c r="B866" s="379">
        <v>37</v>
      </c>
      <c r="C866" s="350" t="s">
        <v>1102</v>
      </c>
      <c r="D866" s="351" t="s">
        <v>1181</v>
      </c>
      <c r="E866" s="352">
        <v>6345</v>
      </c>
      <c r="F866" s="352">
        <v>6</v>
      </c>
      <c r="G866" s="434" t="s">
        <v>1038</v>
      </c>
      <c r="H866" s="580" t="s">
        <v>1184</v>
      </c>
      <c r="I866" s="350" t="s">
        <v>393</v>
      </c>
      <c r="J866" s="556">
        <v>364000</v>
      </c>
      <c r="K866" s="350" t="s">
        <v>394</v>
      </c>
      <c r="L866" s="353">
        <v>2801.6</v>
      </c>
      <c r="M866" s="560">
        <f t="shared" si="886"/>
        <v>129.92575671045117</v>
      </c>
      <c r="N866" s="354" t="s">
        <v>395</v>
      </c>
      <c r="O866" s="354">
        <v>0</v>
      </c>
      <c r="P866" s="374"/>
      <c r="Q866" s="354">
        <v>0</v>
      </c>
      <c r="R866" s="354">
        <v>0</v>
      </c>
      <c r="S866" s="354">
        <v>0</v>
      </c>
      <c r="T866" s="354">
        <v>0</v>
      </c>
      <c r="U866" s="374"/>
      <c r="V866" s="354">
        <v>0</v>
      </c>
      <c r="W866" s="354">
        <v>0</v>
      </c>
      <c r="X866" s="354">
        <v>0</v>
      </c>
      <c r="Y866" s="374"/>
      <c r="Z866" s="354">
        <v>0</v>
      </c>
      <c r="AA866" s="354">
        <v>0</v>
      </c>
      <c r="AB866" s="374"/>
      <c r="AC866" s="376">
        <v>0</v>
      </c>
      <c r="AD866" s="376">
        <v>0</v>
      </c>
      <c r="AE866" s="376">
        <v>0</v>
      </c>
      <c r="AF866" s="374"/>
      <c r="AG866" s="376">
        <v>0</v>
      </c>
      <c r="AH866" s="376">
        <v>0</v>
      </c>
      <c r="AI866" s="376">
        <v>0</v>
      </c>
      <c r="AJ866" s="376">
        <v>0</v>
      </c>
      <c r="AK866" s="374"/>
      <c r="AL866" s="376">
        <v>0</v>
      </c>
      <c r="AM866" s="376">
        <v>0</v>
      </c>
      <c r="AN866" s="376">
        <v>0</v>
      </c>
      <c r="AO866" s="374"/>
      <c r="AP866" s="376">
        <v>0</v>
      </c>
      <c r="AQ866" s="376">
        <v>0</v>
      </c>
      <c r="AR866" s="374"/>
      <c r="AS866" s="376">
        <v>0</v>
      </c>
      <c r="AT866" s="376">
        <v>0</v>
      </c>
      <c r="AU866" s="355" t="s">
        <v>396</v>
      </c>
      <c r="AV866" s="354" t="s">
        <v>345</v>
      </c>
      <c r="AW866" s="353">
        <v>0</v>
      </c>
      <c r="AX866" s="353">
        <v>0</v>
      </c>
      <c r="AY866" s="353">
        <v>0</v>
      </c>
      <c r="AZ866" s="353">
        <v>0</v>
      </c>
      <c r="BA866" s="353">
        <v>0</v>
      </c>
      <c r="BB866" s="353">
        <v>0</v>
      </c>
    </row>
    <row r="867" spans="1:54" x14ac:dyDescent="0.25">
      <c r="A867" s="348" t="s">
        <v>1185</v>
      </c>
      <c r="B867" s="379">
        <v>45</v>
      </c>
      <c r="C867" s="350" t="s">
        <v>1102</v>
      </c>
      <c r="D867" s="351" t="s">
        <v>1186</v>
      </c>
      <c r="E867" s="352">
        <v>6172</v>
      </c>
      <c r="F867" s="352">
        <v>6</v>
      </c>
      <c r="G867" s="434" t="s">
        <v>1038</v>
      </c>
      <c r="H867" s="350" t="s">
        <v>1187</v>
      </c>
      <c r="I867" s="350" t="s">
        <v>393</v>
      </c>
      <c r="J867" s="556">
        <v>341550</v>
      </c>
      <c r="K867" s="350" t="s">
        <v>394</v>
      </c>
      <c r="L867" s="353">
        <v>2801.6</v>
      </c>
      <c r="M867" s="560">
        <f t="shared" si="886"/>
        <v>121.91247858366648</v>
      </c>
      <c r="N867" s="354" t="s">
        <v>395</v>
      </c>
      <c r="O867" s="354">
        <v>0</v>
      </c>
      <c r="P867" s="374"/>
      <c r="Q867" s="354">
        <v>0</v>
      </c>
      <c r="R867" s="354">
        <v>0</v>
      </c>
      <c r="S867" s="354">
        <v>0</v>
      </c>
      <c r="T867" s="354">
        <v>0</v>
      </c>
      <c r="U867" s="374"/>
      <c r="V867" s="354">
        <v>0</v>
      </c>
      <c r="W867" s="354">
        <v>0</v>
      </c>
      <c r="X867" s="354">
        <v>0</v>
      </c>
      <c r="Y867" s="374"/>
      <c r="Z867" s="354">
        <v>0</v>
      </c>
      <c r="AA867" s="354">
        <v>0</v>
      </c>
      <c r="AB867" s="374"/>
      <c r="AC867" s="376">
        <v>0</v>
      </c>
      <c r="AD867" s="376">
        <v>0</v>
      </c>
      <c r="AE867" s="376">
        <v>0</v>
      </c>
      <c r="AF867" s="374"/>
      <c r="AG867" s="376">
        <v>0</v>
      </c>
      <c r="AH867" s="376">
        <v>0</v>
      </c>
      <c r="AI867" s="376">
        <v>0</v>
      </c>
      <c r="AJ867" s="376">
        <v>0</v>
      </c>
      <c r="AK867" s="374"/>
      <c r="AL867" s="376">
        <v>0</v>
      </c>
      <c r="AM867" s="376">
        <v>0</v>
      </c>
      <c r="AN867" s="376">
        <v>0</v>
      </c>
      <c r="AO867" s="374"/>
      <c r="AP867" s="376">
        <v>0</v>
      </c>
      <c r="AQ867" s="376">
        <v>0</v>
      </c>
      <c r="AR867" s="374"/>
      <c r="AS867" s="376">
        <v>0</v>
      </c>
      <c r="AT867" s="376">
        <v>0</v>
      </c>
      <c r="AU867" s="355" t="s">
        <v>396</v>
      </c>
      <c r="AV867" s="354" t="s">
        <v>345</v>
      </c>
      <c r="AW867" s="353">
        <v>0</v>
      </c>
      <c r="AX867" s="353">
        <v>0</v>
      </c>
      <c r="AY867" s="353">
        <v>0</v>
      </c>
      <c r="AZ867" s="353">
        <v>0</v>
      </c>
      <c r="BA867" s="353">
        <v>0</v>
      </c>
      <c r="BB867" s="353">
        <v>0</v>
      </c>
    </row>
    <row r="868" spans="1:54" x14ac:dyDescent="0.25">
      <c r="A868" s="348" t="s">
        <v>1188</v>
      </c>
      <c r="B868" s="379">
        <v>46</v>
      </c>
      <c r="C868" s="350" t="s">
        <v>1102</v>
      </c>
      <c r="D868" s="351" t="s">
        <v>1189</v>
      </c>
      <c r="E868" s="352">
        <v>6345</v>
      </c>
      <c r="F868" s="352">
        <v>6</v>
      </c>
      <c r="G868" s="434" t="s">
        <v>1038</v>
      </c>
      <c r="H868" s="580" t="s">
        <v>1170</v>
      </c>
      <c r="I868" s="350" t="s">
        <v>393</v>
      </c>
      <c r="J868" s="556">
        <v>200000</v>
      </c>
      <c r="K868" s="350" t="s">
        <v>394</v>
      </c>
      <c r="L868" s="353">
        <v>2801.6</v>
      </c>
      <c r="M868" s="560">
        <f t="shared" si="886"/>
        <v>71.387778412335805</v>
      </c>
      <c r="N868" s="354" t="s">
        <v>395</v>
      </c>
      <c r="O868" s="354">
        <v>0</v>
      </c>
      <c r="P868" s="374"/>
      <c r="Q868" s="354">
        <v>0</v>
      </c>
      <c r="R868" s="354">
        <v>0</v>
      </c>
      <c r="S868" s="354">
        <v>0</v>
      </c>
      <c r="T868" s="354">
        <v>0</v>
      </c>
      <c r="U868" s="374"/>
      <c r="V868" s="354">
        <v>0</v>
      </c>
      <c r="W868" s="354">
        <v>0</v>
      </c>
      <c r="X868" s="354">
        <v>0</v>
      </c>
      <c r="Y868" s="374"/>
      <c r="Z868" s="354">
        <v>0</v>
      </c>
      <c r="AA868" s="354">
        <v>0</v>
      </c>
      <c r="AB868" s="374"/>
      <c r="AC868" s="376">
        <v>0</v>
      </c>
      <c r="AD868" s="376">
        <v>0</v>
      </c>
      <c r="AE868" s="376">
        <v>0</v>
      </c>
      <c r="AF868" s="374"/>
      <c r="AG868" s="376">
        <v>0</v>
      </c>
      <c r="AH868" s="376">
        <v>0</v>
      </c>
      <c r="AI868" s="376">
        <v>0</v>
      </c>
      <c r="AJ868" s="376">
        <v>0</v>
      </c>
      <c r="AK868" s="374"/>
      <c r="AL868" s="376">
        <v>0</v>
      </c>
      <c r="AM868" s="376">
        <v>0</v>
      </c>
      <c r="AN868" s="376">
        <v>0</v>
      </c>
      <c r="AO868" s="374"/>
      <c r="AP868" s="376">
        <v>0</v>
      </c>
      <c r="AQ868" s="376">
        <v>0</v>
      </c>
      <c r="AR868" s="374"/>
      <c r="AS868" s="376">
        <v>0</v>
      </c>
      <c r="AT868" s="376">
        <v>0</v>
      </c>
      <c r="AU868" s="355" t="s">
        <v>396</v>
      </c>
      <c r="AV868" s="354" t="s">
        <v>345</v>
      </c>
      <c r="AW868" s="353">
        <v>0</v>
      </c>
      <c r="AX868" s="353">
        <v>0</v>
      </c>
      <c r="AY868" s="353">
        <v>0</v>
      </c>
      <c r="AZ868" s="353">
        <v>0</v>
      </c>
      <c r="BA868" s="353">
        <v>0</v>
      </c>
      <c r="BB868" s="353">
        <v>0</v>
      </c>
    </row>
    <row r="869" spans="1:54" x14ac:dyDescent="0.25">
      <c r="A869" s="348" t="s">
        <v>1190</v>
      </c>
      <c r="B869" s="379">
        <v>47</v>
      </c>
      <c r="C869" s="350" t="s">
        <v>1102</v>
      </c>
      <c r="D869" s="351" t="s">
        <v>1191</v>
      </c>
      <c r="E869" s="352">
        <v>6345</v>
      </c>
      <c r="F869" s="352">
        <v>6</v>
      </c>
      <c r="G869" s="434" t="s">
        <v>1038</v>
      </c>
      <c r="H869" s="580" t="s">
        <v>1192</v>
      </c>
      <c r="I869" s="350" t="s">
        <v>393</v>
      </c>
      <c r="J869" s="556">
        <v>140000</v>
      </c>
      <c r="K869" s="350" t="s">
        <v>394</v>
      </c>
      <c r="L869" s="353">
        <v>2801.6</v>
      </c>
      <c r="M869" s="560">
        <f t="shared" si="886"/>
        <v>49.97144488863507</v>
      </c>
      <c r="N869" s="354" t="s">
        <v>395</v>
      </c>
      <c r="O869" s="354">
        <v>0</v>
      </c>
      <c r="P869" s="374"/>
      <c r="Q869" s="354">
        <v>0</v>
      </c>
      <c r="R869" s="354">
        <v>0</v>
      </c>
      <c r="S869" s="354">
        <v>0</v>
      </c>
      <c r="T869" s="354">
        <v>0</v>
      </c>
      <c r="U869" s="374"/>
      <c r="V869" s="354">
        <v>0</v>
      </c>
      <c r="W869" s="354">
        <v>0</v>
      </c>
      <c r="X869" s="354">
        <v>0</v>
      </c>
      <c r="Y869" s="374"/>
      <c r="Z869" s="354">
        <v>0</v>
      </c>
      <c r="AA869" s="354">
        <v>0</v>
      </c>
      <c r="AB869" s="374"/>
      <c r="AC869" s="376">
        <v>0</v>
      </c>
      <c r="AD869" s="376">
        <v>0</v>
      </c>
      <c r="AE869" s="376">
        <v>0</v>
      </c>
      <c r="AF869" s="374"/>
      <c r="AG869" s="376">
        <v>0</v>
      </c>
      <c r="AH869" s="376">
        <v>0</v>
      </c>
      <c r="AI869" s="376">
        <v>0</v>
      </c>
      <c r="AJ869" s="376">
        <v>0</v>
      </c>
      <c r="AK869" s="374"/>
      <c r="AL869" s="376">
        <v>0</v>
      </c>
      <c r="AM869" s="376">
        <v>0</v>
      </c>
      <c r="AN869" s="376">
        <v>0</v>
      </c>
      <c r="AO869" s="374"/>
      <c r="AP869" s="376">
        <v>0</v>
      </c>
      <c r="AQ869" s="376">
        <v>0</v>
      </c>
      <c r="AR869" s="374"/>
      <c r="AS869" s="376">
        <v>0</v>
      </c>
      <c r="AT869" s="376">
        <v>0</v>
      </c>
      <c r="AU869" s="355" t="s">
        <v>396</v>
      </c>
      <c r="AV869" s="354" t="s">
        <v>345</v>
      </c>
      <c r="AW869" s="353">
        <v>0</v>
      </c>
      <c r="AX869" s="353">
        <v>0</v>
      </c>
      <c r="AY869" s="353">
        <v>0</v>
      </c>
      <c r="AZ869" s="353">
        <v>0</v>
      </c>
      <c r="BA869" s="353">
        <v>0</v>
      </c>
      <c r="BB869" s="353">
        <v>0</v>
      </c>
    </row>
    <row r="870" spans="1:54" x14ac:dyDescent="0.25">
      <c r="A870" s="348" t="s">
        <v>1190</v>
      </c>
      <c r="B870" s="379">
        <v>47</v>
      </c>
      <c r="C870" s="350" t="s">
        <v>1102</v>
      </c>
      <c r="D870" s="351" t="s">
        <v>1191</v>
      </c>
      <c r="E870" s="352">
        <v>6345</v>
      </c>
      <c r="F870" s="352">
        <v>6</v>
      </c>
      <c r="G870" s="434" t="s">
        <v>1038</v>
      </c>
      <c r="H870" s="580" t="s">
        <v>1193</v>
      </c>
      <c r="I870" s="350" t="s">
        <v>393</v>
      </c>
      <c r="J870" s="556">
        <v>104000</v>
      </c>
      <c r="K870" s="350" t="s">
        <v>394</v>
      </c>
      <c r="L870" s="353">
        <v>2801.6</v>
      </c>
      <c r="M870" s="560">
        <f t="shared" si="886"/>
        <v>37.121644774414619</v>
      </c>
      <c r="N870" s="354" t="s">
        <v>395</v>
      </c>
      <c r="O870" s="354">
        <v>0</v>
      </c>
      <c r="P870" s="374"/>
      <c r="Q870" s="354">
        <v>0</v>
      </c>
      <c r="R870" s="354">
        <v>0</v>
      </c>
      <c r="S870" s="354">
        <v>0</v>
      </c>
      <c r="T870" s="354">
        <v>0</v>
      </c>
      <c r="U870" s="374"/>
      <c r="V870" s="354">
        <v>0</v>
      </c>
      <c r="W870" s="354">
        <v>0</v>
      </c>
      <c r="X870" s="354">
        <v>0</v>
      </c>
      <c r="Y870" s="374"/>
      <c r="Z870" s="354">
        <v>0</v>
      </c>
      <c r="AA870" s="354">
        <v>0</v>
      </c>
      <c r="AB870" s="374"/>
      <c r="AC870" s="376">
        <v>0</v>
      </c>
      <c r="AD870" s="376">
        <v>0</v>
      </c>
      <c r="AE870" s="376">
        <v>0</v>
      </c>
      <c r="AF870" s="374"/>
      <c r="AG870" s="376">
        <v>0</v>
      </c>
      <c r="AH870" s="376">
        <v>0</v>
      </c>
      <c r="AI870" s="376">
        <v>0</v>
      </c>
      <c r="AJ870" s="376">
        <v>0</v>
      </c>
      <c r="AK870" s="374"/>
      <c r="AL870" s="376">
        <v>0</v>
      </c>
      <c r="AM870" s="376">
        <v>0</v>
      </c>
      <c r="AN870" s="376">
        <v>0</v>
      </c>
      <c r="AO870" s="374"/>
      <c r="AP870" s="376">
        <v>0</v>
      </c>
      <c r="AQ870" s="376">
        <v>0</v>
      </c>
      <c r="AR870" s="374"/>
      <c r="AS870" s="376">
        <v>0</v>
      </c>
      <c r="AT870" s="376">
        <v>0</v>
      </c>
      <c r="AU870" s="355" t="s">
        <v>396</v>
      </c>
      <c r="AV870" s="354" t="s">
        <v>345</v>
      </c>
      <c r="AW870" s="353">
        <v>0</v>
      </c>
      <c r="AX870" s="353">
        <v>0</v>
      </c>
      <c r="AY870" s="353">
        <v>0</v>
      </c>
      <c r="AZ870" s="353">
        <v>0</v>
      </c>
      <c r="BA870" s="353">
        <v>0</v>
      </c>
      <c r="BB870" s="353">
        <v>0</v>
      </c>
    </row>
    <row r="871" spans="1:54" x14ac:dyDescent="0.25">
      <c r="A871" s="348" t="s">
        <v>1190</v>
      </c>
      <c r="B871" s="379">
        <v>47</v>
      </c>
      <c r="C871" s="350" t="s">
        <v>1102</v>
      </c>
      <c r="D871" s="351" t="s">
        <v>1191</v>
      </c>
      <c r="E871" s="352">
        <v>6345</v>
      </c>
      <c r="F871" s="352">
        <v>6</v>
      </c>
      <c r="G871" s="434" t="s">
        <v>1038</v>
      </c>
      <c r="H871" s="580" t="s">
        <v>1194</v>
      </c>
      <c r="I871" s="350" t="s">
        <v>393</v>
      </c>
      <c r="J871" s="556">
        <v>364000</v>
      </c>
      <c r="K871" s="350" t="s">
        <v>394</v>
      </c>
      <c r="L871" s="353">
        <v>2801.6</v>
      </c>
      <c r="M871" s="560">
        <f t="shared" si="886"/>
        <v>129.92575671045117</v>
      </c>
      <c r="N871" s="354" t="s">
        <v>395</v>
      </c>
      <c r="O871" s="354">
        <v>0</v>
      </c>
      <c r="P871" s="374"/>
      <c r="Q871" s="354">
        <v>0</v>
      </c>
      <c r="R871" s="354">
        <v>0</v>
      </c>
      <c r="S871" s="354">
        <v>0</v>
      </c>
      <c r="T871" s="354">
        <v>0</v>
      </c>
      <c r="U871" s="374"/>
      <c r="V871" s="354">
        <v>0</v>
      </c>
      <c r="W871" s="354">
        <v>0</v>
      </c>
      <c r="X871" s="354">
        <v>0</v>
      </c>
      <c r="Y871" s="374"/>
      <c r="Z871" s="354">
        <v>0</v>
      </c>
      <c r="AA871" s="354">
        <v>0</v>
      </c>
      <c r="AB871" s="374"/>
      <c r="AC871" s="376">
        <v>0</v>
      </c>
      <c r="AD871" s="376">
        <v>0</v>
      </c>
      <c r="AE871" s="376">
        <v>0</v>
      </c>
      <c r="AF871" s="374"/>
      <c r="AG871" s="376">
        <v>0</v>
      </c>
      <c r="AH871" s="376">
        <v>0</v>
      </c>
      <c r="AI871" s="376">
        <v>0</v>
      </c>
      <c r="AJ871" s="376">
        <v>0</v>
      </c>
      <c r="AK871" s="374"/>
      <c r="AL871" s="376">
        <v>0</v>
      </c>
      <c r="AM871" s="376">
        <v>0</v>
      </c>
      <c r="AN871" s="376">
        <v>0</v>
      </c>
      <c r="AO871" s="374"/>
      <c r="AP871" s="376">
        <v>0</v>
      </c>
      <c r="AQ871" s="376">
        <v>0</v>
      </c>
      <c r="AR871" s="374"/>
      <c r="AS871" s="376">
        <v>0</v>
      </c>
      <c r="AT871" s="376">
        <v>0</v>
      </c>
      <c r="AU871" s="355" t="s">
        <v>396</v>
      </c>
      <c r="AV871" s="354" t="s">
        <v>345</v>
      </c>
      <c r="AW871" s="353">
        <v>0</v>
      </c>
      <c r="AX871" s="353">
        <v>0</v>
      </c>
      <c r="AY871" s="353">
        <v>0</v>
      </c>
      <c r="AZ871" s="353">
        <v>0</v>
      </c>
      <c r="BA871" s="353">
        <v>0</v>
      </c>
      <c r="BB871" s="353">
        <v>0</v>
      </c>
    </row>
    <row r="872" spans="1:54" x14ac:dyDescent="0.25">
      <c r="A872" s="348" t="s">
        <v>1195</v>
      </c>
      <c r="B872" s="379">
        <v>49</v>
      </c>
      <c r="C872" s="350" t="s">
        <v>1102</v>
      </c>
      <c r="D872" s="351" t="s">
        <v>1191</v>
      </c>
      <c r="E872" s="352">
        <v>6345</v>
      </c>
      <c r="F872" s="352">
        <v>6</v>
      </c>
      <c r="G872" s="434" t="s">
        <v>1038</v>
      </c>
      <c r="H872" s="580" t="s">
        <v>1196</v>
      </c>
      <c r="I872" s="350" t="s">
        <v>393</v>
      </c>
      <c r="J872" s="556">
        <v>150000</v>
      </c>
      <c r="K872" s="350" t="s">
        <v>394</v>
      </c>
      <c r="L872" s="353">
        <v>2801.6</v>
      </c>
      <c r="M872" s="560">
        <f t="shared" si="886"/>
        <v>53.540833809251858</v>
      </c>
      <c r="N872" s="354" t="s">
        <v>395</v>
      </c>
      <c r="O872" s="354">
        <v>0</v>
      </c>
      <c r="P872" s="374"/>
      <c r="Q872" s="354">
        <v>0</v>
      </c>
      <c r="R872" s="354">
        <v>0</v>
      </c>
      <c r="S872" s="354">
        <v>0</v>
      </c>
      <c r="T872" s="354">
        <v>0</v>
      </c>
      <c r="U872" s="374"/>
      <c r="V872" s="354">
        <v>0</v>
      </c>
      <c r="W872" s="354">
        <v>0</v>
      </c>
      <c r="X872" s="354">
        <v>0</v>
      </c>
      <c r="Y872" s="374"/>
      <c r="Z872" s="354">
        <v>0</v>
      </c>
      <c r="AA872" s="354">
        <v>0</v>
      </c>
      <c r="AB872" s="374"/>
      <c r="AC872" s="376">
        <v>0</v>
      </c>
      <c r="AD872" s="376">
        <v>0</v>
      </c>
      <c r="AE872" s="376">
        <v>0</v>
      </c>
      <c r="AF872" s="374"/>
      <c r="AG872" s="376">
        <v>0</v>
      </c>
      <c r="AH872" s="376">
        <v>0</v>
      </c>
      <c r="AI872" s="376">
        <v>0</v>
      </c>
      <c r="AJ872" s="376">
        <v>0</v>
      </c>
      <c r="AK872" s="374"/>
      <c r="AL872" s="376">
        <v>0</v>
      </c>
      <c r="AM872" s="376">
        <v>0</v>
      </c>
      <c r="AN872" s="376">
        <v>0</v>
      </c>
      <c r="AO872" s="374"/>
      <c r="AP872" s="376">
        <v>0</v>
      </c>
      <c r="AQ872" s="376">
        <v>0</v>
      </c>
      <c r="AR872" s="374"/>
      <c r="AS872" s="376">
        <v>0</v>
      </c>
      <c r="AT872" s="376">
        <v>0</v>
      </c>
      <c r="AU872" s="355" t="s">
        <v>396</v>
      </c>
      <c r="AV872" s="354" t="s">
        <v>345</v>
      </c>
      <c r="AW872" s="353">
        <v>0</v>
      </c>
      <c r="AX872" s="353">
        <v>0</v>
      </c>
      <c r="AY872" s="353">
        <v>0</v>
      </c>
      <c r="AZ872" s="353">
        <v>0</v>
      </c>
      <c r="BA872" s="353">
        <v>0</v>
      </c>
      <c r="BB872" s="353">
        <v>0</v>
      </c>
    </row>
    <row r="873" spans="1:54" x14ac:dyDescent="0.25">
      <c r="A873" s="348" t="s">
        <v>1195</v>
      </c>
      <c r="B873" s="379">
        <v>49</v>
      </c>
      <c r="C873" s="350" t="s">
        <v>1102</v>
      </c>
      <c r="D873" s="351" t="s">
        <v>1191</v>
      </c>
      <c r="E873" s="352">
        <v>6345</v>
      </c>
      <c r="F873" s="352">
        <v>6</v>
      </c>
      <c r="G873" s="434" t="s">
        <v>1038</v>
      </c>
      <c r="H873" s="580" t="s">
        <v>1197</v>
      </c>
      <c r="I873" s="350" t="s">
        <v>393</v>
      </c>
      <c r="J873" s="556">
        <v>130000</v>
      </c>
      <c r="K873" s="350" t="s">
        <v>394</v>
      </c>
      <c r="L873" s="353">
        <v>2801.6</v>
      </c>
      <c r="M873" s="560">
        <f t="shared" si="886"/>
        <v>46.402055968018274</v>
      </c>
      <c r="N873" s="354" t="s">
        <v>395</v>
      </c>
      <c r="O873" s="354">
        <v>0</v>
      </c>
      <c r="P873" s="374"/>
      <c r="Q873" s="354">
        <v>0</v>
      </c>
      <c r="R873" s="354">
        <v>0</v>
      </c>
      <c r="S873" s="354">
        <v>0</v>
      </c>
      <c r="T873" s="354">
        <v>0</v>
      </c>
      <c r="U873" s="374"/>
      <c r="V873" s="354">
        <v>0</v>
      </c>
      <c r="W873" s="354">
        <v>0</v>
      </c>
      <c r="X873" s="354">
        <v>0</v>
      </c>
      <c r="Y873" s="374"/>
      <c r="Z873" s="354">
        <v>0</v>
      </c>
      <c r="AA873" s="354">
        <v>0</v>
      </c>
      <c r="AB873" s="374"/>
      <c r="AC873" s="376">
        <v>0</v>
      </c>
      <c r="AD873" s="376">
        <v>0</v>
      </c>
      <c r="AE873" s="376">
        <v>0</v>
      </c>
      <c r="AF873" s="374"/>
      <c r="AG873" s="376">
        <v>0</v>
      </c>
      <c r="AH873" s="376">
        <v>0</v>
      </c>
      <c r="AI873" s="376">
        <v>0</v>
      </c>
      <c r="AJ873" s="376">
        <v>0</v>
      </c>
      <c r="AK873" s="374"/>
      <c r="AL873" s="376">
        <v>0</v>
      </c>
      <c r="AM873" s="376">
        <v>0</v>
      </c>
      <c r="AN873" s="376">
        <v>0</v>
      </c>
      <c r="AO873" s="374"/>
      <c r="AP873" s="376">
        <v>0</v>
      </c>
      <c r="AQ873" s="376">
        <v>0</v>
      </c>
      <c r="AR873" s="374"/>
      <c r="AS873" s="376">
        <v>0</v>
      </c>
      <c r="AT873" s="376">
        <v>0</v>
      </c>
      <c r="AU873" s="355" t="s">
        <v>396</v>
      </c>
      <c r="AV873" s="354" t="s">
        <v>345</v>
      </c>
      <c r="AW873" s="353">
        <v>0</v>
      </c>
      <c r="AX873" s="353">
        <v>0</v>
      </c>
      <c r="AY873" s="353">
        <v>0</v>
      </c>
      <c r="AZ873" s="353">
        <v>0</v>
      </c>
      <c r="BA873" s="353">
        <v>0</v>
      </c>
      <c r="BB873" s="353">
        <v>0</v>
      </c>
    </row>
    <row r="874" spans="1:54" x14ac:dyDescent="0.25">
      <c r="A874" s="348" t="s">
        <v>1195</v>
      </c>
      <c r="B874" s="379">
        <v>49</v>
      </c>
      <c r="C874" s="350" t="s">
        <v>1102</v>
      </c>
      <c r="D874" s="351" t="s">
        <v>1191</v>
      </c>
      <c r="E874" s="352">
        <v>6345</v>
      </c>
      <c r="F874" s="352">
        <v>6</v>
      </c>
      <c r="G874" s="434" t="s">
        <v>1038</v>
      </c>
      <c r="H874" s="580" t="s">
        <v>1198</v>
      </c>
      <c r="I874" s="350" t="s">
        <v>393</v>
      </c>
      <c r="J874" s="556">
        <v>390000</v>
      </c>
      <c r="K874" s="350" t="s">
        <v>394</v>
      </c>
      <c r="L874" s="353">
        <v>2801.6</v>
      </c>
      <c r="M874" s="560">
        <f t="shared" si="886"/>
        <v>139.20616790405484</v>
      </c>
      <c r="N874" s="354" t="s">
        <v>395</v>
      </c>
      <c r="O874" s="354">
        <v>0</v>
      </c>
      <c r="P874" s="374"/>
      <c r="Q874" s="354">
        <v>0</v>
      </c>
      <c r="R874" s="354">
        <v>0</v>
      </c>
      <c r="S874" s="354">
        <v>0</v>
      </c>
      <c r="T874" s="354">
        <v>0</v>
      </c>
      <c r="U874" s="374"/>
      <c r="V874" s="354">
        <v>0</v>
      </c>
      <c r="W874" s="354">
        <v>0</v>
      </c>
      <c r="X874" s="354">
        <v>0</v>
      </c>
      <c r="Y874" s="374"/>
      <c r="Z874" s="354">
        <v>0</v>
      </c>
      <c r="AA874" s="354">
        <v>0</v>
      </c>
      <c r="AB874" s="374"/>
      <c r="AC874" s="376">
        <v>0</v>
      </c>
      <c r="AD874" s="376">
        <v>0</v>
      </c>
      <c r="AE874" s="376">
        <v>0</v>
      </c>
      <c r="AF874" s="374"/>
      <c r="AG874" s="376">
        <v>0</v>
      </c>
      <c r="AH874" s="376">
        <v>0</v>
      </c>
      <c r="AI874" s="376">
        <v>0</v>
      </c>
      <c r="AJ874" s="376">
        <v>0</v>
      </c>
      <c r="AK874" s="374"/>
      <c r="AL874" s="376">
        <v>0</v>
      </c>
      <c r="AM874" s="376">
        <v>0</v>
      </c>
      <c r="AN874" s="376">
        <v>0</v>
      </c>
      <c r="AO874" s="374"/>
      <c r="AP874" s="376">
        <v>0</v>
      </c>
      <c r="AQ874" s="376">
        <v>0</v>
      </c>
      <c r="AR874" s="374"/>
      <c r="AS874" s="376">
        <v>0</v>
      </c>
      <c r="AT874" s="376">
        <v>0</v>
      </c>
      <c r="AU874" s="355" t="s">
        <v>396</v>
      </c>
      <c r="AV874" s="354" t="s">
        <v>345</v>
      </c>
      <c r="AW874" s="353">
        <v>0</v>
      </c>
      <c r="AX874" s="353">
        <v>0</v>
      </c>
      <c r="AY874" s="353">
        <v>0</v>
      </c>
      <c r="AZ874" s="353">
        <v>0</v>
      </c>
      <c r="BA874" s="353">
        <v>0</v>
      </c>
      <c r="BB874" s="353">
        <v>0</v>
      </c>
    </row>
    <row r="875" spans="1:54" x14ac:dyDescent="0.25">
      <c r="A875" s="348" t="s">
        <v>1199</v>
      </c>
      <c r="B875" s="379">
        <v>43</v>
      </c>
      <c r="C875" s="350" t="s">
        <v>1102</v>
      </c>
      <c r="D875" s="351" t="s">
        <v>1189</v>
      </c>
      <c r="E875" s="352">
        <v>6345</v>
      </c>
      <c r="F875" s="352">
        <v>6</v>
      </c>
      <c r="G875" s="434" t="s">
        <v>1038</v>
      </c>
      <c r="H875" s="580" t="s">
        <v>1162</v>
      </c>
      <c r="I875" s="350" t="s">
        <v>393</v>
      </c>
      <c r="J875" s="556">
        <v>20000</v>
      </c>
      <c r="K875" s="350" t="s">
        <v>394</v>
      </c>
      <c r="L875" s="353">
        <v>2801.6</v>
      </c>
      <c r="M875" s="560">
        <f t="shared" si="886"/>
        <v>7.1387778412335807</v>
      </c>
      <c r="N875" s="354" t="s">
        <v>395</v>
      </c>
      <c r="O875" s="354">
        <v>0</v>
      </c>
      <c r="P875" s="374"/>
      <c r="Q875" s="354">
        <v>0</v>
      </c>
      <c r="R875" s="354">
        <v>0</v>
      </c>
      <c r="S875" s="354">
        <v>0</v>
      </c>
      <c r="T875" s="354">
        <v>0</v>
      </c>
      <c r="U875" s="374"/>
      <c r="V875" s="354">
        <v>0</v>
      </c>
      <c r="W875" s="354">
        <v>0</v>
      </c>
      <c r="X875" s="354">
        <v>0</v>
      </c>
      <c r="Y875" s="374"/>
      <c r="Z875" s="354">
        <v>0</v>
      </c>
      <c r="AA875" s="354">
        <v>0</v>
      </c>
      <c r="AB875" s="374"/>
      <c r="AC875" s="376">
        <v>0</v>
      </c>
      <c r="AD875" s="376">
        <v>0</v>
      </c>
      <c r="AE875" s="376">
        <v>0</v>
      </c>
      <c r="AF875" s="374"/>
      <c r="AG875" s="376">
        <v>0</v>
      </c>
      <c r="AH875" s="376">
        <v>0</v>
      </c>
      <c r="AI875" s="376">
        <v>0</v>
      </c>
      <c r="AJ875" s="376">
        <v>0</v>
      </c>
      <c r="AK875" s="374"/>
      <c r="AL875" s="376">
        <v>0</v>
      </c>
      <c r="AM875" s="376">
        <v>0</v>
      </c>
      <c r="AN875" s="376">
        <v>0</v>
      </c>
      <c r="AO875" s="374"/>
      <c r="AP875" s="376">
        <v>0</v>
      </c>
      <c r="AQ875" s="376">
        <v>0</v>
      </c>
      <c r="AR875" s="374"/>
      <c r="AS875" s="376">
        <v>0</v>
      </c>
      <c r="AT875" s="376">
        <v>0</v>
      </c>
      <c r="AU875" s="355" t="s">
        <v>396</v>
      </c>
      <c r="AV875" s="354" t="s">
        <v>345</v>
      </c>
      <c r="AW875" s="353">
        <v>0</v>
      </c>
      <c r="AX875" s="353">
        <v>0</v>
      </c>
      <c r="AY875" s="353">
        <v>0</v>
      </c>
      <c r="AZ875" s="353">
        <v>0</v>
      </c>
      <c r="BA875" s="353">
        <v>0</v>
      </c>
      <c r="BB875" s="353">
        <v>0</v>
      </c>
    </row>
    <row r="876" spans="1:54" x14ac:dyDescent="0.25">
      <c r="A876" s="348" t="s">
        <v>1199</v>
      </c>
      <c r="B876" s="379">
        <v>43</v>
      </c>
      <c r="C876" s="350" t="s">
        <v>1102</v>
      </c>
      <c r="D876" s="351" t="s">
        <v>1189</v>
      </c>
      <c r="E876" s="352">
        <v>6345</v>
      </c>
      <c r="F876" s="352">
        <v>6</v>
      </c>
      <c r="G876" s="434" t="s">
        <v>1038</v>
      </c>
      <c r="H876" s="580" t="s">
        <v>1163</v>
      </c>
      <c r="I876" s="350" t="s">
        <v>393</v>
      </c>
      <c r="J876" s="556">
        <v>60000</v>
      </c>
      <c r="K876" s="350" t="s">
        <v>394</v>
      </c>
      <c r="L876" s="353">
        <v>2801.6</v>
      </c>
      <c r="M876" s="560">
        <f t="shared" si="886"/>
        <v>21.416333523700743</v>
      </c>
      <c r="N876" s="354" t="s">
        <v>395</v>
      </c>
      <c r="O876" s="354">
        <v>0</v>
      </c>
      <c r="P876" s="374"/>
      <c r="Q876" s="354">
        <v>0</v>
      </c>
      <c r="R876" s="354">
        <v>0</v>
      </c>
      <c r="S876" s="354">
        <v>0</v>
      </c>
      <c r="T876" s="354">
        <v>0</v>
      </c>
      <c r="U876" s="374"/>
      <c r="V876" s="354">
        <v>0</v>
      </c>
      <c r="W876" s="354">
        <v>0</v>
      </c>
      <c r="X876" s="354">
        <v>0</v>
      </c>
      <c r="Y876" s="374"/>
      <c r="Z876" s="354">
        <v>0</v>
      </c>
      <c r="AA876" s="354">
        <v>0</v>
      </c>
      <c r="AB876" s="374"/>
      <c r="AC876" s="376">
        <v>0</v>
      </c>
      <c r="AD876" s="376">
        <v>0</v>
      </c>
      <c r="AE876" s="376">
        <v>0</v>
      </c>
      <c r="AF876" s="374"/>
      <c r="AG876" s="376">
        <v>0</v>
      </c>
      <c r="AH876" s="376">
        <v>0</v>
      </c>
      <c r="AI876" s="376">
        <v>0</v>
      </c>
      <c r="AJ876" s="376">
        <v>0</v>
      </c>
      <c r="AK876" s="374"/>
      <c r="AL876" s="376">
        <v>0</v>
      </c>
      <c r="AM876" s="376">
        <v>0</v>
      </c>
      <c r="AN876" s="376">
        <v>0</v>
      </c>
      <c r="AO876" s="374"/>
      <c r="AP876" s="376">
        <v>0</v>
      </c>
      <c r="AQ876" s="376">
        <v>0</v>
      </c>
      <c r="AR876" s="374"/>
      <c r="AS876" s="376">
        <v>0</v>
      </c>
      <c r="AT876" s="376">
        <v>0</v>
      </c>
      <c r="AU876" s="355" t="s">
        <v>396</v>
      </c>
      <c r="AV876" s="354" t="s">
        <v>345</v>
      </c>
      <c r="AW876" s="353">
        <v>0</v>
      </c>
      <c r="AX876" s="353">
        <v>0</v>
      </c>
      <c r="AY876" s="353">
        <v>0</v>
      </c>
      <c r="AZ876" s="353">
        <v>0</v>
      </c>
      <c r="BA876" s="353">
        <v>0</v>
      </c>
      <c r="BB876" s="353">
        <v>0</v>
      </c>
    </row>
    <row r="877" spans="1:54" x14ac:dyDescent="0.25">
      <c r="A877" s="348" t="s">
        <v>1199</v>
      </c>
      <c r="B877" s="379">
        <v>43</v>
      </c>
      <c r="C877" s="350" t="s">
        <v>1102</v>
      </c>
      <c r="D877" s="351" t="s">
        <v>1189</v>
      </c>
      <c r="E877" s="352">
        <v>6345</v>
      </c>
      <c r="F877" s="352">
        <v>6</v>
      </c>
      <c r="G877" s="434" t="s">
        <v>1038</v>
      </c>
      <c r="H877" s="580" t="s">
        <v>1164</v>
      </c>
      <c r="I877" s="350" t="s">
        <v>393</v>
      </c>
      <c r="J877" s="556">
        <v>600000</v>
      </c>
      <c r="K877" s="350" t="s">
        <v>394</v>
      </c>
      <c r="L877" s="353">
        <v>2801.6</v>
      </c>
      <c r="M877" s="560">
        <f t="shared" si="886"/>
        <v>214.16333523700743</v>
      </c>
      <c r="N877" s="354" t="s">
        <v>395</v>
      </c>
      <c r="O877" s="354">
        <v>0</v>
      </c>
      <c r="P877" s="374"/>
      <c r="Q877" s="354">
        <v>0</v>
      </c>
      <c r="R877" s="354">
        <v>0</v>
      </c>
      <c r="S877" s="354">
        <v>0</v>
      </c>
      <c r="T877" s="354">
        <v>0</v>
      </c>
      <c r="U877" s="374"/>
      <c r="V877" s="354">
        <v>0</v>
      </c>
      <c r="W877" s="354">
        <v>0</v>
      </c>
      <c r="X877" s="354">
        <v>0</v>
      </c>
      <c r="Y877" s="374"/>
      <c r="Z877" s="354">
        <v>0</v>
      </c>
      <c r="AA877" s="354">
        <v>0</v>
      </c>
      <c r="AB877" s="374"/>
      <c r="AC877" s="376">
        <v>0</v>
      </c>
      <c r="AD877" s="376">
        <v>0</v>
      </c>
      <c r="AE877" s="376">
        <v>0</v>
      </c>
      <c r="AF877" s="374"/>
      <c r="AG877" s="376">
        <v>0</v>
      </c>
      <c r="AH877" s="376">
        <v>0</v>
      </c>
      <c r="AI877" s="376">
        <v>0</v>
      </c>
      <c r="AJ877" s="376">
        <v>0</v>
      </c>
      <c r="AK877" s="374"/>
      <c r="AL877" s="376">
        <v>0</v>
      </c>
      <c r="AM877" s="376">
        <v>0</v>
      </c>
      <c r="AN877" s="376">
        <v>0</v>
      </c>
      <c r="AO877" s="374"/>
      <c r="AP877" s="376">
        <v>0</v>
      </c>
      <c r="AQ877" s="376">
        <v>0</v>
      </c>
      <c r="AR877" s="374"/>
      <c r="AS877" s="376">
        <v>0</v>
      </c>
      <c r="AT877" s="376">
        <v>0</v>
      </c>
      <c r="AU877" s="355" t="s">
        <v>396</v>
      </c>
      <c r="AV877" s="354" t="s">
        <v>345</v>
      </c>
      <c r="AW877" s="353">
        <v>0</v>
      </c>
      <c r="AX877" s="353">
        <v>0</v>
      </c>
      <c r="AY877" s="353">
        <v>0</v>
      </c>
      <c r="AZ877" s="353">
        <v>0</v>
      </c>
      <c r="BA877" s="353">
        <v>0</v>
      </c>
      <c r="BB877" s="353">
        <v>0</v>
      </c>
    </row>
    <row r="878" spans="1:54" x14ac:dyDescent="0.25">
      <c r="A878" s="348" t="s">
        <v>1199</v>
      </c>
      <c r="B878" s="379">
        <v>43</v>
      </c>
      <c r="C878" s="350" t="s">
        <v>1102</v>
      </c>
      <c r="D878" s="351" t="s">
        <v>1189</v>
      </c>
      <c r="E878" s="352">
        <v>6345</v>
      </c>
      <c r="F878" s="352">
        <v>6</v>
      </c>
      <c r="G878" s="434" t="s">
        <v>1038</v>
      </c>
      <c r="H878" s="580" t="s">
        <v>352</v>
      </c>
      <c r="I878" s="350" t="s">
        <v>393</v>
      </c>
      <c r="J878" s="556">
        <v>240000</v>
      </c>
      <c r="K878" s="350" t="s">
        <v>394</v>
      </c>
      <c r="L878" s="353">
        <v>2801.6</v>
      </c>
      <c r="M878" s="560">
        <f t="shared" si="886"/>
        <v>85.665334094802972</v>
      </c>
      <c r="N878" s="354" t="s">
        <v>395</v>
      </c>
      <c r="O878" s="354">
        <v>0</v>
      </c>
      <c r="P878" s="374"/>
      <c r="Q878" s="354">
        <v>0</v>
      </c>
      <c r="R878" s="354">
        <v>0</v>
      </c>
      <c r="S878" s="354">
        <v>0</v>
      </c>
      <c r="T878" s="354">
        <v>0</v>
      </c>
      <c r="U878" s="374"/>
      <c r="V878" s="354">
        <v>0</v>
      </c>
      <c r="W878" s="354">
        <v>0</v>
      </c>
      <c r="X878" s="354">
        <v>0</v>
      </c>
      <c r="Y878" s="374"/>
      <c r="Z878" s="354">
        <v>0</v>
      </c>
      <c r="AA878" s="354">
        <v>0</v>
      </c>
      <c r="AB878" s="374"/>
      <c r="AC878" s="376">
        <v>0</v>
      </c>
      <c r="AD878" s="376">
        <v>0</v>
      </c>
      <c r="AE878" s="376">
        <v>0</v>
      </c>
      <c r="AF878" s="374"/>
      <c r="AG878" s="376">
        <v>0</v>
      </c>
      <c r="AH878" s="376">
        <v>0</v>
      </c>
      <c r="AI878" s="376">
        <v>0</v>
      </c>
      <c r="AJ878" s="376">
        <v>0</v>
      </c>
      <c r="AK878" s="374"/>
      <c r="AL878" s="376">
        <v>0</v>
      </c>
      <c r="AM878" s="376">
        <v>0</v>
      </c>
      <c r="AN878" s="376">
        <v>0</v>
      </c>
      <c r="AO878" s="374"/>
      <c r="AP878" s="376">
        <v>0</v>
      </c>
      <c r="AQ878" s="376">
        <v>0</v>
      </c>
      <c r="AR878" s="374"/>
      <c r="AS878" s="376">
        <v>0</v>
      </c>
      <c r="AT878" s="376">
        <v>0</v>
      </c>
      <c r="AU878" s="355" t="s">
        <v>396</v>
      </c>
      <c r="AV878" s="354" t="s">
        <v>345</v>
      </c>
      <c r="AW878" s="353">
        <v>0</v>
      </c>
      <c r="AX878" s="353">
        <v>0</v>
      </c>
      <c r="AY878" s="353">
        <v>0</v>
      </c>
      <c r="AZ878" s="353">
        <v>0</v>
      </c>
      <c r="BA878" s="353">
        <v>0</v>
      </c>
      <c r="BB878" s="353">
        <v>0</v>
      </c>
    </row>
    <row r="879" spans="1:54" x14ac:dyDescent="0.25">
      <c r="A879" s="348" t="s">
        <v>1200</v>
      </c>
      <c r="B879" s="379">
        <v>50</v>
      </c>
      <c r="C879" s="350" t="s">
        <v>1102</v>
      </c>
      <c r="D879" s="351" t="s">
        <v>1106</v>
      </c>
      <c r="E879" s="352">
        <v>6345</v>
      </c>
      <c r="F879" s="352">
        <v>6</v>
      </c>
      <c r="G879" s="434" t="s">
        <v>1038</v>
      </c>
      <c r="H879" s="580" t="s">
        <v>1170</v>
      </c>
      <c r="I879" s="350" t="s">
        <v>393</v>
      </c>
      <c r="J879" s="556">
        <v>150000</v>
      </c>
      <c r="K879" s="350" t="s">
        <v>394</v>
      </c>
      <c r="L879" s="353">
        <v>2801.6</v>
      </c>
      <c r="M879" s="560">
        <f t="shared" si="886"/>
        <v>53.540833809251858</v>
      </c>
      <c r="N879" s="354" t="s">
        <v>395</v>
      </c>
      <c r="O879" s="354">
        <v>0</v>
      </c>
      <c r="P879" s="374"/>
      <c r="Q879" s="354">
        <v>0</v>
      </c>
      <c r="R879" s="354">
        <v>0</v>
      </c>
      <c r="S879" s="354">
        <v>0</v>
      </c>
      <c r="T879" s="354">
        <v>0</v>
      </c>
      <c r="U879" s="374"/>
      <c r="V879" s="354">
        <v>0</v>
      </c>
      <c r="W879" s="354">
        <v>0</v>
      </c>
      <c r="X879" s="354">
        <v>0</v>
      </c>
      <c r="Y879" s="374"/>
      <c r="Z879" s="354">
        <v>0</v>
      </c>
      <c r="AA879" s="354">
        <v>0</v>
      </c>
      <c r="AB879" s="374"/>
      <c r="AC879" s="376">
        <v>0</v>
      </c>
      <c r="AD879" s="376">
        <v>0</v>
      </c>
      <c r="AE879" s="376">
        <v>0</v>
      </c>
      <c r="AF879" s="374"/>
      <c r="AG879" s="376">
        <v>0</v>
      </c>
      <c r="AH879" s="376">
        <v>0</v>
      </c>
      <c r="AI879" s="376">
        <v>0</v>
      </c>
      <c r="AJ879" s="376">
        <v>0</v>
      </c>
      <c r="AK879" s="374"/>
      <c r="AL879" s="376">
        <v>0</v>
      </c>
      <c r="AM879" s="376">
        <v>0</v>
      </c>
      <c r="AN879" s="376">
        <v>0</v>
      </c>
      <c r="AO879" s="374"/>
      <c r="AP879" s="376">
        <v>0</v>
      </c>
      <c r="AQ879" s="376">
        <v>0</v>
      </c>
      <c r="AR879" s="374"/>
      <c r="AS879" s="376">
        <v>0</v>
      </c>
      <c r="AT879" s="376">
        <v>0</v>
      </c>
      <c r="AU879" s="355" t="s">
        <v>396</v>
      </c>
      <c r="AV879" s="354" t="s">
        <v>345</v>
      </c>
      <c r="AW879" s="353">
        <v>0</v>
      </c>
      <c r="AX879" s="353">
        <v>0</v>
      </c>
      <c r="AY879" s="353">
        <v>0</v>
      </c>
      <c r="AZ879" s="353">
        <v>0</v>
      </c>
      <c r="BA879" s="353">
        <v>0</v>
      </c>
      <c r="BB879" s="353">
        <v>0</v>
      </c>
    </row>
    <row r="880" spans="1:54" x14ac:dyDescent="0.25">
      <c r="A880" s="348" t="s">
        <v>1201</v>
      </c>
      <c r="B880" s="379">
        <v>55</v>
      </c>
      <c r="C880" s="350" t="s">
        <v>1102</v>
      </c>
      <c r="D880" s="351" t="s">
        <v>1202</v>
      </c>
      <c r="E880" s="352">
        <v>6312</v>
      </c>
      <c r="F880" s="352">
        <v>6</v>
      </c>
      <c r="G880" s="434" t="s">
        <v>1038</v>
      </c>
      <c r="H880" s="350" t="s">
        <v>351</v>
      </c>
      <c r="I880" s="350" t="s">
        <v>393</v>
      </c>
      <c r="J880" s="556">
        <v>360000</v>
      </c>
      <c r="K880" s="350" t="s">
        <v>394</v>
      </c>
      <c r="L880" s="353">
        <v>2801.6</v>
      </c>
      <c r="M880" s="560">
        <f t="shared" si="886"/>
        <v>128.49800114220446</v>
      </c>
      <c r="N880" s="354" t="s">
        <v>395</v>
      </c>
      <c r="O880" s="354">
        <v>0</v>
      </c>
      <c r="P880" s="374"/>
      <c r="Q880" s="354">
        <v>0</v>
      </c>
      <c r="R880" s="354">
        <v>0</v>
      </c>
      <c r="S880" s="354">
        <v>0</v>
      </c>
      <c r="T880" s="354">
        <v>0</v>
      </c>
      <c r="U880" s="374"/>
      <c r="V880" s="354">
        <v>0</v>
      </c>
      <c r="W880" s="354">
        <v>0</v>
      </c>
      <c r="X880" s="354">
        <v>0</v>
      </c>
      <c r="Y880" s="374"/>
      <c r="Z880" s="354">
        <v>0</v>
      </c>
      <c r="AA880" s="354">
        <v>0</v>
      </c>
      <c r="AB880" s="374"/>
      <c r="AC880" s="376">
        <v>0</v>
      </c>
      <c r="AD880" s="376">
        <v>0</v>
      </c>
      <c r="AE880" s="376">
        <v>0</v>
      </c>
      <c r="AF880" s="374"/>
      <c r="AG880" s="376">
        <v>0</v>
      </c>
      <c r="AH880" s="376">
        <v>0</v>
      </c>
      <c r="AI880" s="376">
        <v>0</v>
      </c>
      <c r="AJ880" s="376">
        <v>0</v>
      </c>
      <c r="AK880" s="374"/>
      <c r="AL880" s="376">
        <v>0</v>
      </c>
      <c r="AM880" s="376">
        <v>0</v>
      </c>
      <c r="AN880" s="376">
        <v>0</v>
      </c>
      <c r="AO880" s="374"/>
      <c r="AP880" s="376">
        <v>0</v>
      </c>
      <c r="AQ880" s="376">
        <v>0</v>
      </c>
      <c r="AR880" s="374"/>
      <c r="AS880" s="376">
        <v>0</v>
      </c>
      <c r="AT880" s="376">
        <v>0</v>
      </c>
      <c r="AU880" s="355" t="s">
        <v>396</v>
      </c>
      <c r="AV880" s="354" t="s">
        <v>345</v>
      </c>
      <c r="AW880" s="353">
        <v>0</v>
      </c>
      <c r="AX880" s="353">
        <v>0</v>
      </c>
      <c r="AY880" s="353">
        <v>0</v>
      </c>
      <c r="AZ880" s="353">
        <v>0</v>
      </c>
      <c r="BA880" s="353">
        <v>0</v>
      </c>
      <c r="BB880" s="353">
        <v>0</v>
      </c>
    </row>
    <row r="881" spans="1:54" x14ac:dyDescent="0.25">
      <c r="A881" s="348" t="s">
        <v>1203</v>
      </c>
      <c r="B881" s="379">
        <v>56</v>
      </c>
      <c r="C881" s="350" t="s">
        <v>1102</v>
      </c>
      <c r="D881" s="351" t="s">
        <v>1202</v>
      </c>
      <c r="E881" s="352">
        <v>6312</v>
      </c>
      <c r="F881" s="352">
        <v>6</v>
      </c>
      <c r="G881" s="434" t="s">
        <v>1038</v>
      </c>
      <c r="H881" s="350" t="s">
        <v>351</v>
      </c>
      <c r="I881" s="350" t="s">
        <v>393</v>
      </c>
      <c r="J881" s="556">
        <v>720000</v>
      </c>
      <c r="K881" s="350" t="s">
        <v>394</v>
      </c>
      <c r="L881" s="353">
        <v>2801.6</v>
      </c>
      <c r="M881" s="560">
        <f t="shared" si="886"/>
        <v>256.99600228440892</v>
      </c>
      <c r="N881" s="354" t="s">
        <v>395</v>
      </c>
      <c r="O881" s="354">
        <v>0</v>
      </c>
      <c r="P881" s="374"/>
      <c r="Q881" s="354">
        <v>0</v>
      </c>
      <c r="R881" s="354">
        <v>0</v>
      </c>
      <c r="S881" s="354">
        <v>0</v>
      </c>
      <c r="T881" s="354">
        <v>0</v>
      </c>
      <c r="U881" s="374"/>
      <c r="V881" s="354">
        <v>0</v>
      </c>
      <c r="W881" s="354">
        <v>0</v>
      </c>
      <c r="X881" s="354">
        <v>0</v>
      </c>
      <c r="Y881" s="374"/>
      <c r="Z881" s="354">
        <v>0</v>
      </c>
      <c r="AA881" s="354">
        <v>0</v>
      </c>
      <c r="AB881" s="374"/>
      <c r="AC881" s="376">
        <v>0</v>
      </c>
      <c r="AD881" s="376">
        <v>0</v>
      </c>
      <c r="AE881" s="376">
        <v>0</v>
      </c>
      <c r="AF881" s="374"/>
      <c r="AG881" s="376">
        <v>0</v>
      </c>
      <c r="AH881" s="376">
        <v>0</v>
      </c>
      <c r="AI881" s="376">
        <v>0</v>
      </c>
      <c r="AJ881" s="376">
        <v>0</v>
      </c>
      <c r="AK881" s="374"/>
      <c r="AL881" s="376">
        <v>0</v>
      </c>
      <c r="AM881" s="376">
        <v>0</v>
      </c>
      <c r="AN881" s="376">
        <v>0</v>
      </c>
      <c r="AO881" s="374"/>
      <c r="AP881" s="376">
        <v>0</v>
      </c>
      <c r="AQ881" s="376">
        <v>0</v>
      </c>
      <c r="AR881" s="374"/>
      <c r="AS881" s="376">
        <v>0</v>
      </c>
      <c r="AT881" s="376">
        <v>0</v>
      </c>
      <c r="AU881" s="355" t="s">
        <v>396</v>
      </c>
      <c r="AV881" s="354" t="s">
        <v>345</v>
      </c>
      <c r="AW881" s="353">
        <v>0</v>
      </c>
      <c r="AX881" s="353">
        <v>0</v>
      </c>
      <c r="AY881" s="353">
        <v>0</v>
      </c>
      <c r="AZ881" s="353">
        <v>0</v>
      </c>
      <c r="BA881" s="353">
        <v>0</v>
      </c>
      <c r="BB881" s="353">
        <v>0</v>
      </c>
    </row>
    <row r="882" spans="1:54" x14ac:dyDescent="0.25">
      <c r="A882" s="348" t="s">
        <v>1204</v>
      </c>
      <c r="B882" s="379">
        <v>58</v>
      </c>
      <c r="C882" s="350" t="s">
        <v>1102</v>
      </c>
      <c r="D882" s="351" t="s">
        <v>1114</v>
      </c>
      <c r="E882" s="352">
        <v>6179</v>
      </c>
      <c r="F882" s="352">
        <v>6</v>
      </c>
      <c r="G882" s="434" t="s">
        <v>1038</v>
      </c>
      <c r="H882" s="350" t="s">
        <v>1205</v>
      </c>
      <c r="I882" s="350" t="s">
        <v>393</v>
      </c>
      <c r="J882" s="556">
        <v>30000</v>
      </c>
      <c r="K882" s="350" t="s">
        <v>394</v>
      </c>
      <c r="L882" s="353">
        <v>2801.6</v>
      </c>
      <c r="M882" s="560">
        <f t="shared" si="886"/>
        <v>10.708166761850372</v>
      </c>
      <c r="N882" s="354" t="s">
        <v>395</v>
      </c>
      <c r="O882" s="354">
        <v>0</v>
      </c>
      <c r="P882" s="374"/>
      <c r="Q882" s="354">
        <v>0</v>
      </c>
      <c r="R882" s="354">
        <v>0</v>
      </c>
      <c r="S882" s="354">
        <v>0</v>
      </c>
      <c r="T882" s="354">
        <v>0</v>
      </c>
      <c r="U882" s="374"/>
      <c r="V882" s="354">
        <v>0</v>
      </c>
      <c r="W882" s="354">
        <v>0</v>
      </c>
      <c r="X882" s="354">
        <v>0</v>
      </c>
      <c r="Y882" s="374"/>
      <c r="Z882" s="354">
        <v>0</v>
      </c>
      <c r="AA882" s="354">
        <v>0</v>
      </c>
      <c r="AB882" s="374"/>
      <c r="AC882" s="376">
        <v>0</v>
      </c>
      <c r="AD882" s="376">
        <v>0</v>
      </c>
      <c r="AE882" s="376">
        <v>0</v>
      </c>
      <c r="AF882" s="374"/>
      <c r="AG882" s="376">
        <v>0</v>
      </c>
      <c r="AH882" s="376">
        <v>0</v>
      </c>
      <c r="AI882" s="376">
        <v>0</v>
      </c>
      <c r="AJ882" s="376">
        <v>0</v>
      </c>
      <c r="AK882" s="374"/>
      <c r="AL882" s="376">
        <v>0</v>
      </c>
      <c r="AM882" s="376">
        <v>0</v>
      </c>
      <c r="AN882" s="376">
        <v>0</v>
      </c>
      <c r="AO882" s="374"/>
      <c r="AP882" s="376">
        <v>0</v>
      </c>
      <c r="AQ882" s="376">
        <v>0</v>
      </c>
      <c r="AR882" s="374"/>
      <c r="AS882" s="376">
        <v>0</v>
      </c>
      <c r="AT882" s="376">
        <v>0</v>
      </c>
      <c r="AU882" s="355" t="s">
        <v>396</v>
      </c>
      <c r="AV882" s="354" t="s">
        <v>345</v>
      </c>
      <c r="AW882" s="353">
        <v>0</v>
      </c>
      <c r="AX882" s="353">
        <v>0</v>
      </c>
      <c r="AY882" s="353">
        <v>0</v>
      </c>
      <c r="AZ882" s="353">
        <v>0</v>
      </c>
      <c r="BA882" s="353">
        <v>0</v>
      </c>
      <c r="BB882" s="353">
        <v>0</v>
      </c>
    </row>
    <row r="883" spans="1:54" x14ac:dyDescent="0.25">
      <c r="A883" s="348" t="s">
        <v>1356</v>
      </c>
      <c r="B883" s="349">
        <v>71</v>
      </c>
      <c r="C883" s="350" t="s">
        <v>997</v>
      </c>
      <c r="D883" s="351">
        <v>45162</v>
      </c>
      <c r="E883" s="352"/>
      <c r="F883" s="352">
        <v>6</v>
      </c>
      <c r="G883" s="348" t="s">
        <v>1038</v>
      </c>
      <c r="H883" s="350" t="s">
        <v>1357</v>
      </c>
      <c r="I883" s="350" t="s">
        <v>393</v>
      </c>
      <c r="J883" s="375">
        <v>100000</v>
      </c>
      <c r="K883" s="350" t="s">
        <v>394</v>
      </c>
      <c r="L883" s="354">
        <v>2802.3999950000002</v>
      </c>
      <c r="M883" s="375">
        <f>J883/L883</f>
        <v>35.683699749649762</v>
      </c>
      <c r="N883" s="354" t="s">
        <v>395</v>
      </c>
      <c r="O883" s="354">
        <v>0</v>
      </c>
      <c r="P883" s="374"/>
      <c r="Q883" s="354">
        <v>0</v>
      </c>
      <c r="R883" s="354">
        <v>0</v>
      </c>
      <c r="S883" s="354">
        <v>0</v>
      </c>
      <c r="T883" s="354">
        <v>0</v>
      </c>
      <c r="U883" s="374"/>
      <c r="V883" s="354">
        <v>0</v>
      </c>
      <c r="W883" s="354">
        <v>0</v>
      </c>
      <c r="X883" s="354">
        <v>0</v>
      </c>
      <c r="Y883" s="374"/>
      <c r="Z883" s="354">
        <v>0</v>
      </c>
      <c r="AA883" s="354">
        <v>0</v>
      </c>
      <c r="AB883" s="374"/>
      <c r="AC883" s="376">
        <v>0</v>
      </c>
      <c r="AD883" s="376">
        <v>0</v>
      </c>
      <c r="AE883" s="376">
        <v>0</v>
      </c>
      <c r="AF883" s="374"/>
      <c r="AG883" s="376">
        <v>0</v>
      </c>
      <c r="AH883" s="376">
        <v>0</v>
      </c>
      <c r="AI883" s="376">
        <v>0</v>
      </c>
      <c r="AJ883" s="376">
        <v>0</v>
      </c>
      <c r="AK883" s="374"/>
      <c r="AL883" s="376">
        <v>0</v>
      </c>
      <c r="AM883" s="376">
        <v>0</v>
      </c>
      <c r="AN883" s="376">
        <v>0</v>
      </c>
      <c r="AO883" s="374"/>
      <c r="AP883" s="376">
        <v>0</v>
      </c>
      <c r="AQ883" s="376">
        <v>0</v>
      </c>
      <c r="AR883" s="374"/>
      <c r="AS883" s="376">
        <v>0</v>
      </c>
      <c r="AT883" s="376">
        <v>0</v>
      </c>
      <c r="AU883" s="355" t="s">
        <v>396</v>
      </c>
      <c r="AV883" s="354" t="s">
        <v>397</v>
      </c>
      <c r="AW883" s="353">
        <v>0</v>
      </c>
      <c r="AX883" s="353">
        <v>0</v>
      </c>
      <c r="AY883" s="353">
        <v>0</v>
      </c>
      <c r="AZ883" s="353">
        <v>0</v>
      </c>
      <c r="BA883" s="353">
        <v>0</v>
      </c>
      <c r="BB883" s="353">
        <v>0</v>
      </c>
    </row>
    <row r="884" spans="1:54" x14ac:dyDescent="0.25">
      <c r="A884" s="348" t="s">
        <v>1356</v>
      </c>
      <c r="B884" s="349">
        <v>71</v>
      </c>
      <c r="C884" s="350" t="s">
        <v>997</v>
      </c>
      <c r="D884" s="351">
        <v>45162</v>
      </c>
      <c r="E884" s="352"/>
      <c r="F884" s="352">
        <v>6</v>
      </c>
      <c r="G884" s="348" t="s">
        <v>1038</v>
      </c>
      <c r="H884" s="350" t="s">
        <v>1358</v>
      </c>
      <c r="I884" s="350" t="s">
        <v>393</v>
      </c>
      <c r="J884" s="375">
        <v>112000</v>
      </c>
      <c r="K884" s="350" t="s">
        <v>394</v>
      </c>
      <c r="L884" s="354">
        <v>2802.3999950000002</v>
      </c>
      <c r="M884" s="375">
        <f t="shared" ref="M884:M911" si="887">J884/L884</f>
        <v>39.96574371960773</v>
      </c>
      <c r="N884" s="354" t="s">
        <v>395</v>
      </c>
      <c r="O884" s="354">
        <v>0</v>
      </c>
      <c r="P884" s="374"/>
      <c r="Q884" s="354">
        <v>0</v>
      </c>
      <c r="R884" s="354">
        <v>0</v>
      </c>
      <c r="S884" s="354">
        <v>0</v>
      </c>
      <c r="T884" s="354">
        <v>0</v>
      </c>
      <c r="U884" s="374"/>
      <c r="V884" s="354">
        <v>0</v>
      </c>
      <c r="W884" s="354">
        <v>0</v>
      </c>
      <c r="X884" s="354">
        <v>0</v>
      </c>
      <c r="Y884" s="374"/>
      <c r="Z884" s="354">
        <v>0</v>
      </c>
      <c r="AA884" s="354">
        <v>0</v>
      </c>
      <c r="AB884" s="374"/>
      <c r="AC884" s="376">
        <v>0</v>
      </c>
      <c r="AD884" s="376">
        <v>0</v>
      </c>
      <c r="AE884" s="376">
        <v>0</v>
      </c>
      <c r="AF884" s="374"/>
      <c r="AG884" s="376">
        <v>0</v>
      </c>
      <c r="AH884" s="376">
        <v>0</v>
      </c>
      <c r="AI884" s="376">
        <v>0</v>
      </c>
      <c r="AJ884" s="376">
        <v>0</v>
      </c>
      <c r="AK884" s="374"/>
      <c r="AL884" s="376">
        <v>0</v>
      </c>
      <c r="AM884" s="376">
        <v>0</v>
      </c>
      <c r="AN884" s="376">
        <v>0</v>
      </c>
      <c r="AO884" s="374"/>
      <c r="AP884" s="376">
        <v>0</v>
      </c>
      <c r="AQ884" s="376">
        <v>0</v>
      </c>
      <c r="AR884" s="374"/>
      <c r="AS884" s="376">
        <v>0</v>
      </c>
      <c r="AT884" s="376">
        <v>0</v>
      </c>
      <c r="AU884" s="355" t="s">
        <v>396</v>
      </c>
      <c r="AV884" s="354" t="s">
        <v>397</v>
      </c>
      <c r="AW884" s="353">
        <v>0</v>
      </c>
      <c r="AX884" s="353">
        <v>0</v>
      </c>
      <c r="AY884" s="353">
        <v>0</v>
      </c>
      <c r="AZ884" s="353">
        <v>0</v>
      </c>
      <c r="BA884" s="353">
        <v>0</v>
      </c>
      <c r="BB884" s="353">
        <v>0</v>
      </c>
    </row>
    <row r="885" spans="1:54" x14ac:dyDescent="0.25">
      <c r="A885" s="348" t="s">
        <v>1356</v>
      </c>
      <c r="B885" s="349">
        <v>71</v>
      </c>
      <c r="C885" s="350" t="s">
        <v>997</v>
      </c>
      <c r="D885" s="351">
        <v>45162</v>
      </c>
      <c r="E885" s="352"/>
      <c r="F885" s="352">
        <v>6</v>
      </c>
      <c r="G885" s="348" t="s">
        <v>1038</v>
      </c>
      <c r="H885" s="350" t="s">
        <v>1359</v>
      </c>
      <c r="I885" s="350" t="s">
        <v>393</v>
      </c>
      <c r="J885" s="375">
        <v>196000</v>
      </c>
      <c r="K885" s="350" t="s">
        <v>394</v>
      </c>
      <c r="L885" s="354">
        <v>2802.3999950000002</v>
      </c>
      <c r="M885" s="375">
        <f t="shared" si="887"/>
        <v>69.940051509313534</v>
      </c>
      <c r="N885" s="354" t="s">
        <v>395</v>
      </c>
      <c r="O885" s="354">
        <v>0</v>
      </c>
      <c r="P885" s="374"/>
      <c r="Q885" s="354">
        <v>0</v>
      </c>
      <c r="R885" s="354">
        <v>0</v>
      </c>
      <c r="S885" s="354">
        <v>0</v>
      </c>
      <c r="T885" s="354">
        <v>0</v>
      </c>
      <c r="U885" s="374"/>
      <c r="V885" s="354">
        <v>0</v>
      </c>
      <c r="W885" s="354">
        <v>0</v>
      </c>
      <c r="X885" s="354">
        <v>0</v>
      </c>
      <c r="Y885" s="374"/>
      <c r="Z885" s="354">
        <v>0</v>
      </c>
      <c r="AA885" s="354">
        <v>0</v>
      </c>
      <c r="AB885" s="374"/>
      <c r="AC885" s="376">
        <v>0</v>
      </c>
      <c r="AD885" s="376">
        <v>0</v>
      </c>
      <c r="AE885" s="376">
        <v>0</v>
      </c>
      <c r="AF885" s="374"/>
      <c r="AG885" s="376">
        <v>0</v>
      </c>
      <c r="AH885" s="376">
        <v>0</v>
      </c>
      <c r="AI885" s="376">
        <v>0</v>
      </c>
      <c r="AJ885" s="376">
        <v>0</v>
      </c>
      <c r="AK885" s="374"/>
      <c r="AL885" s="376">
        <v>0</v>
      </c>
      <c r="AM885" s="376">
        <v>0</v>
      </c>
      <c r="AN885" s="376">
        <v>0</v>
      </c>
      <c r="AO885" s="374"/>
      <c r="AP885" s="376">
        <v>0</v>
      </c>
      <c r="AQ885" s="376">
        <v>0</v>
      </c>
      <c r="AR885" s="374"/>
      <c r="AS885" s="376">
        <v>0</v>
      </c>
      <c r="AT885" s="376">
        <v>0</v>
      </c>
      <c r="AU885" s="355" t="s">
        <v>396</v>
      </c>
      <c r="AV885" s="354" t="s">
        <v>397</v>
      </c>
      <c r="AW885" s="353">
        <v>0</v>
      </c>
      <c r="AX885" s="353">
        <v>0</v>
      </c>
      <c r="AY885" s="353">
        <v>0</v>
      </c>
      <c r="AZ885" s="353">
        <v>0</v>
      </c>
      <c r="BA885" s="353">
        <v>0</v>
      </c>
      <c r="BB885" s="353">
        <v>0</v>
      </c>
    </row>
    <row r="886" spans="1:54" x14ac:dyDescent="0.25">
      <c r="A886" s="348" t="s">
        <v>1356</v>
      </c>
      <c r="B886" s="349">
        <v>71</v>
      </c>
      <c r="C886" s="350" t="s">
        <v>997</v>
      </c>
      <c r="D886" s="351">
        <v>45162</v>
      </c>
      <c r="E886" s="352"/>
      <c r="F886" s="352">
        <v>6</v>
      </c>
      <c r="G886" s="348" t="s">
        <v>1038</v>
      </c>
      <c r="H886" s="350" t="s">
        <v>1360</v>
      </c>
      <c r="I886" s="350" t="s">
        <v>393</v>
      </c>
      <c r="J886" s="375">
        <v>56000</v>
      </c>
      <c r="K886" s="350" t="s">
        <v>394</v>
      </c>
      <c r="L886" s="354">
        <v>2802.3999950000002</v>
      </c>
      <c r="M886" s="375">
        <f t="shared" si="887"/>
        <v>19.982871859803865</v>
      </c>
      <c r="N886" s="354" t="s">
        <v>395</v>
      </c>
      <c r="O886" s="354">
        <v>0</v>
      </c>
      <c r="P886" s="374"/>
      <c r="Q886" s="354">
        <v>0</v>
      </c>
      <c r="R886" s="354">
        <v>0</v>
      </c>
      <c r="S886" s="354">
        <v>0</v>
      </c>
      <c r="T886" s="354">
        <v>0</v>
      </c>
      <c r="U886" s="374"/>
      <c r="V886" s="354">
        <v>0</v>
      </c>
      <c r="W886" s="354">
        <v>0</v>
      </c>
      <c r="X886" s="354">
        <v>0</v>
      </c>
      <c r="Y886" s="374"/>
      <c r="Z886" s="354">
        <v>0</v>
      </c>
      <c r="AA886" s="354">
        <v>0</v>
      </c>
      <c r="AB886" s="374"/>
      <c r="AC886" s="376">
        <v>0</v>
      </c>
      <c r="AD886" s="376">
        <v>0</v>
      </c>
      <c r="AE886" s="376">
        <v>0</v>
      </c>
      <c r="AF886" s="374"/>
      <c r="AG886" s="376">
        <v>0</v>
      </c>
      <c r="AH886" s="376">
        <v>0</v>
      </c>
      <c r="AI886" s="376">
        <v>0</v>
      </c>
      <c r="AJ886" s="376">
        <v>0</v>
      </c>
      <c r="AK886" s="374"/>
      <c r="AL886" s="376">
        <v>0</v>
      </c>
      <c r="AM886" s="376">
        <v>0</v>
      </c>
      <c r="AN886" s="376">
        <v>0</v>
      </c>
      <c r="AO886" s="374"/>
      <c r="AP886" s="376">
        <v>0</v>
      </c>
      <c r="AQ886" s="376">
        <v>0</v>
      </c>
      <c r="AR886" s="374"/>
      <c r="AS886" s="376">
        <v>0</v>
      </c>
      <c r="AT886" s="376">
        <v>0</v>
      </c>
      <c r="AU886" s="355" t="s">
        <v>396</v>
      </c>
      <c r="AV886" s="354" t="s">
        <v>397</v>
      </c>
      <c r="AW886" s="353">
        <v>0</v>
      </c>
      <c r="AX886" s="353">
        <v>0</v>
      </c>
      <c r="AY886" s="353">
        <v>0</v>
      </c>
      <c r="AZ886" s="353">
        <v>0</v>
      </c>
      <c r="BA886" s="353">
        <v>0</v>
      </c>
      <c r="BB886" s="353">
        <v>0</v>
      </c>
    </row>
    <row r="887" spans="1:54" x14ac:dyDescent="0.25">
      <c r="A887" s="348" t="s">
        <v>1361</v>
      </c>
      <c r="B887" s="349">
        <v>72</v>
      </c>
      <c r="C887" s="350" t="s">
        <v>997</v>
      </c>
      <c r="D887" s="351">
        <v>45162</v>
      </c>
      <c r="E887" s="352"/>
      <c r="F887" s="352">
        <v>6</v>
      </c>
      <c r="G887" s="348" t="s">
        <v>1038</v>
      </c>
      <c r="H887" s="350" t="s">
        <v>1362</v>
      </c>
      <c r="I887" s="350" t="s">
        <v>393</v>
      </c>
      <c r="J887" s="375">
        <v>100000</v>
      </c>
      <c r="K887" s="350" t="s">
        <v>394</v>
      </c>
      <c r="L887" s="354">
        <v>2802.3999950000002</v>
      </c>
      <c r="M887" s="375">
        <f t="shared" si="887"/>
        <v>35.683699749649762</v>
      </c>
      <c r="N887" s="354" t="s">
        <v>395</v>
      </c>
      <c r="O887" s="354">
        <v>0</v>
      </c>
      <c r="P887" s="374"/>
      <c r="Q887" s="354">
        <v>0</v>
      </c>
      <c r="R887" s="354">
        <v>0</v>
      </c>
      <c r="S887" s="354">
        <v>0</v>
      </c>
      <c r="T887" s="354">
        <v>0</v>
      </c>
      <c r="U887" s="374"/>
      <c r="V887" s="354">
        <v>0</v>
      </c>
      <c r="W887" s="354">
        <v>0</v>
      </c>
      <c r="X887" s="354">
        <v>0</v>
      </c>
      <c r="Y887" s="374"/>
      <c r="Z887" s="354">
        <v>0</v>
      </c>
      <c r="AA887" s="354">
        <v>0</v>
      </c>
      <c r="AB887" s="374"/>
      <c r="AC887" s="376">
        <v>0</v>
      </c>
      <c r="AD887" s="376">
        <v>0</v>
      </c>
      <c r="AE887" s="376">
        <v>0</v>
      </c>
      <c r="AF887" s="374"/>
      <c r="AG887" s="376">
        <v>0</v>
      </c>
      <c r="AH887" s="376">
        <v>0</v>
      </c>
      <c r="AI887" s="376">
        <v>0</v>
      </c>
      <c r="AJ887" s="376">
        <v>0</v>
      </c>
      <c r="AK887" s="374"/>
      <c r="AL887" s="376">
        <v>0</v>
      </c>
      <c r="AM887" s="376">
        <v>0</v>
      </c>
      <c r="AN887" s="376">
        <v>0</v>
      </c>
      <c r="AO887" s="374"/>
      <c r="AP887" s="376">
        <v>0</v>
      </c>
      <c r="AQ887" s="376">
        <v>0</v>
      </c>
      <c r="AR887" s="374"/>
      <c r="AS887" s="376">
        <v>0</v>
      </c>
      <c r="AT887" s="376">
        <v>0</v>
      </c>
      <c r="AU887" s="355" t="s">
        <v>396</v>
      </c>
      <c r="AV887" s="354" t="s">
        <v>397</v>
      </c>
      <c r="AW887" s="353">
        <v>0</v>
      </c>
      <c r="AX887" s="353">
        <v>0</v>
      </c>
      <c r="AY887" s="353">
        <v>0</v>
      </c>
      <c r="AZ887" s="353">
        <v>0</v>
      </c>
      <c r="BA887" s="353">
        <v>0</v>
      </c>
      <c r="BB887" s="353">
        <v>0</v>
      </c>
    </row>
    <row r="888" spans="1:54" x14ac:dyDescent="0.25">
      <c r="A888" s="348" t="s">
        <v>1361</v>
      </c>
      <c r="B888" s="349">
        <v>72</v>
      </c>
      <c r="C888" s="350" t="s">
        <v>997</v>
      </c>
      <c r="D888" s="351">
        <v>45162</v>
      </c>
      <c r="E888" s="352"/>
      <c r="F888" s="352">
        <v>6</v>
      </c>
      <c r="G888" s="348" t="s">
        <v>1038</v>
      </c>
      <c r="H888" s="350" t="s">
        <v>1363</v>
      </c>
      <c r="I888" s="350" t="s">
        <v>393</v>
      </c>
      <c r="J888" s="375">
        <v>112000</v>
      </c>
      <c r="K888" s="350" t="s">
        <v>394</v>
      </c>
      <c r="L888" s="354">
        <v>2802.3999950000002</v>
      </c>
      <c r="M888" s="375">
        <f t="shared" si="887"/>
        <v>39.96574371960773</v>
      </c>
      <c r="N888" s="354" t="s">
        <v>395</v>
      </c>
      <c r="O888" s="354">
        <v>0</v>
      </c>
      <c r="P888" s="374"/>
      <c r="Q888" s="354">
        <v>0</v>
      </c>
      <c r="R888" s="354">
        <v>0</v>
      </c>
      <c r="S888" s="354">
        <v>0</v>
      </c>
      <c r="T888" s="354">
        <v>0</v>
      </c>
      <c r="U888" s="374"/>
      <c r="V888" s="354">
        <v>0</v>
      </c>
      <c r="W888" s="354">
        <v>0</v>
      </c>
      <c r="X888" s="354">
        <v>0</v>
      </c>
      <c r="Y888" s="374"/>
      <c r="Z888" s="354">
        <v>0</v>
      </c>
      <c r="AA888" s="354">
        <v>0</v>
      </c>
      <c r="AB888" s="374"/>
      <c r="AC888" s="376">
        <v>0</v>
      </c>
      <c r="AD888" s="376">
        <v>0</v>
      </c>
      <c r="AE888" s="376">
        <v>0</v>
      </c>
      <c r="AF888" s="374"/>
      <c r="AG888" s="376">
        <v>0</v>
      </c>
      <c r="AH888" s="376">
        <v>0</v>
      </c>
      <c r="AI888" s="376">
        <v>0</v>
      </c>
      <c r="AJ888" s="376">
        <v>0</v>
      </c>
      <c r="AK888" s="374"/>
      <c r="AL888" s="376">
        <v>0</v>
      </c>
      <c r="AM888" s="376">
        <v>0</v>
      </c>
      <c r="AN888" s="376">
        <v>0</v>
      </c>
      <c r="AO888" s="374"/>
      <c r="AP888" s="376">
        <v>0</v>
      </c>
      <c r="AQ888" s="376">
        <v>0</v>
      </c>
      <c r="AR888" s="374"/>
      <c r="AS888" s="376">
        <v>0</v>
      </c>
      <c r="AT888" s="376">
        <v>0</v>
      </c>
      <c r="AU888" s="355" t="s">
        <v>396</v>
      </c>
      <c r="AV888" s="354" t="s">
        <v>397</v>
      </c>
      <c r="AW888" s="353">
        <v>0</v>
      </c>
      <c r="AX888" s="353">
        <v>0</v>
      </c>
      <c r="AY888" s="353">
        <v>0</v>
      </c>
      <c r="AZ888" s="353">
        <v>0</v>
      </c>
      <c r="BA888" s="353">
        <v>0</v>
      </c>
      <c r="BB888" s="353">
        <v>0</v>
      </c>
    </row>
    <row r="889" spans="1:54" x14ac:dyDescent="0.25">
      <c r="A889" s="348" t="s">
        <v>1361</v>
      </c>
      <c r="B889" s="349">
        <v>72</v>
      </c>
      <c r="C889" s="350" t="s">
        <v>997</v>
      </c>
      <c r="D889" s="351">
        <v>45162</v>
      </c>
      <c r="E889" s="352"/>
      <c r="F889" s="352">
        <v>6</v>
      </c>
      <c r="G889" s="348" t="s">
        <v>1038</v>
      </c>
      <c r="H889" s="350" t="s">
        <v>1364</v>
      </c>
      <c r="I889" s="350" t="s">
        <v>393</v>
      </c>
      <c r="J889" s="375">
        <v>224000</v>
      </c>
      <c r="K889" s="350" t="s">
        <v>394</v>
      </c>
      <c r="L889" s="354">
        <v>2802.3999950000002</v>
      </c>
      <c r="M889" s="375">
        <f t="shared" si="887"/>
        <v>79.931487439215459</v>
      </c>
      <c r="N889" s="354" t="s">
        <v>395</v>
      </c>
      <c r="O889" s="354">
        <v>0</v>
      </c>
      <c r="P889" s="374"/>
      <c r="Q889" s="354">
        <v>0</v>
      </c>
      <c r="R889" s="354">
        <v>0</v>
      </c>
      <c r="S889" s="354">
        <v>0</v>
      </c>
      <c r="T889" s="354">
        <v>0</v>
      </c>
      <c r="U889" s="374"/>
      <c r="V889" s="354">
        <v>0</v>
      </c>
      <c r="W889" s="354">
        <v>0</v>
      </c>
      <c r="X889" s="354">
        <v>0</v>
      </c>
      <c r="Y889" s="374"/>
      <c r="Z889" s="354">
        <v>0</v>
      </c>
      <c r="AA889" s="354">
        <v>0</v>
      </c>
      <c r="AB889" s="374"/>
      <c r="AC889" s="376">
        <v>0</v>
      </c>
      <c r="AD889" s="376">
        <v>0</v>
      </c>
      <c r="AE889" s="376">
        <v>0</v>
      </c>
      <c r="AF889" s="374"/>
      <c r="AG889" s="376">
        <v>0</v>
      </c>
      <c r="AH889" s="376">
        <v>0</v>
      </c>
      <c r="AI889" s="376">
        <v>0</v>
      </c>
      <c r="AJ889" s="376">
        <v>0</v>
      </c>
      <c r="AK889" s="374"/>
      <c r="AL889" s="376">
        <v>0</v>
      </c>
      <c r="AM889" s="376">
        <v>0</v>
      </c>
      <c r="AN889" s="376">
        <v>0</v>
      </c>
      <c r="AO889" s="374"/>
      <c r="AP889" s="376">
        <v>0</v>
      </c>
      <c r="AQ889" s="376">
        <v>0</v>
      </c>
      <c r="AR889" s="374"/>
      <c r="AS889" s="376">
        <v>0</v>
      </c>
      <c r="AT889" s="376">
        <v>0</v>
      </c>
      <c r="AU889" s="355" t="s">
        <v>396</v>
      </c>
      <c r="AV889" s="354" t="s">
        <v>397</v>
      </c>
      <c r="AW889" s="353">
        <v>0</v>
      </c>
      <c r="AX889" s="353">
        <v>0</v>
      </c>
      <c r="AY889" s="353">
        <v>0</v>
      </c>
      <c r="AZ889" s="353">
        <v>0</v>
      </c>
      <c r="BA889" s="353">
        <v>0</v>
      </c>
      <c r="BB889" s="353">
        <v>0</v>
      </c>
    </row>
    <row r="890" spans="1:54" x14ac:dyDescent="0.25">
      <c r="A890" s="348" t="s">
        <v>1361</v>
      </c>
      <c r="B890" s="349">
        <v>72</v>
      </c>
      <c r="C890" s="350" t="s">
        <v>997</v>
      </c>
      <c r="D890" s="351">
        <v>45162</v>
      </c>
      <c r="E890" s="352"/>
      <c r="F890" s="352">
        <v>6</v>
      </c>
      <c r="G890" s="348" t="s">
        <v>1038</v>
      </c>
      <c r="H890" s="350" t="s">
        <v>1365</v>
      </c>
      <c r="I890" s="350" t="s">
        <v>393</v>
      </c>
      <c r="J890" s="375">
        <v>56000</v>
      </c>
      <c r="K890" s="350" t="s">
        <v>394</v>
      </c>
      <c r="L890" s="354">
        <v>2802.3999950000002</v>
      </c>
      <c r="M890" s="375">
        <f t="shared" si="887"/>
        <v>19.982871859803865</v>
      </c>
      <c r="N890" s="354" t="s">
        <v>395</v>
      </c>
      <c r="O890" s="354">
        <v>0</v>
      </c>
      <c r="P890" s="374"/>
      <c r="Q890" s="354">
        <v>0</v>
      </c>
      <c r="R890" s="354">
        <v>0</v>
      </c>
      <c r="S890" s="354">
        <v>0</v>
      </c>
      <c r="T890" s="354">
        <v>0</v>
      </c>
      <c r="U890" s="374"/>
      <c r="V890" s="354">
        <v>0</v>
      </c>
      <c r="W890" s="354">
        <v>0</v>
      </c>
      <c r="X890" s="354">
        <v>0</v>
      </c>
      <c r="Y890" s="374"/>
      <c r="Z890" s="354">
        <v>0</v>
      </c>
      <c r="AA890" s="354">
        <v>0</v>
      </c>
      <c r="AB890" s="374"/>
      <c r="AC890" s="376">
        <v>0</v>
      </c>
      <c r="AD890" s="376">
        <v>0</v>
      </c>
      <c r="AE890" s="376">
        <v>0</v>
      </c>
      <c r="AF890" s="374"/>
      <c r="AG890" s="376">
        <v>0</v>
      </c>
      <c r="AH890" s="376">
        <v>0</v>
      </c>
      <c r="AI890" s="376">
        <v>0</v>
      </c>
      <c r="AJ890" s="376">
        <v>0</v>
      </c>
      <c r="AK890" s="374"/>
      <c r="AL890" s="376">
        <v>0</v>
      </c>
      <c r="AM890" s="376">
        <v>0</v>
      </c>
      <c r="AN890" s="376">
        <v>0</v>
      </c>
      <c r="AO890" s="374"/>
      <c r="AP890" s="376">
        <v>0</v>
      </c>
      <c r="AQ890" s="376">
        <v>0</v>
      </c>
      <c r="AR890" s="374"/>
      <c r="AS890" s="376">
        <v>0</v>
      </c>
      <c r="AT890" s="376">
        <v>0</v>
      </c>
      <c r="AU890" s="355" t="s">
        <v>396</v>
      </c>
      <c r="AV890" s="354" t="s">
        <v>397</v>
      </c>
      <c r="AW890" s="353">
        <v>0</v>
      </c>
      <c r="AX890" s="353">
        <v>0</v>
      </c>
      <c r="AY890" s="353">
        <v>0</v>
      </c>
      <c r="AZ890" s="353">
        <v>0</v>
      </c>
      <c r="BA890" s="353">
        <v>0</v>
      </c>
      <c r="BB890" s="353">
        <v>0</v>
      </c>
    </row>
    <row r="891" spans="1:54" x14ac:dyDescent="0.25">
      <c r="A891" s="348" t="s">
        <v>1366</v>
      </c>
      <c r="B891" s="349">
        <v>73</v>
      </c>
      <c r="C891" s="350" t="s">
        <v>997</v>
      </c>
      <c r="D891" s="351">
        <v>45162</v>
      </c>
      <c r="E891" s="352"/>
      <c r="F891" s="352">
        <v>6</v>
      </c>
      <c r="G891" s="348" t="s">
        <v>1038</v>
      </c>
      <c r="H891" s="350" t="s">
        <v>351</v>
      </c>
      <c r="I891" s="350" t="s">
        <v>393</v>
      </c>
      <c r="J891" s="560">
        <v>600000</v>
      </c>
      <c r="K891" s="350" t="s">
        <v>394</v>
      </c>
      <c r="L891" s="354">
        <v>2802.3999950000002</v>
      </c>
      <c r="M891" s="375">
        <f t="shared" si="887"/>
        <v>214.10219849789857</v>
      </c>
      <c r="N891" s="354" t="s">
        <v>395</v>
      </c>
      <c r="O891" s="354">
        <v>0</v>
      </c>
      <c r="P891" s="374"/>
      <c r="Q891" s="354">
        <v>0</v>
      </c>
      <c r="R891" s="354">
        <v>0</v>
      </c>
      <c r="S891" s="354">
        <v>0</v>
      </c>
      <c r="T891" s="354">
        <v>0</v>
      </c>
      <c r="U891" s="374"/>
      <c r="V891" s="354">
        <v>0</v>
      </c>
      <c r="W891" s="354">
        <v>0</v>
      </c>
      <c r="X891" s="354">
        <v>0</v>
      </c>
      <c r="Y891" s="374"/>
      <c r="Z891" s="354">
        <v>0</v>
      </c>
      <c r="AA891" s="354">
        <v>0</v>
      </c>
      <c r="AB891" s="374"/>
      <c r="AC891" s="376">
        <v>0</v>
      </c>
      <c r="AD891" s="376">
        <v>0</v>
      </c>
      <c r="AE891" s="376">
        <v>0</v>
      </c>
      <c r="AF891" s="374"/>
      <c r="AG891" s="376">
        <v>0</v>
      </c>
      <c r="AH891" s="376">
        <v>0</v>
      </c>
      <c r="AI891" s="376">
        <v>0</v>
      </c>
      <c r="AJ891" s="376">
        <v>0</v>
      </c>
      <c r="AK891" s="374"/>
      <c r="AL891" s="376">
        <v>0</v>
      </c>
      <c r="AM891" s="376">
        <v>0</v>
      </c>
      <c r="AN891" s="376">
        <v>0</v>
      </c>
      <c r="AO891" s="374"/>
      <c r="AP891" s="376">
        <v>0</v>
      </c>
      <c r="AQ891" s="376">
        <v>0</v>
      </c>
      <c r="AR891" s="374"/>
      <c r="AS891" s="376">
        <v>0</v>
      </c>
      <c r="AT891" s="376">
        <v>0</v>
      </c>
      <c r="AU891" s="355" t="s">
        <v>396</v>
      </c>
      <c r="AV891" s="354" t="s">
        <v>397</v>
      </c>
      <c r="AW891" s="353">
        <v>0</v>
      </c>
      <c r="AX891" s="353">
        <v>0</v>
      </c>
      <c r="AY891" s="353">
        <v>0</v>
      </c>
      <c r="AZ891" s="353">
        <v>0</v>
      </c>
      <c r="BA891" s="353">
        <v>0</v>
      </c>
      <c r="BB891" s="353">
        <v>0</v>
      </c>
    </row>
    <row r="892" spans="1:54" x14ac:dyDescent="0.25">
      <c r="A892" s="348" t="s">
        <v>1367</v>
      </c>
      <c r="B892" s="349">
        <v>74</v>
      </c>
      <c r="C892" s="350" t="s">
        <v>997</v>
      </c>
      <c r="D892" s="351">
        <v>45162</v>
      </c>
      <c r="E892" s="352"/>
      <c r="F892" s="352">
        <v>6</v>
      </c>
      <c r="G892" s="348" t="s">
        <v>1038</v>
      </c>
      <c r="H892" s="350" t="s">
        <v>1368</v>
      </c>
      <c r="I892" s="350" t="s">
        <v>393</v>
      </c>
      <c r="J892" s="375">
        <v>36000</v>
      </c>
      <c r="K892" s="350" t="s">
        <v>394</v>
      </c>
      <c r="L892" s="354">
        <v>2802.3999950000002</v>
      </c>
      <c r="M892" s="375">
        <f t="shared" si="887"/>
        <v>12.846131909873915</v>
      </c>
      <c r="N892" s="354" t="s">
        <v>395</v>
      </c>
      <c r="O892" s="354">
        <v>0</v>
      </c>
      <c r="P892" s="374"/>
      <c r="Q892" s="354">
        <v>0</v>
      </c>
      <c r="R892" s="354">
        <v>0</v>
      </c>
      <c r="S892" s="354">
        <v>0</v>
      </c>
      <c r="T892" s="354">
        <v>0</v>
      </c>
      <c r="U892" s="374"/>
      <c r="V892" s="354">
        <v>0</v>
      </c>
      <c r="W892" s="354">
        <v>0</v>
      </c>
      <c r="X892" s="354">
        <v>0</v>
      </c>
      <c r="Y892" s="374"/>
      <c r="Z892" s="354">
        <v>0</v>
      </c>
      <c r="AA892" s="354">
        <v>0</v>
      </c>
      <c r="AB892" s="374"/>
      <c r="AC892" s="376">
        <v>0</v>
      </c>
      <c r="AD892" s="376">
        <v>0</v>
      </c>
      <c r="AE892" s="376">
        <v>0</v>
      </c>
      <c r="AF892" s="374"/>
      <c r="AG892" s="376">
        <v>0</v>
      </c>
      <c r="AH892" s="376">
        <v>0</v>
      </c>
      <c r="AI892" s="376">
        <v>0</v>
      </c>
      <c r="AJ892" s="376">
        <v>0</v>
      </c>
      <c r="AK892" s="374"/>
      <c r="AL892" s="376">
        <v>0</v>
      </c>
      <c r="AM892" s="376">
        <v>0</v>
      </c>
      <c r="AN892" s="376">
        <v>0</v>
      </c>
      <c r="AO892" s="374"/>
      <c r="AP892" s="376">
        <v>0</v>
      </c>
      <c r="AQ892" s="376">
        <v>0</v>
      </c>
      <c r="AR892" s="374"/>
      <c r="AS892" s="376">
        <v>0</v>
      </c>
      <c r="AT892" s="376">
        <v>0</v>
      </c>
      <c r="AU892" s="355" t="s">
        <v>396</v>
      </c>
      <c r="AV892" s="354" t="s">
        <v>397</v>
      </c>
      <c r="AW892" s="353">
        <v>0</v>
      </c>
      <c r="AX892" s="353">
        <v>0</v>
      </c>
      <c r="AY892" s="353">
        <v>0</v>
      </c>
      <c r="AZ892" s="353">
        <v>0</v>
      </c>
      <c r="BA892" s="353">
        <v>0</v>
      </c>
      <c r="BB892" s="353">
        <v>0</v>
      </c>
    </row>
    <row r="893" spans="1:54" x14ac:dyDescent="0.25">
      <c r="A893" s="348" t="s">
        <v>1367</v>
      </c>
      <c r="B893" s="349">
        <v>74</v>
      </c>
      <c r="C893" s="350" t="s">
        <v>997</v>
      </c>
      <c r="D893" s="351">
        <v>45162</v>
      </c>
      <c r="E893" s="352"/>
      <c r="F893" s="352">
        <v>6</v>
      </c>
      <c r="G893" s="348" t="s">
        <v>1038</v>
      </c>
      <c r="H893" s="350" t="s">
        <v>1225</v>
      </c>
      <c r="I893" s="350" t="s">
        <v>393</v>
      </c>
      <c r="J893" s="375">
        <v>25000</v>
      </c>
      <c r="K893" s="350" t="s">
        <v>394</v>
      </c>
      <c r="L893" s="354">
        <v>2802.3999950000002</v>
      </c>
      <c r="M893" s="375">
        <f t="shared" si="887"/>
        <v>8.9209249374124404</v>
      </c>
      <c r="N893" s="354" t="s">
        <v>395</v>
      </c>
      <c r="O893" s="354">
        <v>0</v>
      </c>
      <c r="P893" s="374"/>
      <c r="Q893" s="354">
        <v>0</v>
      </c>
      <c r="R893" s="354">
        <v>0</v>
      </c>
      <c r="S893" s="354">
        <v>0</v>
      </c>
      <c r="T893" s="354">
        <v>0</v>
      </c>
      <c r="U893" s="374"/>
      <c r="V893" s="354">
        <v>0</v>
      </c>
      <c r="W893" s="354">
        <v>0</v>
      </c>
      <c r="X893" s="354">
        <v>0</v>
      </c>
      <c r="Y893" s="374"/>
      <c r="Z893" s="354">
        <v>0</v>
      </c>
      <c r="AA893" s="354">
        <v>0</v>
      </c>
      <c r="AB893" s="374"/>
      <c r="AC893" s="376">
        <v>0</v>
      </c>
      <c r="AD893" s="376">
        <v>0</v>
      </c>
      <c r="AE893" s="376">
        <v>0</v>
      </c>
      <c r="AF893" s="374"/>
      <c r="AG893" s="376">
        <v>0</v>
      </c>
      <c r="AH893" s="376">
        <v>0</v>
      </c>
      <c r="AI893" s="376">
        <v>0</v>
      </c>
      <c r="AJ893" s="376">
        <v>0</v>
      </c>
      <c r="AK893" s="374"/>
      <c r="AL893" s="376">
        <v>0</v>
      </c>
      <c r="AM893" s="376">
        <v>0</v>
      </c>
      <c r="AN893" s="376">
        <v>0</v>
      </c>
      <c r="AO893" s="374"/>
      <c r="AP893" s="376">
        <v>0</v>
      </c>
      <c r="AQ893" s="376">
        <v>0</v>
      </c>
      <c r="AR893" s="374"/>
      <c r="AS893" s="376">
        <v>0</v>
      </c>
      <c r="AT893" s="376">
        <v>0</v>
      </c>
      <c r="AU893" s="355" t="s">
        <v>396</v>
      </c>
      <c r="AV893" s="354" t="s">
        <v>397</v>
      </c>
      <c r="AW893" s="353">
        <v>0</v>
      </c>
      <c r="AX893" s="353">
        <v>0</v>
      </c>
      <c r="AY893" s="353">
        <v>0</v>
      </c>
      <c r="AZ893" s="353">
        <v>0</v>
      </c>
      <c r="BA893" s="353">
        <v>0</v>
      </c>
      <c r="BB893" s="353">
        <v>0</v>
      </c>
    </row>
    <row r="894" spans="1:54" x14ac:dyDescent="0.25">
      <c r="A894" s="348" t="s">
        <v>1367</v>
      </c>
      <c r="B894" s="349">
        <v>74</v>
      </c>
      <c r="C894" s="350" t="s">
        <v>997</v>
      </c>
      <c r="D894" s="351">
        <v>45162</v>
      </c>
      <c r="E894" s="352"/>
      <c r="F894" s="352">
        <v>6</v>
      </c>
      <c r="G894" s="348" t="s">
        <v>1038</v>
      </c>
      <c r="H894" s="350" t="s">
        <v>1369</v>
      </c>
      <c r="I894" s="350" t="s">
        <v>393</v>
      </c>
      <c r="J894" s="375">
        <v>66000</v>
      </c>
      <c r="K894" s="350" t="s">
        <v>394</v>
      </c>
      <c r="L894" s="354">
        <v>2802.3999950000002</v>
      </c>
      <c r="M894" s="375">
        <f t="shared" si="887"/>
        <v>23.551241834768842</v>
      </c>
      <c r="N894" s="354" t="s">
        <v>395</v>
      </c>
      <c r="O894" s="354">
        <v>0</v>
      </c>
      <c r="P894" s="374"/>
      <c r="Q894" s="354">
        <v>0</v>
      </c>
      <c r="R894" s="354">
        <v>0</v>
      </c>
      <c r="S894" s="354">
        <v>0</v>
      </c>
      <c r="T894" s="354">
        <v>0</v>
      </c>
      <c r="U894" s="374"/>
      <c r="V894" s="354">
        <v>0</v>
      </c>
      <c r="W894" s="354">
        <v>0</v>
      </c>
      <c r="X894" s="354">
        <v>0</v>
      </c>
      <c r="Y894" s="374"/>
      <c r="Z894" s="354">
        <v>0</v>
      </c>
      <c r="AA894" s="354">
        <v>0</v>
      </c>
      <c r="AB894" s="374"/>
      <c r="AC894" s="376">
        <v>0</v>
      </c>
      <c r="AD894" s="376">
        <v>0</v>
      </c>
      <c r="AE894" s="376">
        <v>0</v>
      </c>
      <c r="AF894" s="374"/>
      <c r="AG894" s="376">
        <v>0</v>
      </c>
      <c r="AH894" s="376">
        <v>0</v>
      </c>
      <c r="AI894" s="376">
        <v>0</v>
      </c>
      <c r="AJ894" s="376">
        <v>0</v>
      </c>
      <c r="AK894" s="374"/>
      <c r="AL894" s="376">
        <v>0</v>
      </c>
      <c r="AM894" s="376">
        <v>0</v>
      </c>
      <c r="AN894" s="376">
        <v>0</v>
      </c>
      <c r="AO894" s="374"/>
      <c r="AP894" s="376">
        <v>0</v>
      </c>
      <c r="AQ894" s="376">
        <v>0</v>
      </c>
      <c r="AR894" s="374"/>
      <c r="AS894" s="376">
        <v>0</v>
      </c>
      <c r="AT894" s="376">
        <v>0</v>
      </c>
      <c r="AU894" s="355" t="s">
        <v>396</v>
      </c>
      <c r="AV894" s="354" t="s">
        <v>397</v>
      </c>
      <c r="AW894" s="353">
        <v>0</v>
      </c>
      <c r="AX894" s="353">
        <v>0</v>
      </c>
      <c r="AY894" s="353">
        <v>0</v>
      </c>
      <c r="AZ894" s="353">
        <v>0</v>
      </c>
      <c r="BA894" s="353">
        <v>0</v>
      </c>
      <c r="BB894" s="353">
        <v>0</v>
      </c>
    </row>
    <row r="895" spans="1:54" x14ac:dyDescent="0.25">
      <c r="A895" s="348" t="s">
        <v>1367</v>
      </c>
      <c r="B895" s="349">
        <v>74</v>
      </c>
      <c r="C895" s="350" t="s">
        <v>997</v>
      </c>
      <c r="D895" s="351">
        <v>45162</v>
      </c>
      <c r="E895" s="352"/>
      <c r="F895" s="352">
        <v>6</v>
      </c>
      <c r="G895" s="348" t="s">
        <v>1038</v>
      </c>
      <c r="H895" s="350" t="s">
        <v>1226</v>
      </c>
      <c r="I895" s="350" t="s">
        <v>393</v>
      </c>
      <c r="J895" s="375">
        <v>15000</v>
      </c>
      <c r="K895" s="350" t="s">
        <v>394</v>
      </c>
      <c r="L895" s="354">
        <v>2802.3999950000002</v>
      </c>
      <c r="M895" s="375">
        <f t="shared" si="887"/>
        <v>5.3525549624474644</v>
      </c>
      <c r="N895" s="354" t="s">
        <v>395</v>
      </c>
      <c r="O895" s="354">
        <v>0</v>
      </c>
      <c r="P895" s="374"/>
      <c r="Q895" s="354">
        <v>0</v>
      </c>
      <c r="R895" s="354">
        <v>0</v>
      </c>
      <c r="S895" s="354">
        <v>0</v>
      </c>
      <c r="T895" s="354">
        <v>0</v>
      </c>
      <c r="U895" s="374"/>
      <c r="V895" s="354">
        <v>0</v>
      </c>
      <c r="W895" s="354">
        <v>0</v>
      </c>
      <c r="X895" s="354">
        <v>0</v>
      </c>
      <c r="Y895" s="374"/>
      <c r="Z895" s="354">
        <v>0</v>
      </c>
      <c r="AA895" s="354">
        <v>0</v>
      </c>
      <c r="AB895" s="374"/>
      <c r="AC895" s="376">
        <v>0</v>
      </c>
      <c r="AD895" s="376">
        <v>0</v>
      </c>
      <c r="AE895" s="376">
        <v>0</v>
      </c>
      <c r="AF895" s="374"/>
      <c r="AG895" s="376">
        <v>0</v>
      </c>
      <c r="AH895" s="376">
        <v>0</v>
      </c>
      <c r="AI895" s="376">
        <v>0</v>
      </c>
      <c r="AJ895" s="376">
        <v>0</v>
      </c>
      <c r="AK895" s="374"/>
      <c r="AL895" s="376">
        <v>0</v>
      </c>
      <c r="AM895" s="376">
        <v>0</v>
      </c>
      <c r="AN895" s="376">
        <v>0</v>
      </c>
      <c r="AO895" s="374"/>
      <c r="AP895" s="376">
        <v>0</v>
      </c>
      <c r="AQ895" s="376">
        <v>0</v>
      </c>
      <c r="AR895" s="374"/>
      <c r="AS895" s="376">
        <v>0</v>
      </c>
      <c r="AT895" s="376">
        <v>0</v>
      </c>
      <c r="AU895" s="355" t="s">
        <v>396</v>
      </c>
      <c r="AV895" s="354" t="s">
        <v>397</v>
      </c>
      <c r="AW895" s="353">
        <v>0</v>
      </c>
      <c r="AX895" s="353">
        <v>0</v>
      </c>
      <c r="AY895" s="353">
        <v>0</v>
      </c>
      <c r="AZ895" s="353">
        <v>0</v>
      </c>
      <c r="BA895" s="353">
        <v>0</v>
      </c>
      <c r="BB895" s="353">
        <v>0</v>
      </c>
    </row>
    <row r="896" spans="1:54" x14ac:dyDescent="0.25">
      <c r="A896" s="348" t="s">
        <v>1367</v>
      </c>
      <c r="B896" s="349">
        <v>74</v>
      </c>
      <c r="C896" s="350" t="s">
        <v>997</v>
      </c>
      <c r="D896" s="351">
        <v>45162</v>
      </c>
      <c r="E896" s="352"/>
      <c r="F896" s="352">
        <v>6</v>
      </c>
      <c r="G896" s="348" t="s">
        <v>1038</v>
      </c>
      <c r="H896" s="350" t="s">
        <v>1227</v>
      </c>
      <c r="I896" s="350" t="s">
        <v>393</v>
      </c>
      <c r="J896" s="375">
        <v>10500</v>
      </c>
      <c r="K896" s="350" t="s">
        <v>394</v>
      </c>
      <c r="L896" s="354">
        <v>2802.3999950000002</v>
      </c>
      <c r="M896" s="375">
        <f t="shared" si="887"/>
        <v>3.7467884737132251</v>
      </c>
      <c r="N896" s="354" t="s">
        <v>395</v>
      </c>
      <c r="O896" s="354">
        <v>0</v>
      </c>
      <c r="P896" s="374"/>
      <c r="Q896" s="354">
        <v>0</v>
      </c>
      <c r="R896" s="354">
        <v>0</v>
      </c>
      <c r="S896" s="354">
        <v>0</v>
      </c>
      <c r="T896" s="354">
        <v>0</v>
      </c>
      <c r="U896" s="374"/>
      <c r="V896" s="354">
        <v>0</v>
      </c>
      <c r="W896" s="354">
        <v>0</v>
      </c>
      <c r="X896" s="354">
        <v>0</v>
      </c>
      <c r="Y896" s="374"/>
      <c r="Z896" s="354">
        <v>0</v>
      </c>
      <c r="AA896" s="354">
        <v>0</v>
      </c>
      <c r="AB896" s="374"/>
      <c r="AC896" s="376">
        <v>0</v>
      </c>
      <c r="AD896" s="376">
        <v>0</v>
      </c>
      <c r="AE896" s="376">
        <v>0</v>
      </c>
      <c r="AF896" s="374"/>
      <c r="AG896" s="376">
        <v>0</v>
      </c>
      <c r="AH896" s="376">
        <v>0</v>
      </c>
      <c r="AI896" s="376">
        <v>0</v>
      </c>
      <c r="AJ896" s="376">
        <v>0</v>
      </c>
      <c r="AK896" s="374"/>
      <c r="AL896" s="376">
        <v>0</v>
      </c>
      <c r="AM896" s="376">
        <v>0</v>
      </c>
      <c r="AN896" s="376">
        <v>0</v>
      </c>
      <c r="AO896" s="374"/>
      <c r="AP896" s="376">
        <v>0</v>
      </c>
      <c r="AQ896" s="376">
        <v>0</v>
      </c>
      <c r="AR896" s="374"/>
      <c r="AS896" s="376">
        <v>0</v>
      </c>
      <c r="AT896" s="376">
        <v>0</v>
      </c>
      <c r="AU896" s="355" t="s">
        <v>396</v>
      </c>
      <c r="AV896" s="354" t="s">
        <v>397</v>
      </c>
      <c r="AW896" s="353">
        <v>0</v>
      </c>
      <c r="AX896" s="353">
        <v>0</v>
      </c>
      <c r="AY896" s="353">
        <v>0</v>
      </c>
      <c r="AZ896" s="353">
        <v>0</v>
      </c>
      <c r="BA896" s="353">
        <v>0</v>
      </c>
      <c r="BB896" s="353">
        <v>0</v>
      </c>
    </row>
    <row r="897" spans="1:54" x14ac:dyDescent="0.25">
      <c r="A897" s="348" t="s">
        <v>1367</v>
      </c>
      <c r="B897" s="349">
        <v>74</v>
      </c>
      <c r="C897" s="350" t="s">
        <v>997</v>
      </c>
      <c r="D897" s="351">
        <v>45162</v>
      </c>
      <c r="E897" s="352"/>
      <c r="F897" s="352">
        <v>6</v>
      </c>
      <c r="G897" s="348" t="s">
        <v>1038</v>
      </c>
      <c r="H897" s="350" t="s">
        <v>1370</v>
      </c>
      <c r="I897" s="350" t="s">
        <v>393</v>
      </c>
      <c r="J897" s="375">
        <v>66000</v>
      </c>
      <c r="K897" s="350" t="s">
        <v>394</v>
      </c>
      <c r="L897" s="354">
        <v>2802.3999950000002</v>
      </c>
      <c r="M897" s="375">
        <f t="shared" si="887"/>
        <v>23.551241834768842</v>
      </c>
      <c r="N897" s="354" t="s">
        <v>395</v>
      </c>
      <c r="O897" s="354">
        <v>0</v>
      </c>
      <c r="P897" s="374"/>
      <c r="Q897" s="354">
        <v>0</v>
      </c>
      <c r="R897" s="354">
        <v>0</v>
      </c>
      <c r="S897" s="354">
        <v>0</v>
      </c>
      <c r="T897" s="354">
        <v>0</v>
      </c>
      <c r="U897" s="374"/>
      <c r="V897" s="354">
        <v>0</v>
      </c>
      <c r="W897" s="354">
        <v>0</v>
      </c>
      <c r="X897" s="354">
        <v>0</v>
      </c>
      <c r="Y897" s="374"/>
      <c r="Z897" s="354">
        <v>0</v>
      </c>
      <c r="AA897" s="354">
        <v>0</v>
      </c>
      <c r="AB897" s="374"/>
      <c r="AC897" s="376">
        <v>0</v>
      </c>
      <c r="AD897" s="376">
        <v>0</v>
      </c>
      <c r="AE897" s="376">
        <v>0</v>
      </c>
      <c r="AF897" s="374"/>
      <c r="AG897" s="376">
        <v>0</v>
      </c>
      <c r="AH897" s="376">
        <v>0</v>
      </c>
      <c r="AI897" s="376">
        <v>0</v>
      </c>
      <c r="AJ897" s="376">
        <v>0</v>
      </c>
      <c r="AK897" s="374"/>
      <c r="AL897" s="376">
        <v>0</v>
      </c>
      <c r="AM897" s="376">
        <v>0</v>
      </c>
      <c r="AN897" s="376">
        <v>0</v>
      </c>
      <c r="AO897" s="374"/>
      <c r="AP897" s="376">
        <v>0</v>
      </c>
      <c r="AQ897" s="376">
        <v>0</v>
      </c>
      <c r="AR897" s="374"/>
      <c r="AS897" s="376">
        <v>0</v>
      </c>
      <c r="AT897" s="376">
        <v>0</v>
      </c>
      <c r="AU897" s="355" t="s">
        <v>396</v>
      </c>
      <c r="AV897" s="354" t="s">
        <v>397</v>
      </c>
      <c r="AW897" s="353">
        <v>0</v>
      </c>
      <c r="AX897" s="353">
        <v>0</v>
      </c>
      <c r="AY897" s="353">
        <v>0</v>
      </c>
      <c r="AZ897" s="353">
        <v>0</v>
      </c>
      <c r="BA897" s="353">
        <v>0</v>
      </c>
      <c r="BB897" s="353">
        <v>0</v>
      </c>
    </row>
    <row r="898" spans="1:54" x14ac:dyDescent="0.25">
      <c r="A898" s="348" t="s">
        <v>1371</v>
      </c>
      <c r="B898" s="349">
        <v>75</v>
      </c>
      <c r="C898" s="350" t="s">
        <v>997</v>
      </c>
      <c r="D898" s="351">
        <v>45162</v>
      </c>
      <c r="F898" s="353">
        <v>6</v>
      </c>
      <c r="G898" s="348" t="s">
        <v>1038</v>
      </c>
      <c r="H898" s="350" t="s">
        <v>1372</v>
      </c>
      <c r="I898" s="350" t="s">
        <v>393</v>
      </c>
      <c r="J898" s="375">
        <v>100000</v>
      </c>
      <c r="K898" s="350" t="s">
        <v>394</v>
      </c>
      <c r="L898" s="354">
        <v>2802.3999950000002</v>
      </c>
      <c r="M898" s="375">
        <f t="shared" si="887"/>
        <v>35.683699749649762</v>
      </c>
      <c r="N898" s="354" t="s">
        <v>395</v>
      </c>
      <c r="O898" s="354">
        <v>0</v>
      </c>
      <c r="P898" s="374"/>
      <c r="Q898" s="354">
        <v>0</v>
      </c>
      <c r="R898" s="354">
        <v>0</v>
      </c>
      <c r="S898" s="354">
        <v>0</v>
      </c>
      <c r="T898" s="354">
        <v>0</v>
      </c>
      <c r="U898" s="374"/>
      <c r="V898" s="354">
        <v>0</v>
      </c>
      <c r="W898" s="354">
        <v>0</v>
      </c>
      <c r="X898" s="354">
        <v>0</v>
      </c>
      <c r="Y898" s="374"/>
      <c r="Z898" s="354">
        <v>0</v>
      </c>
      <c r="AA898" s="354">
        <v>0</v>
      </c>
      <c r="AB898" s="374"/>
      <c r="AC898" s="376">
        <v>0</v>
      </c>
      <c r="AD898" s="376">
        <v>0</v>
      </c>
      <c r="AE898" s="376">
        <v>0</v>
      </c>
      <c r="AF898" s="374"/>
      <c r="AG898" s="376">
        <v>0</v>
      </c>
      <c r="AH898" s="376">
        <v>0</v>
      </c>
      <c r="AI898" s="376">
        <v>0</v>
      </c>
      <c r="AJ898" s="376">
        <v>0</v>
      </c>
      <c r="AK898" s="374"/>
      <c r="AL898" s="376">
        <v>0</v>
      </c>
      <c r="AM898" s="376">
        <v>0</v>
      </c>
      <c r="AN898" s="376">
        <v>0</v>
      </c>
      <c r="AO898" s="374"/>
      <c r="AP898" s="376">
        <v>0</v>
      </c>
      <c r="AQ898" s="376">
        <v>0</v>
      </c>
      <c r="AR898" s="374"/>
      <c r="AS898" s="376">
        <v>0</v>
      </c>
      <c r="AT898" s="376">
        <v>0</v>
      </c>
      <c r="AU898" s="355" t="s">
        <v>396</v>
      </c>
      <c r="AV898" s="354" t="s">
        <v>397</v>
      </c>
      <c r="AW898" s="353">
        <v>0</v>
      </c>
      <c r="AX898" s="353">
        <v>0</v>
      </c>
      <c r="AY898" s="353">
        <v>0</v>
      </c>
      <c r="AZ898" s="353">
        <v>0</v>
      </c>
      <c r="BA898" s="353">
        <v>0</v>
      </c>
      <c r="BB898" s="353">
        <v>0</v>
      </c>
    </row>
    <row r="899" spans="1:54" x14ac:dyDescent="0.25">
      <c r="A899" s="348" t="s">
        <v>1371</v>
      </c>
      <c r="B899" s="349">
        <v>75</v>
      </c>
      <c r="C899" s="350" t="s">
        <v>997</v>
      </c>
      <c r="D899" s="351">
        <v>45162</v>
      </c>
      <c r="F899" s="353">
        <v>6</v>
      </c>
      <c r="G899" s="348" t="s">
        <v>1038</v>
      </c>
      <c r="H899" s="350" t="s">
        <v>1373</v>
      </c>
      <c r="I899" s="350" t="s">
        <v>393</v>
      </c>
      <c r="J899" s="375">
        <v>140000</v>
      </c>
      <c r="K899" s="350" t="s">
        <v>394</v>
      </c>
      <c r="L899" s="354">
        <v>2802.3999950000002</v>
      </c>
      <c r="M899" s="375">
        <f t="shared" si="887"/>
        <v>49.957179649509669</v>
      </c>
      <c r="N899" s="354" t="s">
        <v>395</v>
      </c>
      <c r="O899" s="354">
        <v>0</v>
      </c>
      <c r="P899" s="374"/>
      <c r="Q899" s="354">
        <v>0</v>
      </c>
      <c r="R899" s="354">
        <v>0</v>
      </c>
      <c r="S899" s="354">
        <v>0</v>
      </c>
      <c r="T899" s="354">
        <v>0</v>
      </c>
      <c r="U899" s="374"/>
      <c r="V899" s="354">
        <v>0</v>
      </c>
      <c r="W899" s="354">
        <v>0</v>
      </c>
      <c r="X899" s="354">
        <v>0</v>
      </c>
      <c r="Y899" s="374"/>
      <c r="Z899" s="354">
        <v>0</v>
      </c>
      <c r="AA899" s="354">
        <v>0</v>
      </c>
      <c r="AB899" s="374"/>
      <c r="AC899" s="376">
        <v>0</v>
      </c>
      <c r="AD899" s="376">
        <v>0</v>
      </c>
      <c r="AE899" s="376">
        <v>0</v>
      </c>
      <c r="AF899" s="374"/>
      <c r="AG899" s="376">
        <v>0</v>
      </c>
      <c r="AH899" s="376">
        <v>0</v>
      </c>
      <c r="AI899" s="376">
        <v>0</v>
      </c>
      <c r="AJ899" s="376">
        <v>0</v>
      </c>
      <c r="AK899" s="374"/>
      <c r="AL899" s="376">
        <v>0</v>
      </c>
      <c r="AM899" s="376">
        <v>0</v>
      </c>
      <c r="AN899" s="376">
        <v>0</v>
      </c>
      <c r="AO899" s="374"/>
      <c r="AP899" s="376">
        <v>0</v>
      </c>
      <c r="AQ899" s="376">
        <v>0</v>
      </c>
      <c r="AR899" s="374"/>
      <c r="AS899" s="376">
        <v>0</v>
      </c>
      <c r="AT899" s="376">
        <v>0</v>
      </c>
      <c r="AU899" s="355" t="s">
        <v>396</v>
      </c>
      <c r="AV899" s="354" t="s">
        <v>397</v>
      </c>
      <c r="AW899" s="353">
        <v>0</v>
      </c>
      <c r="AX899" s="353">
        <v>0</v>
      </c>
      <c r="AY899" s="353">
        <v>0</v>
      </c>
      <c r="AZ899" s="353">
        <v>0</v>
      </c>
      <c r="BA899" s="353">
        <v>0</v>
      </c>
      <c r="BB899" s="353">
        <v>0</v>
      </c>
    </row>
    <row r="900" spans="1:54" x14ac:dyDescent="0.25">
      <c r="A900" s="348" t="s">
        <v>1371</v>
      </c>
      <c r="B900" s="349">
        <v>75</v>
      </c>
      <c r="C900" s="350" t="s">
        <v>997</v>
      </c>
      <c r="D900" s="351">
        <v>45162</v>
      </c>
      <c r="F900" s="353">
        <v>6</v>
      </c>
      <c r="G900" s="348" t="s">
        <v>1038</v>
      </c>
      <c r="H900" s="350" t="s">
        <v>1374</v>
      </c>
      <c r="I900" s="350" t="s">
        <v>393</v>
      </c>
      <c r="J900" s="375">
        <v>336000</v>
      </c>
      <c r="K900" s="350" t="s">
        <v>394</v>
      </c>
      <c r="L900" s="354">
        <v>2802.3999950000002</v>
      </c>
      <c r="M900" s="375">
        <f t="shared" si="887"/>
        <v>119.8972311588232</v>
      </c>
      <c r="N900" s="354" t="s">
        <v>395</v>
      </c>
      <c r="O900" s="354">
        <v>0</v>
      </c>
      <c r="P900" s="374"/>
      <c r="Q900" s="354">
        <v>0</v>
      </c>
      <c r="R900" s="354">
        <v>0</v>
      </c>
      <c r="S900" s="354">
        <v>0</v>
      </c>
      <c r="T900" s="354">
        <v>0</v>
      </c>
      <c r="U900" s="374"/>
      <c r="V900" s="354">
        <v>0</v>
      </c>
      <c r="W900" s="354">
        <v>0</v>
      </c>
      <c r="X900" s="354">
        <v>0</v>
      </c>
      <c r="Y900" s="374"/>
      <c r="Z900" s="354">
        <v>0</v>
      </c>
      <c r="AA900" s="354">
        <v>0</v>
      </c>
      <c r="AB900" s="374"/>
      <c r="AC900" s="376">
        <v>0</v>
      </c>
      <c r="AD900" s="376">
        <v>0</v>
      </c>
      <c r="AE900" s="376">
        <v>0</v>
      </c>
      <c r="AF900" s="374"/>
      <c r="AG900" s="376">
        <v>0</v>
      </c>
      <c r="AH900" s="376">
        <v>0</v>
      </c>
      <c r="AI900" s="376">
        <v>0</v>
      </c>
      <c r="AJ900" s="376">
        <v>0</v>
      </c>
      <c r="AK900" s="374"/>
      <c r="AL900" s="376">
        <v>0</v>
      </c>
      <c r="AM900" s="376">
        <v>0</v>
      </c>
      <c r="AN900" s="376">
        <v>0</v>
      </c>
      <c r="AO900" s="374"/>
      <c r="AP900" s="376">
        <v>0</v>
      </c>
      <c r="AQ900" s="376">
        <v>0</v>
      </c>
      <c r="AR900" s="374"/>
      <c r="AS900" s="376">
        <v>0</v>
      </c>
      <c r="AT900" s="376">
        <v>0</v>
      </c>
      <c r="AU900" s="355" t="s">
        <v>396</v>
      </c>
      <c r="AV900" s="354" t="s">
        <v>397</v>
      </c>
      <c r="AW900" s="353">
        <v>0</v>
      </c>
      <c r="AX900" s="353">
        <v>0</v>
      </c>
      <c r="AY900" s="353">
        <v>0</v>
      </c>
      <c r="AZ900" s="353">
        <v>0</v>
      </c>
      <c r="BA900" s="353">
        <v>0</v>
      </c>
      <c r="BB900" s="353">
        <v>0</v>
      </c>
    </row>
    <row r="901" spans="1:54" x14ac:dyDescent="0.25">
      <c r="A901" s="348" t="s">
        <v>1371</v>
      </c>
      <c r="B901" s="349">
        <v>75</v>
      </c>
      <c r="C901" s="350" t="s">
        <v>997</v>
      </c>
      <c r="D901" s="351">
        <v>45162</v>
      </c>
      <c r="F901" s="353">
        <v>6</v>
      </c>
      <c r="G901" s="348" t="s">
        <v>1038</v>
      </c>
      <c r="H901" s="350" t="s">
        <v>1375</v>
      </c>
      <c r="I901" s="350" t="s">
        <v>393</v>
      </c>
      <c r="J901" s="375">
        <v>56000</v>
      </c>
      <c r="K901" s="350" t="s">
        <v>394</v>
      </c>
      <c r="L901" s="354">
        <v>2802.3999950000002</v>
      </c>
      <c r="M901" s="375">
        <f t="shared" si="887"/>
        <v>19.982871859803865</v>
      </c>
      <c r="N901" s="354" t="s">
        <v>395</v>
      </c>
      <c r="O901" s="354">
        <v>0</v>
      </c>
      <c r="P901" s="374"/>
      <c r="Q901" s="354">
        <v>0</v>
      </c>
      <c r="R901" s="354">
        <v>0</v>
      </c>
      <c r="S901" s="354">
        <v>0</v>
      </c>
      <c r="T901" s="354">
        <v>0</v>
      </c>
      <c r="U901" s="374"/>
      <c r="V901" s="354">
        <v>0</v>
      </c>
      <c r="W901" s="354">
        <v>0</v>
      </c>
      <c r="X901" s="354">
        <v>0</v>
      </c>
      <c r="Y901" s="374"/>
      <c r="Z901" s="354">
        <v>0</v>
      </c>
      <c r="AA901" s="354">
        <v>0</v>
      </c>
      <c r="AB901" s="374"/>
      <c r="AC901" s="376">
        <v>0</v>
      </c>
      <c r="AD901" s="376">
        <v>0</v>
      </c>
      <c r="AE901" s="376">
        <v>0</v>
      </c>
      <c r="AF901" s="374"/>
      <c r="AG901" s="376">
        <v>0</v>
      </c>
      <c r="AH901" s="376">
        <v>0</v>
      </c>
      <c r="AI901" s="376">
        <v>0</v>
      </c>
      <c r="AJ901" s="376">
        <v>0</v>
      </c>
      <c r="AK901" s="374"/>
      <c r="AL901" s="376">
        <v>0</v>
      </c>
      <c r="AM901" s="376">
        <v>0</v>
      </c>
      <c r="AN901" s="376">
        <v>0</v>
      </c>
      <c r="AO901" s="374"/>
      <c r="AP901" s="376">
        <v>0</v>
      </c>
      <c r="AQ901" s="376">
        <v>0</v>
      </c>
      <c r="AR901" s="374"/>
      <c r="AS901" s="376">
        <v>0</v>
      </c>
      <c r="AT901" s="376">
        <v>0</v>
      </c>
      <c r="AU901" s="355" t="s">
        <v>396</v>
      </c>
      <c r="AV901" s="354" t="s">
        <v>397</v>
      </c>
      <c r="AW901" s="353">
        <v>0</v>
      </c>
      <c r="AX901" s="353">
        <v>0</v>
      </c>
      <c r="AY901" s="353">
        <v>0</v>
      </c>
      <c r="AZ901" s="353">
        <v>0</v>
      </c>
      <c r="BA901" s="353">
        <v>0</v>
      </c>
      <c r="BB901" s="353">
        <v>0</v>
      </c>
    </row>
    <row r="902" spans="1:54" x14ac:dyDescent="0.25">
      <c r="A902" s="348" t="s">
        <v>1376</v>
      </c>
      <c r="B902" s="349">
        <v>76</v>
      </c>
      <c r="C902" s="350" t="s">
        <v>997</v>
      </c>
      <c r="D902" s="351">
        <v>45162</v>
      </c>
      <c r="F902" s="353">
        <v>6</v>
      </c>
      <c r="G902" s="348" t="s">
        <v>1038</v>
      </c>
      <c r="H902" s="350" t="s">
        <v>1205</v>
      </c>
      <c r="I902" s="350" t="s">
        <v>393</v>
      </c>
      <c r="J902" s="375">
        <v>60000</v>
      </c>
      <c r="K902" s="350" t="s">
        <v>394</v>
      </c>
      <c r="L902" s="354">
        <v>2802.3999950000002</v>
      </c>
      <c r="M902" s="375">
        <f t="shared" si="887"/>
        <v>21.410219849789858</v>
      </c>
      <c r="N902" s="354" t="s">
        <v>395</v>
      </c>
      <c r="O902" s="354">
        <v>0</v>
      </c>
      <c r="P902" s="374"/>
      <c r="Q902" s="354">
        <v>0</v>
      </c>
      <c r="R902" s="354">
        <v>0</v>
      </c>
      <c r="S902" s="354">
        <v>0</v>
      </c>
      <c r="T902" s="354">
        <v>0</v>
      </c>
      <c r="U902" s="374"/>
      <c r="V902" s="354">
        <v>0</v>
      </c>
      <c r="W902" s="354">
        <v>0</v>
      </c>
      <c r="X902" s="354">
        <v>0</v>
      </c>
      <c r="Y902" s="374"/>
      <c r="Z902" s="354">
        <v>0</v>
      </c>
      <c r="AA902" s="354">
        <v>0</v>
      </c>
      <c r="AB902" s="374"/>
      <c r="AC902" s="376">
        <v>0</v>
      </c>
      <c r="AD902" s="376">
        <v>0</v>
      </c>
      <c r="AE902" s="376">
        <v>0</v>
      </c>
      <c r="AF902" s="374"/>
      <c r="AG902" s="376">
        <v>0</v>
      </c>
      <c r="AH902" s="376">
        <v>0</v>
      </c>
      <c r="AI902" s="376">
        <v>0</v>
      </c>
      <c r="AJ902" s="376">
        <v>0</v>
      </c>
      <c r="AK902" s="374"/>
      <c r="AL902" s="376">
        <v>0</v>
      </c>
      <c r="AM902" s="376">
        <v>0</v>
      </c>
      <c r="AN902" s="376">
        <v>0</v>
      </c>
      <c r="AO902" s="374"/>
      <c r="AP902" s="376">
        <v>0</v>
      </c>
      <c r="AQ902" s="376">
        <v>0</v>
      </c>
      <c r="AR902" s="374"/>
      <c r="AS902" s="376">
        <v>0</v>
      </c>
      <c r="AT902" s="376">
        <v>0</v>
      </c>
      <c r="AU902" s="355" t="s">
        <v>396</v>
      </c>
      <c r="AV902" s="354" t="s">
        <v>397</v>
      </c>
      <c r="AW902" s="353">
        <v>0</v>
      </c>
      <c r="AX902" s="353">
        <v>0</v>
      </c>
      <c r="AY902" s="353">
        <v>0</v>
      </c>
      <c r="AZ902" s="353">
        <v>0</v>
      </c>
      <c r="BA902" s="353">
        <v>0</v>
      </c>
      <c r="BB902" s="353">
        <v>0</v>
      </c>
    </row>
    <row r="903" spans="1:54" x14ac:dyDescent="0.25">
      <c r="A903" s="348" t="s">
        <v>1377</v>
      </c>
      <c r="B903" s="349">
        <v>77</v>
      </c>
      <c r="C903" s="350" t="s">
        <v>997</v>
      </c>
      <c r="D903" s="351">
        <v>45162</v>
      </c>
      <c r="F903" s="353">
        <v>6</v>
      </c>
      <c r="G903" s="348" t="s">
        <v>1038</v>
      </c>
      <c r="H903" s="350" t="s">
        <v>351</v>
      </c>
      <c r="I903" s="350" t="s">
        <v>393</v>
      </c>
      <c r="J903" s="375">
        <v>360000</v>
      </c>
      <c r="K903" s="350" t="s">
        <v>394</v>
      </c>
      <c r="L903" s="354">
        <v>2802.3999950000002</v>
      </c>
      <c r="M903" s="375">
        <f t="shared" si="887"/>
        <v>128.46131909873915</v>
      </c>
      <c r="N903" s="354" t="s">
        <v>395</v>
      </c>
      <c r="O903" s="354">
        <v>0</v>
      </c>
      <c r="P903" s="374"/>
      <c r="Q903" s="354">
        <v>0</v>
      </c>
      <c r="R903" s="354">
        <v>0</v>
      </c>
      <c r="S903" s="354">
        <v>0</v>
      </c>
      <c r="T903" s="354">
        <v>0</v>
      </c>
      <c r="U903" s="374"/>
      <c r="V903" s="354">
        <v>0</v>
      </c>
      <c r="W903" s="354">
        <v>0</v>
      </c>
      <c r="X903" s="354">
        <v>0</v>
      </c>
      <c r="Y903" s="374"/>
      <c r="Z903" s="354">
        <v>0</v>
      </c>
      <c r="AA903" s="354">
        <v>0</v>
      </c>
      <c r="AB903" s="374"/>
      <c r="AC903" s="376">
        <v>0</v>
      </c>
      <c r="AD903" s="376">
        <v>0</v>
      </c>
      <c r="AE903" s="376">
        <v>0</v>
      </c>
      <c r="AF903" s="374"/>
      <c r="AG903" s="376">
        <v>0</v>
      </c>
      <c r="AH903" s="376">
        <v>0</v>
      </c>
      <c r="AI903" s="376">
        <v>0</v>
      </c>
      <c r="AJ903" s="376">
        <v>0</v>
      </c>
      <c r="AK903" s="374"/>
      <c r="AL903" s="376">
        <v>0</v>
      </c>
      <c r="AM903" s="376">
        <v>0</v>
      </c>
      <c r="AN903" s="376">
        <v>0</v>
      </c>
      <c r="AO903" s="374"/>
      <c r="AP903" s="376">
        <v>0</v>
      </c>
      <c r="AQ903" s="376">
        <v>0</v>
      </c>
      <c r="AR903" s="374"/>
      <c r="AS903" s="376">
        <v>0</v>
      </c>
      <c r="AT903" s="376">
        <v>0</v>
      </c>
      <c r="AU903" s="355" t="s">
        <v>396</v>
      </c>
      <c r="AV903" s="354" t="s">
        <v>397</v>
      </c>
      <c r="AW903" s="353">
        <v>0</v>
      </c>
      <c r="AX903" s="353">
        <v>0</v>
      </c>
      <c r="AY903" s="353">
        <v>0</v>
      </c>
      <c r="AZ903" s="353">
        <v>0</v>
      </c>
      <c r="BA903" s="353">
        <v>0</v>
      </c>
      <c r="BB903" s="353">
        <v>0</v>
      </c>
    </row>
    <row r="904" spans="1:54" x14ac:dyDescent="0.25">
      <c r="A904" s="348" t="s">
        <v>1378</v>
      </c>
      <c r="B904" s="349">
        <v>78</v>
      </c>
      <c r="C904" s="350" t="s">
        <v>997</v>
      </c>
      <c r="D904" s="562">
        <v>45142</v>
      </c>
      <c r="F904" s="353">
        <v>6</v>
      </c>
      <c r="G904" s="348" t="s">
        <v>1038</v>
      </c>
      <c r="H904" s="353" t="s">
        <v>352</v>
      </c>
      <c r="I904" s="350" t="s">
        <v>393</v>
      </c>
      <c r="J904" s="375">
        <v>300000</v>
      </c>
      <c r="K904" s="350" t="s">
        <v>394</v>
      </c>
      <c r="L904" s="354">
        <v>2802.3999950000002</v>
      </c>
      <c r="M904" s="375">
        <f t="shared" si="887"/>
        <v>107.05109924894928</v>
      </c>
      <c r="N904" s="354" t="s">
        <v>395</v>
      </c>
      <c r="O904" s="354">
        <v>0</v>
      </c>
      <c r="P904" s="374"/>
      <c r="Q904" s="354">
        <v>0</v>
      </c>
      <c r="R904" s="354">
        <v>0</v>
      </c>
      <c r="S904" s="354">
        <v>0</v>
      </c>
      <c r="T904" s="354">
        <v>0</v>
      </c>
      <c r="U904" s="374"/>
      <c r="V904" s="354">
        <v>0</v>
      </c>
      <c r="W904" s="354">
        <v>0</v>
      </c>
      <c r="X904" s="354">
        <v>0</v>
      </c>
      <c r="Y904" s="374"/>
      <c r="Z904" s="354">
        <v>0</v>
      </c>
      <c r="AA904" s="354">
        <v>0</v>
      </c>
      <c r="AB904" s="374"/>
      <c r="AC904" s="376">
        <v>0</v>
      </c>
      <c r="AD904" s="376">
        <v>0</v>
      </c>
      <c r="AE904" s="376">
        <v>0</v>
      </c>
      <c r="AF904" s="374"/>
      <c r="AG904" s="376">
        <v>0</v>
      </c>
      <c r="AH904" s="376">
        <v>0</v>
      </c>
      <c r="AI904" s="376">
        <v>0</v>
      </c>
      <c r="AJ904" s="376">
        <v>0</v>
      </c>
      <c r="AK904" s="374"/>
      <c r="AL904" s="376">
        <v>0</v>
      </c>
      <c r="AM904" s="376">
        <v>0</v>
      </c>
      <c r="AN904" s="376">
        <v>0</v>
      </c>
      <c r="AO904" s="374"/>
      <c r="AP904" s="376">
        <v>0</v>
      </c>
      <c r="AQ904" s="376">
        <v>0</v>
      </c>
      <c r="AR904" s="374"/>
      <c r="AS904" s="376">
        <v>0</v>
      </c>
      <c r="AT904" s="376">
        <v>0</v>
      </c>
      <c r="AU904" s="355" t="s">
        <v>396</v>
      </c>
      <c r="AV904" s="354" t="s">
        <v>397</v>
      </c>
      <c r="AW904" s="353">
        <v>0</v>
      </c>
      <c r="AX904" s="353">
        <v>0</v>
      </c>
      <c r="AY904" s="353">
        <v>0</v>
      </c>
      <c r="AZ904" s="353">
        <v>0</v>
      </c>
      <c r="BA904" s="353">
        <v>0</v>
      </c>
      <c r="BB904" s="353">
        <v>0</v>
      </c>
    </row>
    <row r="905" spans="1:54" x14ac:dyDescent="0.25">
      <c r="A905" s="348" t="s">
        <v>1378</v>
      </c>
      <c r="B905" s="349">
        <v>79</v>
      </c>
      <c r="C905" s="350" t="s">
        <v>997</v>
      </c>
      <c r="D905" s="562">
        <v>45142</v>
      </c>
      <c r="F905" s="353">
        <v>6</v>
      </c>
      <c r="G905" s="348" t="s">
        <v>1038</v>
      </c>
      <c r="H905" s="353" t="s">
        <v>1162</v>
      </c>
      <c r="I905" s="350" t="s">
        <v>393</v>
      </c>
      <c r="J905" s="375">
        <v>25000</v>
      </c>
      <c r="K905" s="350" t="s">
        <v>394</v>
      </c>
      <c r="L905" s="354">
        <v>2802.3999950000002</v>
      </c>
      <c r="M905" s="375">
        <f t="shared" si="887"/>
        <v>8.9209249374124404</v>
      </c>
      <c r="N905" s="354" t="s">
        <v>395</v>
      </c>
      <c r="O905" s="354">
        <v>0</v>
      </c>
      <c r="P905" s="374"/>
      <c r="Q905" s="354">
        <v>0</v>
      </c>
      <c r="R905" s="354">
        <v>0</v>
      </c>
      <c r="S905" s="354">
        <v>0</v>
      </c>
      <c r="T905" s="354">
        <v>0</v>
      </c>
      <c r="U905" s="374"/>
      <c r="V905" s="354">
        <v>0</v>
      </c>
      <c r="W905" s="354">
        <v>0</v>
      </c>
      <c r="X905" s="354">
        <v>0</v>
      </c>
      <c r="Y905" s="374"/>
      <c r="Z905" s="354">
        <v>0</v>
      </c>
      <c r="AA905" s="354">
        <v>0</v>
      </c>
      <c r="AB905" s="374"/>
      <c r="AC905" s="376">
        <v>0</v>
      </c>
      <c r="AD905" s="376">
        <v>0</v>
      </c>
      <c r="AE905" s="376">
        <v>0</v>
      </c>
      <c r="AF905" s="374"/>
      <c r="AG905" s="376">
        <v>0</v>
      </c>
      <c r="AH905" s="376">
        <v>0</v>
      </c>
      <c r="AI905" s="376">
        <v>0</v>
      </c>
      <c r="AJ905" s="376">
        <v>0</v>
      </c>
      <c r="AK905" s="374"/>
      <c r="AL905" s="376">
        <v>0</v>
      </c>
      <c r="AM905" s="376">
        <v>0</v>
      </c>
      <c r="AN905" s="376">
        <v>0</v>
      </c>
      <c r="AO905" s="374"/>
      <c r="AP905" s="376">
        <v>0</v>
      </c>
      <c r="AQ905" s="376">
        <v>0</v>
      </c>
      <c r="AR905" s="374"/>
      <c r="AS905" s="376">
        <v>0</v>
      </c>
      <c r="AT905" s="376">
        <v>0</v>
      </c>
      <c r="AU905" s="355" t="s">
        <v>396</v>
      </c>
      <c r="AV905" s="354" t="s">
        <v>397</v>
      </c>
      <c r="AW905" s="353">
        <v>0</v>
      </c>
      <c r="AX905" s="353">
        <v>0</v>
      </c>
      <c r="AY905" s="353">
        <v>0</v>
      </c>
      <c r="AZ905" s="353">
        <v>0</v>
      </c>
      <c r="BA905" s="353">
        <v>0</v>
      </c>
      <c r="BB905" s="353">
        <v>0</v>
      </c>
    </row>
    <row r="906" spans="1:54" x14ac:dyDescent="0.25">
      <c r="A906" s="348" t="s">
        <v>1378</v>
      </c>
      <c r="B906" s="349">
        <v>80</v>
      </c>
      <c r="C906" s="350" t="s">
        <v>997</v>
      </c>
      <c r="D906" s="562">
        <v>45142</v>
      </c>
      <c r="E906" s="352"/>
      <c r="F906" s="352">
        <v>6</v>
      </c>
      <c r="G906" s="348" t="s">
        <v>1038</v>
      </c>
      <c r="H906" s="353" t="s">
        <v>1379</v>
      </c>
      <c r="I906" s="350" t="s">
        <v>393</v>
      </c>
      <c r="J906" s="375">
        <v>75000</v>
      </c>
      <c r="K906" s="350" t="s">
        <v>394</v>
      </c>
      <c r="L906" s="354">
        <v>2802.3999950000002</v>
      </c>
      <c r="M906" s="375">
        <f t="shared" si="887"/>
        <v>26.762774812237321</v>
      </c>
      <c r="N906" s="354" t="s">
        <v>395</v>
      </c>
      <c r="O906" s="354">
        <v>0</v>
      </c>
      <c r="P906" s="374"/>
      <c r="Q906" s="354">
        <v>0</v>
      </c>
      <c r="R906" s="354">
        <v>0</v>
      </c>
      <c r="S906" s="354">
        <v>0</v>
      </c>
      <c r="T906" s="354">
        <v>0</v>
      </c>
      <c r="U906" s="374"/>
      <c r="V906" s="354">
        <v>0</v>
      </c>
      <c r="W906" s="354">
        <v>0</v>
      </c>
      <c r="X906" s="354">
        <v>0</v>
      </c>
      <c r="Y906" s="374"/>
      <c r="Z906" s="354">
        <v>0</v>
      </c>
      <c r="AA906" s="354">
        <v>0</v>
      </c>
      <c r="AB906" s="374"/>
      <c r="AC906" s="376">
        <v>0</v>
      </c>
      <c r="AD906" s="376">
        <v>0</v>
      </c>
      <c r="AE906" s="376">
        <v>0</v>
      </c>
      <c r="AF906" s="374"/>
      <c r="AG906" s="376">
        <v>0</v>
      </c>
      <c r="AH906" s="376">
        <v>0</v>
      </c>
      <c r="AI906" s="376">
        <v>0</v>
      </c>
      <c r="AJ906" s="376">
        <v>0</v>
      </c>
      <c r="AK906" s="374"/>
      <c r="AL906" s="376">
        <v>0</v>
      </c>
      <c r="AM906" s="376">
        <v>0</v>
      </c>
      <c r="AN906" s="376">
        <v>0</v>
      </c>
      <c r="AO906" s="374"/>
      <c r="AP906" s="376">
        <v>0</v>
      </c>
      <c r="AQ906" s="376">
        <v>0</v>
      </c>
      <c r="AR906" s="374"/>
      <c r="AS906" s="376">
        <v>0</v>
      </c>
      <c r="AT906" s="376">
        <v>0</v>
      </c>
      <c r="AU906" s="355" t="s">
        <v>396</v>
      </c>
      <c r="AV906" s="354" t="s">
        <v>397</v>
      </c>
      <c r="AW906" s="353">
        <v>0</v>
      </c>
      <c r="AX906" s="353">
        <v>0</v>
      </c>
      <c r="AY906" s="353">
        <v>0</v>
      </c>
      <c r="AZ906" s="353">
        <v>0</v>
      </c>
      <c r="BA906" s="353">
        <v>0</v>
      </c>
      <c r="BB906" s="353">
        <v>0</v>
      </c>
    </row>
    <row r="907" spans="1:54" x14ac:dyDescent="0.25">
      <c r="A907" s="348" t="s">
        <v>1378</v>
      </c>
      <c r="B907" s="349">
        <v>81</v>
      </c>
      <c r="C907" s="350" t="s">
        <v>997</v>
      </c>
      <c r="D907" s="562">
        <v>45142</v>
      </c>
      <c r="E907" s="352"/>
      <c r="F907" s="352">
        <v>6</v>
      </c>
      <c r="G907" s="348" t="s">
        <v>1038</v>
      </c>
      <c r="H907" s="353" t="s">
        <v>1380</v>
      </c>
      <c r="I907" s="350" t="s">
        <v>393</v>
      </c>
      <c r="J907" s="375">
        <f>90000+90000</f>
        <v>180000</v>
      </c>
      <c r="K907" s="350" t="s">
        <v>394</v>
      </c>
      <c r="L907" s="354">
        <v>2802.3999950000002</v>
      </c>
      <c r="M907" s="375">
        <f t="shared" si="887"/>
        <v>64.230659549369577</v>
      </c>
      <c r="N907" s="354" t="s">
        <v>395</v>
      </c>
      <c r="O907" s="354">
        <v>0</v>
      </c>
      <c r="P907" s="374"/>
      <c r="Q907" s="354">
        <v>0</v>
      </c>
      <c r="R907" s="354">
        <v>0</v>
      </c>
      <c r="S907" s="354">
        <v>0</v>
      </c>
      <c r="T907" s="354">
        <v>0</v>
      </c>
      <c r="U907" s="374"/>
      <c r="V907" s="354">
        <v>0</v>
      </c>
      <c r="W907" s="354">
        <v>0</v>
      </c>
      <c r="X907" s="354">
        <v>0</v>
      </c>
      <c r="Y907" s="374"/>
      <c r="Z907" s="354">
        <v>0</v>
      </c>
      <c r="AA907" s="354">
        <v>0</v>
      </c>
      <c r="AB907" s="374"/>
      <c r="AC907" s="376">
        <v>0</v>
      </c>
      <c r="AD907" s="376">
        <v>0</v>
      </c>
      <c r="AE907" s="376">
        <v>0</v>
      </c>
      <c r="AF907" s="374"/>
      <c r="AG907" s="376">
        <v>0</v>
      </c>
      <c r="AH907" s="376">
        <v>0</v>
      </c>
      <c r="AI907" s="376">
        <v>0</v>
      </c>
      <c r="AJ907" s="376">
        <v>0</v>
      </c>
      <c r="AK907" s="374"/>
      <c r="AL907" s="376">
        <v>0</v>
      </c>
      <c r="AM907" s="376">
        <v>0</v>
      </c>
      <c r="AN907" s="376">
        <v>0</v>
      </c>
      <c r="AO907" s="374"/>
      <c r="AP907" s="376">
        <v>0</v>
      </c>
      <c r="AQ907" s="376">
        <v>0</v>
      </c>
      <c r="AR907" s="374"/>
      <c r="AS907" s="376">
        <v>0</v>
      </c>
      <c r="AT907" s="376">
        <v>0</v>
      </c>
      <c r="AU907" s="355" t="s">
        <v>396</v>
      </c>
      <c r="AV907" s="354" t="s">
        <v>397</v>
      </c>
      <c r="AW907" s="353">
        <v>0</v>
      </c>
      <c r="AX907" s="353">
        <v>0</v>
      </c>
      <c r="AY907" s="353">
        <v>0</v>
      </c>
      <c r="AZ907" s="353">
        <v>0</v>
      </c>
      <c r="BA907" s="353">
        <v>0</v>
      </c>
      <c r="BB907" s="353">
        <v>0</v>
      </c>
    </row>
    <row r="908" spans="1:54" x14ac:dyDescent="0.25">
      <c r="A908" s="348" t="s">
        <v>1378</v>
      </c>
      <c r="B908" s="349">
        <v>82</v>
      </c>
      <c r="C908" s="350" t="s">
        <v>997</v>
      </c>
      <c r="D908" s="562">
        <v>45142</v>
      </c>
      <c r="E908" s="352"/>
      <c r="F908" s="352">
        <v>6</v>
      </c>
      <c r="G908" s="348" t="s">
        <v>1038</v>
      </c>
      <c r="H908" s="353" t="s">
        <v>1381</v>
      </c>
      <c r="I908" s="350" t="s">
        <v>393</v>
      </c>
      <c r="J908" s="375">
        <f>100000+100000</f>
        <v>200000</v>
      </c>
      <c r="K908" s="350" t="s">
        <v>394</v>
      </c>
      <c r="L908" s="354">
        <v>2802.3999950000002</v>
      </c>
      <c r="M908" s="375">
        <f t="shared" si="887"/>
        <v>71.367399499299523</v>
      </c>
      <c r="N908" s="354" t="s">
        <v>395</v>
      </c>
      <c r="O908" s="354">
        <v>0</v>
      </c>
      <c r="P908" s="374"/>
      <c r="Q908" s="354">
        <v>0</v>
      </c>
      <c r="R908" s="354">
        <v>0</v>
      </c>
      <c r="S908" s="354">
        <v>0</v>
      </c>
      <c r="T908" s="354">
        <v>0</v>
      </c>
      <c r="U908" s="374"/>
      <c r="V908" s="354">
        <v>0</v>
      </c>
      <c r="W908" s="354">
        <v>0</v>
      </c>
      <c r="X908" s="354">
        <v>0</v>
      </c>
      <c r="Y908" s="374"/>
      <c r="Z908" s="354">
        <v>0</v>
      </c>
      <c r="AA908" s="354">
        <v>0</v>
      </c>
      <c r="AB908" s="374"/>
      <c r="AC908" s="376">
        <v>0</v>
      </c>
      <c r="AD908" s="376">
        <v>0</v>
      </c>
      <c r="AE908" s="376">
        <v>0</v>
      </c>
      <c r="AF908" s="374"/>
      <c r="AG908" s="376">
        <v>0</v>
      </c>
      <c r="AH908" s="376">
        <v>0</v>
      </c>
      <c r="AI908" s="376">
        <v>0</v>
      </c>
      <c r="AJ908" s="376">
        <v>0</v>
      </c>
      <c r="AK908" s="374"/>
      <c r="AL908" s="376">
        <v>0</v>
      </c>
      <c r="AM908" s="376">
        <v>0</v>
      </c>
      <c r="AN908" s="376">
        <v>0</v>
      </c>
      <c r="AO908" s="374"/>
      <c r="AP908" s="376">
        <v>0</v>
      </c>
      <c r="AQ908" s="376">
        <v>0</v>
      </c>
      <c r="AR908" s="374"/>
      <c r="AS908" s="376">
        <v>0</v>
      </c>
      <c r="AT908" s="376">
        <v>0</v>
      </c>
      <c r="AU908" s="355" t="s">
        <v>396</v>
      </c>
      <c r="AV908" s="354" t="s">
        <v>397</v>
      </c>
      <c r="AW908" s="353">
        <v>0</v>
      </c>
      <c r="AX908" s="353">
        <v>0</v>
      </c>
      <c r="AY908" s="353">
        <v>0</v>
      </c>
      <c r="AZ908" s="353">
        <v>0</v>
      </c>
      <c r="BA908" s="353">
        <v>0</v>
      </c>
      <c r="BB908" s="353">
        <v>0</v>
      </c>
    </row>
    <row r="909" spans="1:54" x14ac:dyDescent="0.25">
      <c r="A909" s="348" t="s">
        <v>1378</v>
      </c>
      <c r="B909" s="349">
        <v>83</v>
      </c>
      <c r="C909" s="350" t="s">
        <v>997</v>
      </c>
      <c r="D909" s="562">
        <v>45142</v>
      </c>
      <c r="E909" s="352"/>
      <c r="F909" s="352">
        <v>6</v>
      </c>
      <c r="G909" s="348" t="s">
        <v>1038</v>
      </c>
      <c r="H909" s="353" t="s">
        <v>1382</v>
      </c>
      <c r="I909" s="350" t="s">
        <v>393</v>
      </c>
      <c r="J909" s="375">
        <v>180000</v>
      </c>
      <c r="K909" s="350" t="s">
        <v>394</v>
      </c>
      <c r="L909" s="354">
        <v>2802.3999950000002</v>
      </c>
      <c r="M909" s="375">
        <f t="shared" si="887"/>
        <v>64.230659549369577</v>
      </c>
      <c r="N909" s="354" t="s">
        <v>395</v>
      </c>
      <c r="O909" s="354">
        <v>0</v>
      </c>
      <c r="P909" s="374"/>
      <c r="Q909" s="354">
        <v>0</v>
      </c>
      <c r="R909" s="354">
        <v>0</v>
      </c>
      <c r="S909" s="354">
        <v>0</v>
      </c>
      <c r="T909" s="354">
        <v>0</v>
      </c>
      <c r="U909" s="374"/>
      <c r="V909" s="354">
        <v>0</v>
      </c>
      <c r="W909" s="354">
        <v>0</v>
      </c>
      <c r="X909" s="354">
        <v>0</v>
      </c>
      <c r="Y909" s="374"/>
      <c r="Z909" s="354">
        <v>0</v>
      </c>
      <c r="AA909" s="354">
        <v>0</v>
      </c>
      <c r="AB909" s="374"/>
      <c r="AC909" s="376">
        <v>0</v>
      </c>
      <c r="AD909" s="376">
        <v>0</v>
      </c>
      <c r="AE909" s="376">
        <v>0</v>
      </c>
      <c r="AF909" s="374"/>
      <c r="AG909" s="376">
        <v>0</v>
      </c>
      <c r="AH909" s="376">
        <v>0</v>
      </c>
      <c r="AI909" s="376">
        <v>0</v>
      </c>
      <c r="AJ909" s="376">
        <v>0</v>
      </c>
      <c r="AK909" s="374"/>
      <c r="AL909" s="376">
        <v>0</v>
      </c>
      <c r="AM909" s="376">
        <v>0</v>
      </c>
      <c r="AN909" s="376">
        <v>0</v>
      </c>
      <c r="AO909" s="374"/>
      <c r="AP909" s="376">
        <v>0</v>
      </c>
      <c r="AQ909" s="376">
        <v>0</v>
      </c>
      <c r="AR909" s="374"/>
      <c r="AS909" s="376">
        <v>0</v>
      </c>
      <c r="AT909" s="376">
        <v>0</v>
      </c>
      <c r="AU909" s="355" t="s">
        <v>396</v>
      </c>
      <c r="AV909" s="354" t="s">
        <v>397</v>
      </c>
      <c r="AW909" s="353">
        <v>0</v>
      </c>
      <c r="AX909" s="353">
        <v>0</v>
      </c>
      <c r="AY909" s="353">
        <v>0</v>
      </c>
      <c r="AZ909" s="353">
        <v>0</v>
      </c>
      <c r="BA909" s="353">
        <v>0</v>
      </c>
      <c r="BB909" s="353">
        <v>0</v>
      </c>
    </row>
    <row r="910" spans="1:54" x14ac:dyDescent="0.25">
      <c r="A910" s="348" t="s">
        <v>1378</v>
      </c>
      <c r="B910" s="349">
        <v>84</v>
      </c>
      <c r="C910" s="350" t="s">
        <v>997</v>
      </c>
      <c r="D910" s="562">
        <v>45142</v>
      </c>
      <c r="E910" s="352"/>
      <c r="F910" s="352">
        <v>6</v>
      </c>
      <c r="G910" s="348" t="s">
        <v>1038</v>
      </c>
      <c r="H910" s="353" t="s">
        <v>1355</v>
      </c>
      <c r="I910" s="350" t="s">
        <v>393</v>
      </c>
      <c r="J910" s="375">
        <f>200000+100000</f>
        <v>300000</v>
      </c>
      <c r="K910" s="350" t="s">
        <v>394</v>
      </c>
      <c r="L910" s="354">
        <v>2802.3999950000002</v>
      </c>
      <c r="M910" s="375">
        <f t="shared" si="887"/>
        <v>107.05109924894928</v>
      </c>
      <c r="N910" s="354" t="s">
        <v>395</v>
      </c>
      <c r="O910" s="354">
        <v>0</v>
      </c>
      <c r="P910" s="374"/>
      <c r="Q910" s="354">
        <v>0</v>
      </c>
      <c r="R910" s="354">
        <v>0</v>
      </c>
      <c r="S910" s="354">
        <v>0</v>
      </c>
      <c r="T910" s="354">
        <v>0</v>
      </c>
      <c r="U910" s="374"/>
      <c r="V910" s="354">
        <v>0</v>
      </c>
      <c r="W910" s="354">
        <v>0</v>
      </c>
      <c r="X910" s="354">
        <v>0</v>
      </c>
      <c r="Y910" s="374"/>
      <c r="Z910" s="354">
        <v>0</v>
      </c>
      <c r="AA910" s="354">
        <v>0</v>
      </c>
      <c r="AB910" s="374"/>
      <c r="AC910" s="376">
        <v>0</v>
      </c>
      <c r="AD910" s="376">
        <v>0</v>
      </c>
      <c r="AE910" s="376">
        <v>0</v>
      </c>
      <c r="AF910" s="374"/>
      <c r="AG910" s="376">
        <v>0</v>
      </c>
      <c r="AH910" s="376">
        <v>0</v>
      </c>
      <c r="AI910" s="376">
        <v>0</v>
      </c>
      <c r="AJ910" s="376">
        <v>0</v>
      </c>
      <c r="AK910" s="374"/>
      <c r="AL910" s="376">
        <v>0</v>
      </c>
      <c r="AM910" s="376">
        <v>0</v>
      </c>
      <c r="AN910" s="376">
        <v>0</v>
      </c>
      <c r="AO910" s="374"/>
      <c r="AP910" s="376">
        <v>0</v>
      </c>
      <c r="AQ910" s="376">
        <v>0</v>
      </c>
      <c r="AR910" s="374"/>
      <c r="AS910" s="376">
        <v>0</v>
      </c>
      <c r="AT910" s="376">
        <v>0</v>
      </c>
      <c r="AU910" s="355" t="s">
        <v>396</v>
      </c>
      <c r="AV910" s="354" t="s">
        <v>397</v>
      </c>
      <c r="AW910" s="353">
        <v>0</v>
      </c>
      <c r="AX910" s="353">
        <v>0</v>
      </c>
      <c r="AY910" s="353">
        <v>0</v>
      </c>
      <c r="AZ910" s="353">
        <v>0</v>
      </c>
      <c r="BA910" s="353">
        <v>0</v>
      </c>
      <c r="BB910" s="353">
        <v>0</v>
      </c>
    </row>
    <row r="911" spans="1:54" x14ac:dyDescent="0.25">
      <c r="A911" s="348" t="s">
        <v>1378</v>
      </c>
      <c r="B911" s="349">
        <v>85</v>
      </c>
      <c r="C911" s="350" t="s">
        <v>997</v>
      </c>
      <c r="D911" s="562">
        <v>45142</v>
      </c>
      <c r="E911" s="352"/>
      <c r="F911" s="352">
        <v>6</v>
      </c>
      <c r="G911" s="348" t="s">
        <v>1038</v>
      </c>
      <c r="H911" s="353" t="s">
        <v>1168</v>
      </c>
      <c r="I911" s="350" t="s">
        <v>393</v>
      </c>
      <c r="J911" s="375">
        <f>157155+191685+195760+95000</f>
        <v>639600</v>
      </c>
      <c r="K911" s="350" t="s">
        <v>394</v>
      </c>
      <c r="L911" s="354">
        <v>2802.3999950000002</v>
      </c>
      <c r="M911" s="375">
        <f t="shared" si="887"/>
        <v>228.23294359875987</v>
      </c>
      <c r="N911" s="354" t="s">
        <v>395</v>
      </c>
      <c r="O911" s="354">
        <v>0</v>
      </c>
      <c r="P911" s="374"/>
      <c r="Q911" s="354">
        <v>0</v>
      </c>
      <c r="R911" s="354">
        <v>0</v>
      </c>
      <c r="S911" s="354">
        <v>0</v>
      </c>
      <c r="T911" s="354">
        <v>0</v>
      </c>
      <c r="U911" s="374"/>
      <c r="V911" s="354">
        <v>0</v>
      </c>
      <c r="W911" s="354">
        <v>0</v>
      </c>
      <c r="X911" s="354">
        <v>0</v>
      </c>
      <c r="Y911" s="374"/>
      <c r="Z911" s="354">
        <v>0</v>
      </c>
      <c r="AA911" s="354">
        <v>0</v>
      </c>
      <c r="AB911" s="374"/>
      <c r="AC911" s="376">
        <v>0</v>
      </c>
      <c r="AD911" s="376">
        <v>0</v>
      </c>
      <c r="AE911" s="376">
        <v>0</v>
      </c>
      <c r="AF911" s="374"/>
      <c r="AG911" s="376">
        <v>0</v>
      </c>
      <c r="AH911" s="376">
        <v>0</v>
      </c>
      <c r="AI911" s="376">
        <v>0</v>
      </c>
      <c r="AJ911" s="376">
        <v>0</v>
      </c>
      <c r="AK911" s="374"/>
      <c r="AL911" s="376">
        <v>0</v>
      </c>
      <c r="AM911" s="376">
        <v>0</v>
      </c>
      <c r="AN911" s="376">
        <v>0</v>
      </c>
      <c r="AO911" s="374"/>
      <c r="AP911" s="376">
        <v>0</v>
      </c>
      <c r="AQ911" s="376">
        <v>0</v>
      </c>
      <c r="AR911" s="374"/>
      <c r="AS911" s="376">
        <v>0</v>
      </c>
      <c r="AT911" s="376">
        <v>0</v>
      </c>
      <c r="AU911" s="355" t="s">
        <v>396</v>
      </c>
      <c r="AV911" s="354" t="s">
        <v>397</v>
      </c>
      <c r="AW911" s="353">
        <v>0</v>
      </c>
      <c r="AX911" s="353">
        <v>0</v>
      </c>
      <c r="AY911" s="353">
        <v>0</v>
      </c>
      <c r="AZ911" s="353">
        <v>0</v>
      </c>
      <c r="BA911" s="353">
        <v>0</v>
      </c>
      <c r="BB911" s="353">
        <v>0</v>
      </c>
    </row>
    <row r="912" spans="1:54" ht="30" x14ac:dyDescent="0.25">
      <c r="A912" s="422" t="s">
        <v>1052</v>
      </c>
      <c r="B912" s="349">
        <v>24</v>
      </c>
      <c r="C912" s="424" t="s">
        <v>997</v>
      </c>
      <c r="D912" s="351">
        <v>45149</v>
      </c>
      <c r="E912" s="352"/>
      <c r="F912" s="352">
        <v>6</v>
      </c>
      <c r="G912" s="434" t="s">
        <v>1053</v>
      </c>
      <c r="H912" s="424" t="s">
        <v>1054</v>
      </c>
      <c r="I912" s="350" t="s">
        <v>393</v>
      </c>
      <c r="J912" s="560">
        <v>177000</v>
      </c>
      <c r="K912" s="350" t="s">
        <v>394</v>
      </c>
      <c r="L912" s="354">
        <v>2803.6597999999999</v>
      </c>
      <c r="M912" s="576">
        <f t="shared" ref="M912:M914" si="888">J912/L912</f>
        <v>63.131767984118476</v>
      </c>
      <c r="N912" s="354" t="s">
        <v>395</v>
      </c>
      <c r="O912" s="354">
        <v>0</v>
      </c>
      <c r="P912" s="374"/>
      <c r="Q912" s="354">
        <v>0</v>
      </c>
      <c r="R912" s="354">
        <v>0</v>
      </c>
      <c r="S912" s="354">
        <v>0</v>
      </c>
      <c r="T912" s="354">
        <v>0</v>
      </c>
      <c r="U912" s="374"/>
      <c r="V912" s="354">
        <v>0</v>
      </c>
      <c r="W912" s="354">
        <v>0</v>
      </c>
      <c r="X912" s="354">
        <v>0</v>
      </c>
      <c r="Y912" s="374"/>
      <c r="Z912" s="354">
        <v>0</v>
      </c>
      <c r="AA912" s="354">
        <v>0</v>
      </c>
      <c r="AB912" s="374"/>
      <c r="AC912" s="376">
        <v>0</v>
      </c>
      <c r="AD912" s="376">
        <v>0</v>
      </c>
      <c r="AE912" s="376">
        <v>0</v>
      </c>
      <c r="AF912" s="374"/>
      <c r="AG912" s="376">
        <v>0</v>
      </c>
      <c r="AH912" s="376">
        <v>0</v>
      </c>
      <c r="AI912" s="376">
        <v>0</v>
      </c>
      <c r="AJ912" s="376">
        <v>0</v>
      </c>
      <c r="AK912" s="374"/>
      <c r="AL912" s="376">
        <v>0</v>
      </c>
      <c r="AM912" s="376">
        <v>0</v>
      </c>
      <c r="AN912" s="376">
        <v>0</v>
      </c>
      <c r="AO912" s="374"/>
      <c r="AP912" s="376">
        <v>0</v>
      </c>
      <c r="AQ912" s="376">
        <v>0</v>
      </c>
      <c r="AR912" s="374"/>
      <c r="AS912" s="376">
        <v>0</v>
      </c>
      <c r="AT912" s="376">
        <v>0</v>
      </c>
      <c r="AU912" s="355" t="s">
        <v>396</v>
      </c>
      <c r="AV912" s="354" t="s">
        <v>346</v>
      </c>
      <c r="AW912" s="353">
        <v>0</v>
      </c>
      <c r="AX912" s="353">
        <v>0</v>
      </c>
      <c r="AY912" s="353">
        <v>0</v>
      </c>
      <c r="AZ912" s="353">
        <v>0</v>
      </c>
      <c r="BA912" s="353">
        <v>0</v>
      </c>
      <c r="BB912" s="353">
        <v>0</v>
      </c>
    </row>
    <row r="913" spans="1:54" x14ac:dyDescent="0.25">
      <c r="A913" s="348" t="s">
        <v>1055</v>
      </c>
      <c r="B913" s="349">
        <v>24</v>
      </c>
      <c r="C913" s="424" t="s">
        <v>997</v>
      </c>
      <c r="D913" s="351">
        <v>45156</v>
      </c>
      <c r="E913" s="352"/>
      <c r="F913" s="352">
        <v>6</v>
      </c>
      <c r="G913" s="434" t="s">
        <v>1053</v>
      </c>
      <c r="H913" s="350" t="s">
        <v>1056</v>
      </c>
      <c r="I913" s="350" t="s">
        <v>393</v>
      </c>
      <c r="J913" s="560">
        <v>100000</v>
      </c>
      <c r="K913" s="350" t="s">
        <v>394</v>
      </c>
      <c r="L913" s="354">
        <v>2803.6597999999999</v>
      </c>
      <c r="M913" s="576">
        <f t="shared" si="888"/>
        <v>35.66766552775055</v>
      </c>
      <c r="N913" s="354" t="s">
        <v>395</v>
      </c>
      <c r="O913" s="354">
        <v>0</v>
      </c>
      <c r="P913" s="374"/>
      <c r="Q913" s="354">
        <v>0</v>
      </c>
      <c r="R913" s="354">
        <v>0</v>
      </c>
      <c r="S913" s="354">
        <v>0</v>
      </c>
      <c r="T913" s="354">
        <v>0</v>
      </c>
      <c r="U913" s="374"/>
      <c r="V913" s="354">
        <v>0</v>
      </c>
      <c r="W913" s="354">
        <v>0</v>
      </c>
      <c r="X913" s="354">
        <v>0</v>
      </c>
      <c r="Y913" s="374"/>
      <c r="Z913" s="354">
        <v>0</v>
      </c>
      <c r="AA913" s="354">
        <v>0</v>
      </c>
      <c r="AB913" s="374"/>
      <c r="AC913" s="376">
        <v>0</v>
      </c>
      <c r="AD913" s="376">
        <v>0</v>
      </c>
      <c r="AE913" s="376">
        <v>0</v>
      </c>
      <c r="AF913" s="374"/>
      <c r="AG913" s="376">
        <v>0</v>
      </c>
      <c r="AH913" s="376">
        <v>0</v>
      </c>
      <c r="AI913" s="376">
        <v>0</v>
      </c>
      <c r="AJ913" s="376">
        <v>0</v>
      </c>
      <c r="AK913" s="374"/>
      <c r="AL913" s="376">
        <v>0</v>
      </c>
      <c r="AM913" s="376">
        <v>0</v>
      </c>
      <c r="AN913" s="376">
        <v>0</v>
      </c>
      <c r="AO913" s="374"/>
      <c r="AP913" s="376">
        <v>0</v>
      </c>
      <c r="AQ913" s="376">
        <v>0</v>
      </c>
      <c r="AR913" s="374"/>
      <c r="AS913" s="376">
        <v>0</v>
      </c>
      <c r="AT913" s="376">
        <v>0</v>
      </c>
      <c r="AU913" s="355" t="s">
        <v>396</v>
      </c>
      <c r="AV913" s="354" t="s">
        <v>346</v>
      </c>
      <c r="AW913" s="353">
        <v>0</v>
      </c>
      <c r="AX913" s="353">
        <v>0</v>
      </c>
      <c r="AY913" s="353">
        <v>0</v>
      </c>
      <c r="AZ913" s="353">
        <v>0</v>
      </c>
      <c r="BA913" s="353">
        <v>0</v>
      </c>
      <c r="BB913" s="353">
        <v>0</v>
      </c>
    </row>
    <row r="914" spans="1:54" x14ac:dyDescent="0.25">
      <c r="A914" s="348" t="s">
        <v>1057</v>
      </c>
      <c r="B914" s="349">
        <v>24</v>
      </c>
      <c r="C914" s="424" t="s">
        <v>997</v>
      </c>
      <c r="D914" s="351">
        <v>45156</v>
      </c>
      <c r="E914" s="352"/>
      <c r="F914" s="352">
        <v>6</v>
      </c>
      <c r="G914" s="434" t="s">
        <v>1053</v>
      </c>
      <c r="H914" s="350" t="s">
        <v>1058</v>
      </c>
      <c r="I914" s="350" t="s">
        <v>393</v>
      </c>
      <c r="J914" s="560">
        <v>70000</v>
      </c>
      <c r="K914" s="350" t="s">
        <v>394</v>
      </c>
      <c r="L914" s="354">
        <v>2803.6597999999999</v>
      </c>
      <c r="M914" s="576">
        <f t="shared" si="888"/>
        <v>24.967365869425386</v>
      </c>
      <c r="N914" s="354" t="s">
        <v>395</v>
      </c>
      <c r="O914" s="354">
        <v>0</v>
      </c>
      <c r="P914" s="374"/>
      <c r="Q914" s="354">
        <v>0</v>
      </c>
      <c r="R914" s="354">
        <v>0</v>
      </c>
      <c r="S914" s="354">
        <v>0</v>
      </c>
      <c r="T914" s="354">
        <v>0</v>
      </c>
      <c r="U914" s="374"/>
      <c r="V914" s="354">
        <v>0</v>
      </c>
      <c r="W914" s="354">
        <v>0</v>
      </c>
      <c r="X914" s="354">
        <v>0</v>
      </c>
      <c r="Y914" s="374"/>
      <c r="Z914" s="354">
        <v>0</v>
      </c>
      <c r="AA914" s="354">
        <v>0</v>
      </c>
      <c r="AB914" s="374"/>
      <c r="AC914" s="376">
        <v>0</v>
      </c>
      <c r="AD914" s="376">
        <v>0</v>
      </c>
      <c r="AE914" s="376">
        <v>0</v>
      </c>
      <c r="AF914" s="374"/>
      <c r="AG914" s="376">
        <v>0</v>
      </c>
      <c r="AH914" s="376">
        <v>0</v>
      </c>
      <c r="AI914" s="376">
        <v>0</v>
      </c>
      <c r="AJ914" s="376">
        <v>0</v>
      </c>
      <c r="AK914" s="374"/>
      <c r="AL914" s="376">
        <v>0</v>
      </c>
      <c r="AM914" s="376">
        <v>0</v>
      </c>
      <c r="AN914" s="376">
        <v>0</v>
      </c>
      <c r="AO914" s="374"/>
      <c r="AP914" s="376">
        <v>0</v>
      </c>
      <c r="AQ914" s="376">
        <v>0</v>
      </c>
      <c r="AR914" s="374"/>
      <c r="AS914" s="376">
        <v>0</v>
      </c>
      <c r="AT914" s="376">
        <v>0</v>
      </c>
      <c r="AU914" s="355" t="s">
        <v>396</v>
      </c>
      <c r="AV914" s="354" t="s">
        <v>346</v>
      </c>
      <c r="AW914" s="353">
        <v>0</v>
      </c>
      <c r="AX914" s="353">
        <v>0</v>
      </c>
      <c r="AY914" s="353">
        <v>0</v>
      </c>
      <c r="AZ914" s="353">
        <v>0</v>
      </c>
      <c r="BA914" s="353">
        <v>0</v>
      </c>
      <c r="BB914" s="353">
        <v>0</v>
      </c>
    </row>
    <row r="915" spans="1:54" x14ac:dyDescent="0.25">
      <c r="A915" s="348" t="s">
        <v>1383</v>
      </c>
      <c r="B915" s="349">
        <v>54</v>
      </c>
      <c r="C915" s="350" t="s">
        <v>1287</v>
      </c>
      <c r="D915" s="351">
        <v>45138</v>
      </c>
      <c r="E915" s="352"/>
      <c r="F915" s="352">
        <v>6</v>
      </c>
      <c r="G915" s="351" t="s">
        <v>1384</v>
      </c>
      <c r="H915" s="350" t="s">
        <v>1385</v>
      </c>
      <c r="I915" s="350" t="s">
        <v>393</v>
      </c>
      <c r="J915" s="375">
        <v>61065</v>
      </c>
      <c r="K915" s="350" t="s">
        <v>394</v>
      </c>
      <c r="L915" s="354">
        <v>2802.3999950000002</v>
      </c>
      <c r="M915" s="375">
        <f>J915/L915</f>
        <v>21.790251252123628</v>
      </c>
      <c r="N915" s="354" t="s">
        <v>395</v>
      </c>
      <c r="O915" s="354">
        <v>0</v>
      </c>
      <c r="P915" s="374"/>
      <c r="Q915" s="354">
        <v>0</v>
      </c>
      <c r="R915" s="354">
        <v>0</v>
      </c>
      <c r="S915" s="354">
        <v>0</v>
      </c>
      <c r="T915" s="354">
        <v>0</v>
      </c>
      <c r="U915" s="374"/>
      <c r="V915" s="354">
        <v>0</v>
      </c>
      <c r="W915" s="354">
        <v>0</v>
      </c>
      <c r="X915" s="354">
        <v>0</v>
      </c>
      <c r="Y915" s="374"/>
      <c r="Z915" s="354">
        <v>0</v>
      </c>
      <c r="AA915" s="354">
        <v>0</v>
      </c>
      <c r="AB915" s="374"/>
      <c r="AC915" s="376">
        <v>0</v>
      </c>
      <c r="AD915" s="376">
        <v>0</v>
      </c>
      <c r="AE915" s="376">
        <v>0</v>
      </c>
      <c r="AF915" s="374"/>
      <c r="AG915" s="376">
        <v>0</v>
      </c>
      <c r="AH915" s="376">
        <v>0</v>
      </c>
      <c r="AI915" s="376">
        <v>0</v>
      </c>
      <c r="AJ915" s="376">
        <v>0</v>
      </c>
      <c r="AK915" s="374"/>
      <c r="AL915" s="376">
        <v>0</v>
      </c>
      <c r="AM915" s="376">
        <v>0</v>
      </c>
      <c r="AN915" s="376">
        <v>0</v>
      </c>
      <c r="AO915" s="374"/>
      <c r="AP915" s="376">
        <v>0</v>
      </c>
      <c r="AQ915" s="376">
        <v>0</v>
      </c>
      <c r="AR915" s="374"/>
      <c r="AS915" s="376">
        <v>0</v>
      </c>
      <c r="AT915" s="376">
        <v>0</v>
      </c>
      <c r="AU915" s="355" t="s">
        <v>396</v>
      </c>
      <c r="AV915" s="354" t="s">
        <v>397</v>
      </c>
      <c r="AW915" s="353">
        <v>0</v>
      </c>
      <c r="AX915" s="353">
        <v>0</v>
      </c>
      <c r="AY915" s="353">
        <v>0</v>
      </c>
      <c r="AZ915" s="353">
        <v>0</v>
      </c>
      <c r="BA915" s="353">
        <v>0</v>
      </c>
      <c r="BB915" s="353">
        <v>0</v>
      </c>
    </row>
    <row r="916" spans="1:54" x14ac:dyDescent="0.25">
      <c r="A916" s="348" t="s">
        <v>1386</v>
      </c>
      <c r="B916" s="349">
        <v>98</v>
      </c>
      <c r="C916" s="350" t="s">
        <v>1330</v>
      </c>
      <c r="D916" s="351">
        <v>45176</v>
      </c>
      <c r="E916" s="352"/>
      <c r="F916" s="352">
        <v>6</v>
      </c>
      <c r="G916" s="351" t="s">
        <v>1384</v>
      </c>
      <c r="H916" s="350" t="s">
        <v>1385</v>
      </c>
      <c r="I916" s="350" t="s">
        <v>393</v>
      </c>
      <c r="J916" s="375">
        <v>194899</v>
      </c>
      <c r="K916" s="350" t="s">
        <v>394</v>
      </c>
      <c r="L916" s="354">
        <v>2802.3999950000002</v>
      </c>
      <c r="M916" s="375">
        <f>J916/L916</f>
        <v>69.547173975069882</v>
      </c>
      <c r="N916" s="354" t="s">
        <v>395</v>
      </c>
      <c r="O916" s="354">
        <v>0</v>
      </c>
      <c r="P916" s="374"/>
      <c r="Q916" s="354">
        <v>0</v>
      </c>
      <c r="R916" s="354">
        <v>0</v>
      </c>
      <c r="S916" s="354">
        <v>0</v>
      </c>
      <c r="T916" s="354">
        <v>0</v>
      </c>
      <c r="U916" s="374"/>
      <c r="V916" s="354">
        <v>0</v>
      </c>
      <c r="W916" s="354">
        <v>0</v>
      </c>
      <c r="X916" s="354">
        <v>0</v>
      </c>
      <c r="Y916" s="374"/>
      <c r="Z916" s="354">
        <v>0</v>
      </c>
      <c r="AA916" s="354">
        <v>0</v>
      </c>
      <c r="AB916" s="374"/>
      <c r="AC916" s="376">
        <v>0</v>
      </c>
      <c r="AD916" s="376">
        <v>0</v>
      </c>
      <c r="AE916" s="376">
        <v>0</v>
      </c>
      <c r="AF916" s="374"/>
      <c r="AG916" s="376">
        <v>0</v>
      </c>
      <c r="AH916" s="376">
        <v>0</v>
      </c>
      <c r="AI916" s="376">
        <v>0</v>
      </c>
      <c r="AJ916" s="376">
        <v>0</v>
      </c>
      <c r="AK916" s="374"/>
      <c r="AL916" s="376">
        <v>0</v>
      </c>
      <c r="AM916" s="376">
        <v>0</v>
      </c>
      <c r="AN916" s="376">
        <v>0</v>
      </c>
      <c r="AO916" s="374"/>
      <c r="AP916" s="376">
        <v>0</v>
      </c>
      <c r="AQ916" s="376">
        <v>0</v>
      </c>
      <c r="AR916" s="374"/>
      <c r="AS916" s="376">
        <v>0</v>
      </c>
      <c r="AT916" s="376">
        <v>0</v>
      </c>
      <c r="AU916" s="355" t="s">
        <v>396</v>
      </c>
      <c r="AV916" s="354" t="s">
        <v>397</v>
      </c>
      <c r="AW916" s="353">
        <v>0</v>
      </c>
      <c r="AX916" s="353">
        <v>0</v>
      </c>
      <c r="AY916" s="353">
        <v>0</v>
      </c>
      <c r="AZ916" s="353">
        <v>0</v>
      </c>
      <c r="BA916" s="353">
        <v>0</v>
      </c>
      <c r="BB916" s="353">
        <v>0</v>
      </c>
    </row>
    <row r="917" spans="1:54" x14ac:dyDescent="0.25">
      <c r="A917" s="348" t="s">
        <v>1446</v>
      </c>
      <c r="B917" s="349">
        <v>5281</v>
      </c>
      <c r="C917" s="350" t="s">
        <v>1429</v>
      </c>
      <c r="D917" s="351">
        <v>45127</v>
      </c>
      <c r="E917" s="352">
        <v>3490</v>
      </c>
      <c r="F917" s="352">
        <v>7</v>
      </c>
      <c r="G917" s="351" t="s">
        <v>1535</v>
      </c>
      <c r="H917" s="350" t="s">
        <v>1447</v>
      </c>
      <c r="I917" s="350" t="s">
        <v>393</v>
      </c>
      <c r="J917" s="354">
        <v>2500</v>
      </c>
      <c r="K917" s="350" t="s">
        <v>394</v>
      </c>
      <c r="L917" s="354">
        <v>2.8078499999999998E-4</v>
      </c>
      <c r="M917" s="354">
        <v>0.89</v>
      </c>
      <c r="N917" s="350" t="s">
        <v>395</v>
      </c>
      <c r="O917" s="354">
        <v>0.7</v>
      </c>
      <c r="P917" s="374"/>
      <c r="Q917" s="354">
        <v>0</v>
      </c>
      <c r="R917" s="354">
        <v>0</v>
      </c>
      <c r="S917" s="354">
        <v>0</v>
      </c>
      <c r="T917" s="354">
        <v>0</v>
      </c>
      <c r="U917" s="374"/>
      <c r="V917" s="354">
        <v>0</v>
      </c>
      <c r="W917" s="354">
        <v>0</v>
      </c>
      <c r="X917" s="354">
        <v>0</v>
      </c>
      <c r="Y917" s="374"/>
      <c r="Z917" s="354">
        <v>0</v>
      </c>
      <c r="AA917" s="354">
        <v>0</v>
      </c>
      <c r="AB917" s="374"/>
      <c r="AC917" s="376">
        <v>0</v>
      </c>
      <c r="AD917" s="376">
        <v>0</v>
      </c>
      <c r="AE917" s="376">
        <v>0</v>
      </c>
      <c r="AF917" s="374"/>
      <c r="AG917" s="376">
        <v>0</v>
      </c>
      <c r="AH917" s="376">
        <v>0</v>
      </c>
      <c r="AI917" s="376">
        <v>0</v>
      </c>
      <c r="AJ917" s="376">
        <v>0</v>
      </c>
      <c r="AK917" s="374"/>
      <c r="AL917" s="376">
        <v>0</v>
      </c>
      <c r="AM917" s="376">
        <v>0</v>
      </c>
      <c r="AN917" s="376">
        <v>0</v>
      </c>
      <c r="AO917" s="374"/>
      <c r="AP917" s="376">
        <v>0</v>
      </c>
      <c r="AQ917" s="376">
        <v>0</v>
      </c>
      <c r="AR917" s="374"/>
      <c r="AS917" s="376">
        <v>0</v>
      </c>
      <c r="AT917" s="376">
        <v>0</v>
      </c>
      <c r="AU917" s="355" t="s">
        <v>396</v>
      </c>
      <c r="AV917" s="354" t="s">
        <v>404</v>
      </c>
      <c r="AW917" s="355" t="s">
        <v>405</v>
      </c>
      <c r="AX917" s="355">
        <v>0</v>
      </c>
      <c r="AY917" s="350" t="s">
        <v>410</v>
      </c>
      <c r="AZ917" s="351">
        <v>45145</v>
      </c>
      <c r="BA917" s="351">
        <v>45145</v>
      </c>
      <c r="BB917" s="350" t="s">
        <v>407</v>
      </c>
    </row>
    <row r="918" spans="1:54" x14ac:dyDescent="0.25">
      <c r="A918" s="348" t="s">
        <v>1460</v>
      </c>
      <c r="B918" s="349">
        <v>5223</v>
      </c>
      <c r="C918" s="350" t="s">
        <v>1429</v>
      </c>
      <c r="D918" s="351">
        <v>45127</v>
      </c>
      <c r="E918" s="352">
        <v>3570</v>
      </c>
      <c r="F918" s="352">
        <v>7</v>
      </c>
      <c r="G918" s="351" t="s">
        <v>1535</v>
      </c>
      <c r="H918" s="350" t="s">
        <v>1461</v>
      </c>
      <c r="I918" s="350" t="s">
        <v>393</v>
      </c>
      <c r="J918" s="375">
        <v>1088000</v>
      </c>
      <c r="K918" s="350" t="s">
        <v>394</v>
      </c>
      <c r="L918" s="354">
        <v>2.8078499999999998E-4</v>
      </c>
      <c r="M918" s="354">
        <v>387.83</v>
      </c>
      <c r="N918" s="350" t="s">
        <v>395</v>
      </c>
      <c r="O918" s="354">
        <v>305.49</v>
      </c>
      <c r="P918" s="374"/>
      <c r="Q918" s="354">
        <v>0</v>
      </c>
      <c r="R918" s="354">
        <v>0</v>
      </c>
      <c r="S918" s="354">
        <v>0</v>
      </c>
      <c r="T918" s="354">
        <v>0</v>
      </c>
      <c r="U918" s="374"/>
      <c r="V918" s="354">
        <v>0</v>
      </c>
      <c r="W918" s="354">
        <v>0</v>
      </c>
      <c r="X918" s="354">
        <v>0</v>
      </c>
      <c r="Y918" s="374"/>
      <c r="Z918" s="354">
        <v>0</v>
      </c>
      <c r="AA918" s="354">
        <v>0</v>
      </c>
      <c r="AB918" s="374"/>
      <c r="AC918" s="376">
        <v>0</v>
      </c>
      <c r="AD918" s="376">
        <v>0</v>
      </c>
      <c r="AE918" s="376">
        <v>0</v>
      </c>
      <c r="AF918" s="374"/>
      <c r="AG918" s="376">
        <v>0</v>
      </c>
      <c r="AH918" s="376">
        <v>0</v>
      </c>
      <c r="AI918" s="376">
        <v>0</v>
      </c>
      <c r="AJ918" s="376">
        <v>0</v>
      </c>
      <c r="AK918" s="374"/>
      <c r="AL918" s="376">
        <v>0</v>
      </c>
      <c r="AM918" s="376">
        <v>0</v>
      </c>
      <c r="AN918" s="376">
        <v>0</v>
      </c>
      <c r="AO918" s="374"/>
      <c r="AP918" s="376">
        <v>0</v>
      </c>
      <c r="AQ918" s="376">
        <v>0</v>
      </c>
      <c r="AR918" s="374"/>
      <c r="AS918" s="376">
        <v>0</v>
      </c>
      <c r="AT918" s="376">
        <v>0</v>
      </c>
      <c r="AU918" s="355" t="s">
        <v>396</v>
      </c>
      <c r="AV918" s="354" t="s">
        <v>404</v>
      </c>
      <c r="AW918" s="355" t="s">
        <v>405</v>
      </c>
      <c r="AX918" s="355">
        <v>0</v>
      </c>
      <c r="AY918" s="350" t="s">
        <v>406</v>
      </c>
      <c r="AZ918" s="351">
        <v>45145</v>
      </c>
      <c r="BA918" s="351">
        <v>45145</v>
      </c>
      <c r="BB918" s="350" t="s">
        <v>407</v>
      </c>
    </row>
    <row r="919" spans="1:54" x14ac:dyDescent="0.25">
      <c r="A919" s="348" t="s">
        <v>1462</v>
      </c>
      <c r="B919" s="349">
        <v>5186</v>
      </c>
      <c r="C919" s="350" t="s">
        <v>1429</v>
      </c>
      <c r="D919" s="351">
        <v>45124</v>
      </c>
      <c r="E919" s="352">
        <v>3570</v>
      </c>
      <c r="F919" s="352">
        <v>7</v>
      </c>
      <c r="G919" s="351" t="s">
        <v>1535</v>
      </c>
      <c r="H919" s="350" t="s">
        <v>1463</v>
      </c>
      <c r="I919" s="350" t="s">
        <v>393</v>
      </c>
      <c r="J919" s="375">
        <v>784000</v>
      </c>
      <c r="K919" s="350" t="s">
        <v>394</v>
      </c>
      <c r="L919" s="354">
        <v>2.8078499999999998E-4</v>
      </c>
      <c r="M919" s="354">
        <v>279.45999999999998</v>
      </c>
      <c r="N919" s="350" t="s">
        <v>395</v>
      </c>
      <c r="O919" s="354">
        <v>220.14</v>
      </c>
      <c r="P919" s="374"/>
      <c r="Q919" s="354">
        <v>0</v>
      </c>
      <c r="R919" s="354">
        <v>0</v>
      </c>
      <c r="S919" s="354">
        <v>0</v>
      </c>
      <c r="T919" s="354">
        <v>0</v>
      </c>
      <c r="U919" s="374"/>
      <c r="V919" s="354">
        <v>0</v>
      </c>
      <c r="W919" s="354">
        <v>0</v>
      </c>
      <c r="X919" s="354">
        <v>0</v>
      </c>
      <c r="Y919" s="374"/>
      <c r="Z919" s="354">
        <v>0</v>
      </c>
      <c r="AA919" s="354">
        <v>0</v>
      </c>
      <c r="AB919" s="374"/>
      <c r="AC919" s="376">
        <v>0</v>
      </c>
      <c r="AD919" s="376">
        <v>0</v>
      </c>
      <c r="AE919" s="376">
        <v>0</v>
      </c>
      <c r="AF919" s="374"/>
      <c r="AG919" s="376">
        <v>0</v>
      </c>
      <c r="AH919" s="376">
        <v>0</v>
      </c>
      <c r="AI919" s="376">
        <v>0</v>
      </c>
      <c r="AJ919" s="376">
        <v>0</v>
      </c>
      <c r="AK919" s="374"/>
      <c r="AL919" s="376">
        <v>0</v>
      </c>
      <c r="AM919" s="376">
        <v>0</v>
      </c>
      <c r="AN919" s="376">
        <v>0</v>
      </c>
      <c r="AO919" s="374"/>
      <c r="AP919" s="376">
        <v>0</v>
      </c>
      <c r="AQ919" s="376">
        <v>0</v>
      </c>
      <c r="AR919" s="374"/>
      <c r="AS919" s="376">
        <v>0</v>
      </c>
      <c r="AT919" s="376">
        <v>0</v>
      </c>
      <c r="AU919" s="355" t="s">
        <v>396</v>
      </c>
      <c r="AV919" s="354" t="s">
        <v>404</v>
      </c>
      <c r="AW919" s="355" t="s">
        <v>405</v>
      </c>
      <c r="AX919" s="355">
        <v>0</v>
      </c>
      <c r="AY919" s="350" t="s">
        <v>406</v>
      </c>
      <c r="AZ919" s="351">
        <v>45142</v>
      </c>
      <c r="BA919" s="351">
        <v>45142</v>
      </c>
      <c r="BB919" s="350" t="s">
        <v>407</v>
      </c>
    </row>
    <row r="920" spans="1:54" x14ac:dyDescent="0.25">
      <c r="A920" s="348" t="s">
        <v>1464</v>
      </c>
      <c r="B920" s="349">
        <v>5148</v>
      </c>
      <c r="C920" s="350" t="s">
        <v>1429</v>
      </c>
      <c r="D920" s="351">
        <v>45127</v>
      </c>
      <c r="E920" s="352">
        <v>3570</v>
      </c>
      <c r="F920" s="352">
        <v>7</v>
      </c>
      <c r="G920" s="351" t="s">
        <v>1535</v>
      </c>
      <c r="H920" s="350" t="s">
        <v>1465</v>
      </c>
      <c r="I920" s="350" t="s">
        <v>393</v>
      </c>
      <c r="J920" s="375">
        <v>1088000</v>
      </c>
      <c r="K920" s="350" t="s">
        <v>394</v>
      </c>
      <c r="L920" s="354">
        <v>2.8078499999999998E-4</v>
      </c>
      <c r="M920" s="354">
        <v>387.83</v>
      </c>
      <c r="N920" s="350" t="s">
        <v>395</v>
      </c>
      <c r="O920" s="354">
        <v>305.49</v>
      </c>
      <c r="P920" s="374"/>
      <c r="Q920" s="354">
        <v>0</v>
      </c>
      <c r="R920" s="354">
        <v>0</v>
      </c>
      <c r="S920" s="354">
        <v>0</v>
      </c>
      <c r="T920" s="354">
        <v>0</v>
      </c>
      <c r="U920" s="374"/>
      <c r="V920" s="354">
        <v>0</v>
      </c>
      <c r="W920" s="354">
        <v>0</v>
      </c>
      <c r="X920" s="354">
        <v>0</v>
      </c>
      <c r="Y920" s="374"/>
      <c r="Z920" s="354">
        <v>0</v>
      </c>
      <c r="AA920" s="354">
        <v>0</v>
      </c>
      <c r="AB920" s="374"/>
      <c r="AC920" s="376">
        <v>0</v>
      </c>
      <c r="AD920" s="376">
        <v>0</v>
      </c>
      <c r="AE920" s="376">
        <v>0</v>
      </c>
      <c r="AF920" s="374"/>
      <c r="AG920" s="376">
        <v>0</v>
      </c>
      <c r="AH920" s="376">
        <v>0</v>
      </c>
      <c r="AI920" s="376">
        <v>0</v>
      </c>
      <c r="AJ920" s="376">
        <v>0</v>
      </c>
      <c r="AK920" s="374"/>
      <c r="AL920" s="376">
        <v>0</v>
      </c>
      <c r="AM920" s="376">
        <v>0</v>
      </c>
      <c r="AN920" s="376">
        <v>0</v>
      </c>
      <c r="AO920" s="374"/>
      <c r="AP920" s="376">
        <v>0</v>
      </c>
      <c r="AQ920" s="376">
        <v>0</v>
      </c>
      <c r="AR920" s="374"/>
      <c r="AS920" s="376">
        <v>0</v>
      </c>
      <c r="AT920" s="376">
        <v>0</v>
      </c>
      <c r="AU920" s="355" t="s">
        <v>396</v>
      </c>
      <c r="AV920" s="354" t="s">
        <v>404</v>
      </c>
      <c r="AW920" s="355" t="s">
        <v>405</v>
      </c>
      <c r="AX920" s="355">
        <v>0</v>
      </c>
      <c r="AY920" s="350" t="s">
        <v>406</v>
      </c>
      <c r="AZ920" s="351">
        <v>45141</v>
      </c>
      <c r="BA920" s="351">
        <v>45139</v>
      </c>
      <c r="BB920" s="350" t="s">
        <v>407</v>
      </c>
    </row>
    <row r="921" spans="1:54" x14ac:dyDescent="0.25">
      <c r="A921" s="348" t="s">
        <v>1466</v>
      </c>
      <c r="B921" s="349">
        <v>5185</v>
      </c>
      <c r="C921" s="350" t="s">
        <v>1429</v>
      </c>
      <c r="D921" s="351">
        <v>45135</v>
      </c>
      <c r="E921" s="352">
        <v>3570</v>
      </c>
      <c r="F921" s="352">
        <v>7</v>
      </c>
      <c r="G921" s="351" t="s">
        <v>1535</v>
      </c>
      <c r="H921" s="350" t="s">
        <v>1467</v>
      </c>
      <c r="I921" s="350" t="s">
        <v>393</v>
      </c>
      <c r="J921" s="375">
        <v>8350000</v>
      </c>
      <c r="K921" s="350" t="s">
        <v>394</v>
      </c>
      <c r="L921" s="354">
        <v>2.8078499999999998E-4</v>
      </c>
      <c r="M921" s="354">
        <v>2976.42</v>
      </c>
      <c r="N921" s="350" t="s">
        <v>395</v>
      </c>
      <c r="O921" s="354">
        <v>2344.5500000000002</v>
      </c>
      <c r="P921" s="374"/>
      <c r="Q921" s="354">
        <v>0</v>
      </c>
      <c r="R921" s="354">
        <v>0</v>
      </c>
      <c r="S921" s="354">
        <v>0</v>
      </c>
      <c r="T921" s="354">
        <v>0</v>
      </c>
      <c r="U921" s="374"/>
      <c r="V921" s="354">
        <v>0</v>
      </c>
      <c r="W921" s="354">
        <v>0</v>
      </c>
      <c r="X921" s="354">
        <v>0</v>
      </c>
      <c r="Y921" s="374"/>
      <c r="Z921" s="354">
        <v>0</v>
      </c>
      <c r="AA921" s="354">
        <v>0</v>
      </c>
      <c r="AB921" s="374"/>
      <c r="AC921" s="376">
        <v>0</v>
      </c>
      <c r="AD921" s="376">
        <v>0</v>
      </c>
      <c r="AE921" s="376">
        <v>0</v>
      </c>
      <c r="AF921" s="374"/>
      <c r="AG921" s="376">
        <v>0</v>
      </c>
      <c r="AH921" s="376">
        <v>0</v>
      </c>
      <c r="AI921" s="376">
        <v>0</v>
      </c>
      <c r="AJ921" s="376">
        <v>0</v>
      </c>
      <c r="AK921" s="374"/>
      <c r="AL921" s="376">
        <v>0</v>
      </c>
      <c r="AM921" s="376">
        <v>0</v>
      </c>
      <c r="AN921" s="376">
        <v>0</v>
      </c>
      <c r="AO921" s="374"/>
      <c r="AP921" s="376">
        <v>0</v>
      </c>
      <c r="AQ921" s="376">
        <v>0</v>
      </c>
      <c r="AR921" s="374"/>
      <c r="AS921" s="376">
        <v>0</v>
      </c>
      <c r="AT921" s="376">
        <v>0</v>
      </c>
      <c r="AU921" s="355" t="s">
        <v>396</v>
      </c>
      <c r="AV921" s="354" t="s">
        <v>404</v>
      </c>
      <c r="AW921" s="355" t="s">
        <v>405</v>
      </c>
      <c r="AX921" s="355">
        <v>0</v>
      </c>
      <c r="AY921" s="350" t="s">
        <v>406</v>
      </c>
      <c r="AZ921" s="351">
        <v>45142</v>
      </c>
      <c r="BA921" s="351">
        <v>45142</v>
      </c>
      <c r="BB921" s="350" t="s">
        <v>407</v>
      </c>
    </row>
    <row r="922" spans="1:54" x14ac:dyDescent="0.25">
      <c r="A922" s="348" t="s">
        <v>1492</v>
      </c>
      <c r="B922" s="349">
        <v>5386</v>
      </c>
      <c r="C922" s="350" t="s">
        <v>1469</v>
      </c>
      <c r="D922" s="351">
        <v>45168</v>
      </c>
      <c r="E922" s="352">
        <v>3570</v>
      </c>
      <c r="F922" s="352">
        <v>7</v>
      </c>
      <c r="G922" s="351" t="s">
        <v>1535</v>
      </c>
      <c r="H922" s="350" t="s">
        <v>1493</v>
      </c>
      <c r="I922" s="350" t="s">
        <v>393</v>
      </c>
      <c r="J922" s="354">
        <v>4590400</v>
      </c>
      <c r="K922" s="350" t="s">
        <v>394</v>
      </c>
      <c r="L922" s="354">
        <v>2.7534199999999998E-4</v>
      </c>
      <c r="M922" s="354">
        <v>1626.42</v>
      </c>
      <c r="N922" s="350" t="s">
        <v>395</v>
      </c>
      <c r="O922" s="354">
        <v>1263.93</v>
      </c>
      <c r="P922" s="374"/>
      <c r="Q922" s="354">
        <v>0</v>
      </c>
      <c r="R922" s="354">
        <v>0</v>
      </c>
      <c r="S922" s="354">
        <v>0</v>
      </c>
      <c r="T922" s="354">
        <v>0</v>
      </c>
      <c r="U922" s="374"/>
      <c r="V922" s="354">
        <v>0</v>
      </c>
      <c r="W922" s="354">
        <v>0</v>
      </c>
      <c r="X922" s="354">
        <v>0</v>
      </c>
      <c r="Y922" s="374"/>
      <c r="Z922" s="354">
        <v>0</v>
      </c>
      <c r="AA922" s="354">
        <v>0</v>
      </c>
      <c r="AB922" s="374"/>
      <c r="AC922" s="376">
        <v>0</v>
      </c>
      <c r="AD922" s="376">
        <v>0</v>
      </c>
      <c r="AE922" s="376">
        <v>0</v>
      </c>
      <c r="AF922" s="374"/>
      <c r="AG922" s="376">
        <v>0</v>
      </c>
      <c r="AH922" s="376">
        <v>0</v>
      </c>
      <c r="AI922" s="376">
        <v>0</v>
      </c>
      <c r="AJ922" s="376">
        <v>0</v>
      </c>
      <c r="AK922" s="374"/>
      <c r="AL922" s="376">
        <v>0</v>
      </c>
      <c r="AM922" s="376">
        <v>0</v>
      </c>
      <c r="AN922" s="376">
        <v>0</v>
      </c>
      <c r="AO922" s="374"/>
      <c r="AP922" s="376">
        <v>0</v>
      </c>
      <c r="AQ922" s="376">
        <v>0</v>
      </c>
      <c r="AR922" s="374"/>
      <c r="AS922" s="376">
        <v>0</v>
      </c>
      <c r="AT922" s="376">
        <v>0</v>
      </c>
      <c r="AU922" s="355" t="s">
        <v>396</v>
      </c>
      <c r="AV922" s="354" t="s">
        <v>404</v>
      </c>
      <c r="AW922" s="355" t="s">
        <v>405</v>
      </c>
      <c r="AX922" s="355">
        <v>0</v>
      </c>
      <c r="AY922" s="350" t="s">
        <v>406</v>
      </c>
      <c r="AZ922" s="351">
        <v>45173</v>
      </c>
      <c r="BA922" s="351">
        <v>45175</v>
      </c>
      <c r="BB922" s="350" t="s">
        <v>407</v>
      </c>
    </row>
    <row r="923" spans="1:54" x14ac:dyDescent="0.25">
      <c r="A923" s="348" t="s">
        <v>1494</v>
      </c>
      <c r="B923" s="349">
        <v>5337</v>
      </c>
      <c r="C923" s="350" t="s">
        <v>1469</v>
      </c>
      <c r="D923" s="351">
        <v>45141</v>
      </c>
      <c r="E923" s="352">
        <v>3570</v>
      </c>
      <c r="F923" s="352">
        <v>7</v>
      </c>
      <c r="G923" s="351" t="s">
        <v>1535</v>
      </c>
      <c r="H923" s="350" t="s">
        <v>1495</v>
      </c>
      <c r="I923" s="350" t="s">
        <v>393</v>
      </c>
      <c r="J923" s="354">
        <v>360000</v>
      </c>
      <c r="K923" s="350" t="s">
        <v>394</v>
      </c>
      <c r="L923" s="354">
        <v>2.7534199999999998E-4</v>
      </c>
      <c r="M923" s="354">
        <v>127.55</v>
      </c>
      <c r="N923" s="350" t="s">
        <v>395</v>
      </c>
      <c r="O923" s="354">
        <v>99.12</v>
      </c>
      <c r="P923" s="374"/>
      <c r="Q923" s="354">
        <v>0</v>
      </c>
      <c r="R923" s="354">
        <v>0</v>
      </c>
      <c r="S923" s="354">
        <v>0</v>
      </c>
      <c r="T923" s="354">
        <v>0</v>
      </c>
      <c r="U923" s="374"/>
      <c r="V923" s="354">
        <v>0</v>
      </c>
      <c r="W923" s="354">
        <v>0</v>
      </c>
      <c r="X923" s="354">
        <v>0</v>
      </c>
      <c r="Y923" s="374"/>
      <c r="Z923" s="354">
        <v>0</v>
      </c>
      <c r="AA923" s="354">
        <v>0</v>
      </c>
      <c r="AB923" s="374"/>
      <c r="AC923" s="376">
        <v>0</v>
      </c>
      <c r="AD923" s="376">
        <v>0</v>
      </c>
      <c r="AE923" s="376">
        <v>0</v>
      </c>
      <c r="AF923" s="374"/>
      <c r="AG923" s="376">
        <v>0</v>
      </c>
      <c r="AH923" s="376">
        <v>0</v>
      </c>
      <c r="AI923" s="376">
        <v>0</v>
      </c>
      <c r="AJ923" s="376">
        <v>0</v>
      </c>
      <c r="AK923" s="374"/>
      <c r="AL923" s="376">
        <v>0</v>
      </c>
      <c r="AM923" s="376">
        <v>0</v>
      </c>
      <c r="AN923" s="376">
        <v>0</v>
      </c>
      <c r="AO923" s="374"/>
      <c r="AP923" s="376">
        <v>0</v>
      </c>
      <c r="AQ923" s="376">
        <v>0</v>
      </c>
      <c r="AR923" s="374"/>
      <c r="AS923" s="376">
        <v>0</v>
      </c>
      <c r="AT923" s="376">
        <v>0</v>
      </c>
      <c r="AU923" s="355" t="s">
        <v>396</v>
      </c>
      <c r="AV923" s="354" t="s">
        <v>404</v>
      </c>
      <c r="AW923" s="355" t="s">
        <v>405</v>
      </c>
      <c r="AX923" s="355">
        <v>0</v>
      </c>
      <c r="AY923" s="350" t="s">
        <v>406</v>
      </c>
      <c r="AZ923" s="351">
        <v>45173</v>
      </c>
      <c r="BA923" s="351">
        <v>45174</v>
      </c>
      <c r="BB923" s="350" t="s">
        <v>407</v>
      </c>
    </row>
    <row r="924" spans="1:54" x14ac:dyDescent="0.25">
      <c r="A924" s="348" t="s">
        <v>1496</v>
      </c>
      <c r="B924" s="349">
        <v>5338</v>
      </c>
      <c r="C924" s="350" t="s">
        <v>1469</v>
      </c>
      <c r="D924" s="351">
        <v>45142</v>
      </c>
      <c r="E924" s="352">
        <v>3570</v>
      </c>
      <c r="F924" s="352">
        <v>7</v>
      </c>
      <c r="G924" s="351" t="s">
        <v>1535</v>
      </c>
      <c r="H924" s="350" t="s">
        <v>1495</v>
      </c>
      <c r="I924" s="350" t="s">
        <v>393</v>
      </c>
      <c r="J924" s="354">
        <v>540000</v>
      </c>
      <c r="K924" s="350" t="s">
        <v>394</v>
      </c>
      <c r="L924" s="354">
        <v>2.7534199999999998E-4</v>
      </c>
      <c r="M924" s="354">
        <v>191.33</v>
      </c>
      <c r="N924" s="350" t="s">
        <v>395</v>
      </c>
      <c r="O924" s="354">
        <v>148.68</v>
      </c>
      <c r="P924" s="374"/>
      <c r="Q924" s="354">
        <v>0</v>
      </c>
      <c r="R924" s="354">
        <v>0</v>
      </c>
      <c r="S924" s="354">
        <v>0</v>
      </c>
      <c r="T924" s="354">
        <v>0</v>
      </c>
      <c r="U924" s="374"/>
      <c r="V924" s="354">
        <v>0</v>
      </c>
      <c r="W924" s="354">
        <v>0</v>
      </c>
      <c r="X924" s="354">
        <v>0</v>
      </c>
      <c r="Y924" s="374"/>
      <c r="Z924" s="354">
        <v>0</v>
      </c>
      <c r="AA924" s="354">
        <v>0</v>
      </c>
      <c r="AB924" s="374"/>
      <c r="AC924" s="376">
        <v>0</v>
      </c>
      <c r="AD924" s="376">
        <v>0</v>
      </c>
      <c r="AE924" s="376">
        <v>0</v>
      </c>
      <c r="AF924" s="374"/>
      <c r="AG924" s="376">
        <v>0</v>
      </c>
      <c r="AH924" s="376">
        <v>0</v>
      </c>
      <c r="AI924" s="376">
        <v>0</v>
      </c>
      <c r="AJ924" s="376">
        <v>0</v>
      </c>
      <c r="AK924" s="374"/>
      <c r="AL924" s="376">
        <v>0</v>
      </c>
      <c r="AM924" s="376">
        <v>0</v>
      </c>
      <c r="AN924" s="376">
        <v>0</v>
      </c>
      <c r="AO924" s="374"/>
      <c r="AP924" s="376">
        <v>0</v>
      </c>
      <c r="AQ924" s="376">
        <v>0</v>
      </c>
      <c r="AR924" s="374"/>
      <c r="AS924" s="376">
        <v>0</v>
      </c>
      <c r="AT924" s="376">
        <v>0</v>
      </c>
      <c r="AU924" s="355" t="s">
        <v>396</v>
      </c>
      <c r="AV924" s="354" t="s">
        <v>404</v>
      </c>
      <c r="AW924" s="355" t="s">
        <v>405</v>
      </c>
      <c r="AX924" s="355">
        <v>0</v>
      </c>
      <c r="AY924" s="350" t="s">
        <v>406</v>
      </c>
      <c r="AZ924" s="351">
        <v>45173</v>
      </c>
      <c r="BA924" s="351">
        <v>45174</v>
      </c>
      <c r="BB924" s="350" t="s">
        <v>407</v>
      </c>
    </row>
    <row r="925" spans="1:54" x14ac:dyDescent="0.25">
      <c r="A925" s="348" t="s">
        <v>838</v>
      </c>
      <c r="B925" s="349">
        <v>8</v>
      </c>
      <c r="C925" s="380">
        <v>45194</v>
      </c>
      <c r="D925" s="351">
        <v>45194</v>
      </c>
      <c r="E925" s="352"/>
      <c r="F925" s="352">
        <v>6</v>
      </c>
      <c r="G925" s="353" t="s">
        <v>839</v>
      </c>
      <c r="H925" s="350" t="s">
        <v>840</v>
      </c>
      <c r="I925" s="350" t="s">
        <v>393</v>
      </c>
      <c r="J925" s="560">
        <v>7663000</v>
      </c>
      <c r="K925" s="350" t="s">
        <v>394</v>
      </c>
      <c r="L925" s="353">
        <v>2830.26</v>
      </c>
      <c r="M925" s="560">
        <f t="shared" ref="M925:M926" si="889">J925/L925</f>
        <v>2707.5251037007197</v>
      </c>
      <c r="N925" s="354" t="s">
        <v>395</v>
      </c>
      <c r="O925" s="354">
        <v>0</v>
      </c>
      <c r="P925" s="374"/>
      <c r="Q925" s="354">
        <v>0</v>
      </c>
      <c r="R925" s="354">
        <v>0</v>
      </c>
      <c r="S925" s="354">
        <v>0</v>
      </c>
      <c r="T925" s="354">
        <v>0</v>
      </c>
      <c r="U925" s="374"/>
      <c r="V925" s="354">
        <v>0</v>
      </c>
      <c r="W925" s="354">
        <v>0</v>
      </c>
      <c r="X925" s="354">
        <v>0</v>
      </c>
      <c r="Y925" s="374"/>
      <c r="Z925" s="354">
        <v>0</v>
      </c>
      <c r="AA925" s="354">
        <v>0</v>
      </c>
      <c r="AB925" s="374"/>
      <c r="AC925" s="376">
        <v>0</v>
      </c>
      <c r="AD925" s="376">
        <v>0</v>
      </c>
      <c r="AE925" s="376">
        <v>0</v>
      </c>
      <c r="AF925" s="374"/>
      <c r="AG925" s="376">
        <v>0</v>
      </c>
      <c r="AH925" s="376">
        <v>0</v>
      </c>
      <c r="AI925" s="376">
        <v>0</v>
      </c>
      <c r="AJ925" s="376">
        <v>0</v>
      </c>
      <c r="AK925" s="374"/>
      <c r="AL925" s="376">
        <v>0</v>
      </c>
      <c r="AM925" s="376">
        <v>0</v>
      </c>
      <c r="AN925" s="376">
        <v>0</v>
      </c>
      <c r="AO925" s="374"/>
      <c r="AP925" s="376">
        <v>0</v>
      </c>
      <c r="AQ925" s="376">
        <v>0</v>
      </c>
      <c r="AR925" s="374"/>
      <c r="AS925" s="376">
        <v>0</v>
      </c>
      <c r="AT925" s="376">
        <v>0</v>
      </c>
      <c r="AU925" s="355" t="s">
        <v>396</v>
      </c>
      <c r="AV925" s="354" t="s">
        <v>344</v>
      </c>
      <c r="AW925" s="355">
        <v>0</v>
      </c>
      <c r="AX925" s="355">
        <v>0</v>
      </c>
      <c r="AY925" s="355">
        <v>0</v>
      </c>
      <c r="AZ925" s="355">
        <v>0</v>
      </c>
      <c r="BA925" s="355">
        <v>0</v>
      </c>
      <c r="BB925" s="355">
        <v>0</v>
      </c>
    </row>
    <row r="926" spans="1:54" x14ac:dyDescent="0.25">
      <c r="A926" s="348" t="s">
        <v>841</v>
      </c>
      <c r="B926" s="349">
        <v>9</v>
      </c>
      <c r="C926" s="380">
        <v>45194</v>
      </c>
      <c r="D926" s="351">
        <v>45194</v>
      </c>
      <c r="E926" s="352"/>
      <c r="F926" s="352">
        <v>6</v>
      </c>
      <c r="G926" s="353" t="s">
        <v>839</v>
      </c>
      <c r="H926" s="350" t="s">
        <v>842</v>
      </c>
      <c r="I926" s="350" t="s">
        <v>393</v>
      </c>
      <c r="J926" s="560">
        <v>7358670</v>
      </c>
      <c r="K926" s="350" t="s">
        <v>394</v>
      </c>
      <c r="L926" s="353">
        <v>2830.26</v>
      </c>
      <c r="M926" s="560">
        <f t="shared" si="889"/>
        <v>2599.9978800534223</v>
      </c>
      <c r="N926" s="354" t="s">
        <v>395</v>
      </c>
      <c r="O926" s="354">
        <v>0</v>
      </c>
      <c r="P926" s="374"/>
      <c r="Q926" s="354">
        <v>0</v>
      </c>
      <c r="R926" s="354">
        <v>0</v>
      </c>
      <c r="S926" s="354">
        <v>0</v>
      </c>
      <c r="T926" s="354">
        <v>0</v>
      </c>
      <c r="U926" s="374"/>
      <c r="V926" s="354">
        <v>0</v>
      </c>
      <c r="W926" s="354">
        <v>0</v>
      </c>
      <c r="X926" s="354">
        <v>0</v>
      </c>
      <c r="Y926" s="374"/>
      <c r="Z926" s="354">
        <v>0</v>
      </c>
      <c r="AA926" s="354">
        <v>0</v>
      </c>
      <c r="AB926" s="374"/>
      <c r="AC926" s="376">
        <v>0</v>
      </c>
      <c r="AD926" s="376">
        <v>0</v>
      </c>
      <c r="AE926" s="376">
        <v>0</v>
      </c>
      <c r="AF926" s="374"/>
      <c r="AG926" s="376">
        <v>0</v>
      </c>
      <c r="AH926" s="376">
        <v>0</v>
      </c>
      <c r="AI926" s="376">
        <v>0</v>
      </c>
      <c r="AJ926" s="376">
        <v>0</v>
      </c>
      <c r="AK926" s="374"/>
      <c r="AL926" s="376">
        <v>0</v>
      </c>
      <c r="AM926" s="376">
        <v>0</v>
      </c>
      <c r="AN926" s="376">
        <v>0</v>
      </c>
      <c r="AO926" s="374"/>
      <c r="AP926" s="376">
        <v>0</v>
      </c>
      <c r="AQ926" s="376">
        <v>0</v>
      </c>
      <c r="AR926" s="374"/>
      <c r="AS926" s="376">
        <v>0</v>
      </c>
      <c r="AT926" s="376">
        <v>0</v>
      </c>
      <c r="AU926" s="355" t="s">
        <v>396</v>
      </c>
      <c r="AV926" s="354" t="s">
        <v>344</v>
      </c>
      <c r="AW926" s="355">
        <v>0</v>
      </c>
      <c r="AX926" s="355">
        <v>0</v>
      </c>
      <c r="AY926" s="355">
        <v>0</v>
      </c>
      <c r="AZ926" s="355">
        <v>0</v>
      </c>
      <c r="BA926" s="355">
        <v>0</v>
      </c>
      <c r="BB926" s="355">
        <v>0</v>
      </c>
    </row>
    <row r="927" spans="1:54" x14ac:dyDescent="0.25">
      <c r="A927" s="348" t="s">
        <v>1206</v>
      </c>
      <c r="B927" s="349">
        <v>66</v>
      </c>
      <c r="C927" s="350" t="s">
        <v>1137</v>
      </c>
      <c r="D927" s="351" t="s">
        <v>1207</v>
      </c>
      <c r="E927" s="352">
        <v>6345</v>
      </c>
      <c r="F927" s="352">
        <v>6</v>
      </c>
      <c r="G927" s="351" t="s">
        <v>1208</v>
      </c>
      <c r="H927" s="350" t="s">
        <v>1209</v>
      </c>
      <c r="I927" s="350" t="s">
        <v>393</v>
      </c>
      <c r="J927" s="560">
        <v>150000</v>
      </c>
      <c r="K927" s="350" t="s">
        <v>394</v>
      </c>
      <c r="L927" s="353">
        <v>2801.6</v>
      </c>
      <c r="M927" s="560">
        <f>+J927/L927</f>
        <v>53.540833809251858</v>
      </c>
      <c r="N927" s="354" t="s">
        <v>395</v>
      </c>
      <c r="O927" s="354">
        <v>0</v>
      </c>
      <c r="P927" s="374"/>
      <c r="Q927" s="354">
        <v>0</v>
      </c>
      <c r="R927" s="354">
        <v>0</v>
      </c>
      <c r="S927" s="354">
        <v>0</v>
      </c>
      <c r="T927" s="354">
        <v>0</v>
      </c>
      <c r="U927" s="374"/>
      <c r="V927" s="354">
        <v>0</v>
      </c>
      <c r="W927" s="354">
        <v>0</v>
      </c>
      <c r="X927" s="354">
        <v>0</v>
      </c>
      <c r="Y927" s="374"/>
      <c r="Z927" s="354">
        <v>0</v>
      </c>
      <c r="AA927" s="354">
        <v>0</v>
      </c>
      <c r="AB927" s="374"/>
      <c r="AC927" s="376">
        <v>0</v>
      </c>
      <c r="AD927" s="376">
        <v>0</v>
      </c>
      <c r="AE927" s="376">
        <v>0</v>
      </c>
      <c r="AF927" s="374"/>
      <c r="AG927" s="376">
        <v>0</v>
      </c>
      <c r="AH927" s="376">
        <v>0</v>
      </c>
      <c r="AI927" s="376">
        <v>0</v>
      </c>
      <c r="AJ927" s="376">
        <v>0</v>
      </c>
      <c r="AK927" s="374"/>
      <c r="AL927" s="376">
        <v>0</v>
      </c>
      <c r="AM927" s="376">
        <v>0</v>
      </c>
      <c r="AN927" s="376">
        <v>0</v>
      </c>
      <c r="AO927" s="374"/>
      <c r="AP927" s="376">
        <v>0</v>
      </c>
      <c r="AQ927" s="376">
        <v>0</v>
      </c>
      <c r="AR927" s="374"/>
      <c r="AS927" s="376">
        <v>0</v>
      </c>
      <c r="AT927" s="376">
        <v>0</v>
      </c>
      <c r="AU927" s="355" t="s">
        <v>396</v>
      </c>
      <c r="AV927" s="354" t="s">
        <v>345</v>
      </c>
      <c r="AW927" s="355">
        <v>0</v>
      </c>
      <c r="AX927" s="355">
        <v>0</v>
      </c>
      <c r="AY927" s="355">
        <v>0</v>
      </c>
      <c r="AZ927" s="355">
        <v>0</v>
      </c>
      <c r="BA927" s="355">
        <v>0</v>
      </c>
      <c r="BB927" s="355">
        <v>0</v>
      </c>
    </row>
    <row r="928" spans="1:54" x14ac:dyDescent="0.25">
      <c r="A928" s="348" t="s">
        <v>1210</v>
      </c>
      <c r="B928" s="349">
        <v>60</v>
      </c>
      <c r="C928" s="350" t="s">
        <v>1137</v>
      </c>
      <c r="D928" s="351" t="s">
        <v>1207</v>
      </c>
      <c r="E928" s="352">
        <v>6345</v>
      </c>
      <c r="F928" s="352">
        <v>6</v>
      </c>
      <c r="G928" s="351" t="s">
        <v>1208</v>
      </c>
      <c r="H928" s="350" t="s">
        <v>1211</v>
      </c>
      <c r="I928" s="350" t="s">
        <v>393</v>
      </c>
      <c r="J928" s="560">
        <f>10000000-150000</f>
        <v>9850000</v>
      </c>
      <c r="K928" s="350" t="s">
        <v>394</v>
      </c>
      <c r="L928" s="353">
        <v>2801.6</v>
      </c>
      <c r="M928" s="560">
        <f t="shared" ref="M928:M984" si="890">+J928/L928</f>
        <v>3515.8480868075385</v>
      </c>
      <c r="N928" s="354" t="s">
        <v>395</v>
      </c>
      <c r="O928" s="354">
        <v>0</v>
      </c>
      <c r="P928" s="374"/>
      <c r="Q928" s="354">
        <v>0</v>
      </c>
      <c r="R928" s="354">
        <v>0</v>
      </c>
      <c r="S928" s="354">
        <v>0</v>
      </c>
      <c r="T928" s="354">
        <v>0</v>
      </c>
      <c r="U928" s="374"/>
      <c r="V928" s="354">
        <v>0</v>
      </c>
      <c r="W928" s="354">
        <v>0</v>
      </c>
      <c r="X928" s="354">
        <v>0</v>
      </c>
      <c r="Y928" s="374"/>
      <c r="Z928" s="354">
        <v>0</v>
      </c>
      <c r="AA928" s="354">
        <v>0</v>
      </c>
      <c r="AB928" s="374"/>
      <c r="AC928" s="376">
        <v>0</v>
      </c>
      <c r="AD928" s="376">
        <v>0</v>
      </c>
      <c r="AE928" s="376">
        <v>0</v>
      </c>
      <c r="AF928" s="374"/>
      <c r="AG928" s="376">
        <v>0</v>
      </c>
      <c r="AH928" s="376">
        <v>0</v>
      </c>
      <c r="AI928" s="376">
        <v>0</v>
      </c>
      <c r="AJ928" s="376">
        <v>0</v>
      </c>
      <c r="AK928" s="374"/>
      <c r="AL928" s="376">
        <v>0</v>
      </c>
      <c r="AM928" s="376">
        <v>0</v>
      </c>
      <c r="AN928" s="376">
        <v>0</v>
      </c>
      <c r="AO928" s="374"/>
      <c r="AP928" s="376">
        <v>0</v>
      </c>
      <c r="AQ928" s="376">
        <v>0</v>
      </c>
      <c r="AR928" s="374"/>
      <c r="AS928" s="376">
        <v>0</v>
      </c>
      <c r="AT928" s="376">
        <v>0</v>
      </c>
      <c r="AU928" s="355" t="s">
        <v>396</v>
      </c>
      <c r="AV928" s="354" t="s">
        <v>345</v>
      </c>
      <c r="AW928" s="355">
        <v>0</v>
      </c>
      <c r="AX928" s="355">
        <v>0</v>
      </c>
      <c r="AY928" s="355">
        <v>0</v>
      </c>
      <c r="AZ928" s="355">
        <v>0</v>
      </c>
      <c r="BA928" s="355">
        <v>0</v>
      </c>
      <c r="BB928" s="355">
        <v>0</v>
      </c>
    </row>
    <row r="929" spans="1:54" x14ac:dyDescent="0.25">
      <c r="A929" s="348" t="s">
        <v>1212</v>
      </c>
      <c r="B929" s="349">
        <v>60</v>
      </c>
      <c r="C929" s="350" t="s">
        <v>1137</v>
      </c>
      <c r="D929" s="351" t="s">
        <v>1213</v>
      </c>
      <c r="E929" s="352">
        <v>6345</v>
      </c>
      <c r="F929" s="352">
        <v>6</v>
      </c>
      <c r="G929" s="351" t="s">
        <v>1208</v>
      </c>
      <c r="H929" s="350" t="s">
        <v>1211</v>
      </c>
      <c r="I929" s="350" t="s">
        <v>393</v>
      </c>
      <c r="J929" s="560">
        <v>4400000</v>
      </c>
      <c r="K929" s="350" t="s">
        <v>394</v>
      </c>
      <c r="L929" s="353">
        <v>2801.6</v>
      </c>
      <c r="M929" s="560">
        <f t="shared" si="890"/>
        <v>1570.5311250713878</v>
      </c>
      <c r="N929" s="354" t="s">
        <v>395</v>
      </c>
      <c r="O929" s="354">
        <v>0</v>
      </c>
      <c r="P929" s="374"/>
      <c r="Q929" s="354">
        <v>0</v>
      </c>
      <c r="R929" s="354">
        <v>0</v>
      </c>
      <c r="S929" s="354">
        <v>0</v>
      </c>
      <c r="T929" s="354">
        <v>0</v>
      </c>
      <c r="U929" s="374"/>
      <c r="V929" s="354">
        <v>0</v>
      </c>
      <c r="W929" s="354">
        <v>0</v>
      </c>
      <c r="X929" s="354">
        <v>0</v>
      </c>
      <c r="Y929" s="374"/>
      <c r="Z929" s="354">
        <v>0</v>
      </c>
      <c r="AA929" s="354">
        <v>0</v>
      </c>
      <c r="AB929" s="374"/>
      <c r="AC929" s="376">
        <v>0</v>
      </c>
      <c r="AD929" s="376">
        <v>0</v>
      </c>
      <c r="AE929" s="376">
        <v>0</v>
      </c>
      <c r="AF929" s="374"/>
      <c r="AG929" s="376">
        <v>0</v>
      </c>
      <c r="AH929" s="376">
        <v>0</v>
      </c>
      <c r="AI929" s="376">
        <v>0</v>
      </c>
      <c r="AJ929" s="376">
        <v>0</v>
      </c>
      <c r="AK929" s="374"/>
      <c r="AL929" s="376">
        <v>0</v>
      </c>
      <c r="AM929" s="376">
        <v>0</v>
      </c>
      <c r="AN929" s="376">
        <v>0</v>
      </c>
      <c r="AO929" s="374"/>
      <c r="AP929" s="376">
        <v>0</v>
      </c>
      <c r="AQ929" s="376">
        <v>0</v>
      </c>
      <c r="AR929" s="374"/>
      <c r="AS929" s="376">
        <v>0</v>
      </c>
      <c r="AT929" s="376">
        <v>0</v>
      </c>
      <c r="AU929" s="355" t="s">
        <v>396</v>
      </c>
      <c r="AV929" s="354" t="s">
        <v>345</v>
      </c>
      <c r="AW929" s="355">
        <v>0</v>
      </c>
      <c r="AX929" s="355">
        <v>0</v>
      </c>
      <c r="AY929" s="355">
        <v>0</v>
      </c>
      <c r="AZ929" s="355">
        <v>0</v>
      </c>
      <c r="BA929" s="355">
        <v>0</v>
      </c>
      <c r="BB929" s="355">
        <v>0</v>
      </c>
    </row>
    <row r="930" spans="1:54" x14ac:dyDescent="0.25">
      <c r="A930" s="348" t="s">
        <v>1212</v>
      </c>
      <c r="B930" s="349">
        <v>60</v>
      </c>
      <c r="C930" s="350" t="s">
        <v>1137</v>
      </c>
      <c r="D930" s="351" t="s">
        <v>1213</v>
      </c>
      <c r="E930" s="352">
        <v>6345</v>
      </c>
      <c r="F930" s="352">
        <v>6</v>
      </c>
      <c r="G930" s="351" t="s">
        <v>1208</v>
      </c>
      <c r="H930" s="350" t="s">
        <v>1214</v>
      </c>
      <c r="I930" s="350" t="s">
        <v>393</v>
      </c>
      <c r="J930" s="560">
        <v>360000</v>
      </c>
      <c r="K930" s="350" t="s">
        <v>394</v>
      </c>
      <c r="L930" s="353">
        <v>2801.6</v>
      </c>
      <c r="M930" s="560">
        <f t="shared" si="890"/>
        <v>128.49800114220446</v>
      </c>
      <c r="N930" s="354" t="s">
        <v>395</v>
      </c>
      <c r="O930" s="354">
        <v>0</v>
      </c>
      <c r="P930" s="374"/>
      <c r="Q930" s="354">
        <v>0</v>
      </c>
      <c r="R930" s="354">
        <v>0</v>
      </c>
      <c r="S930" s="354">
        <v>0</v>
      </c>
      <c r="T930" s="354">
        <v>0</v>
      </c>
      <c r="U930" s="374"/>
      <c r="V930" s="354">
        <v>0</v>
      </c>
      <c r="W930" s="354">
        <v>0</v>
      </c>
      <c r="X930" s="354">
        <v>0</v>
      </c>
      <c r="Y930" s="374"/>
      <c r="Z930" s="354">
        <v>0</v>
      </c>
      <c r="AA930" s="354">
        <v>0</v>
      </c>
      <c r="AB930" s="374"/>
      <c r="AC930" s="376">
        <v>0</v>
      </c>
      <c r="AD930" s="376">
        <v>0</v>
      </c>
      <c r="AE930" s="376">
        <v>0</v>
      </c>
      <c r="AF930" s="374"/>
      <c r="AG930" s="376">
        <v>0</v>
      </c>
      <c r="AH930" s="376">
        <v>0</v>
      </c>
      <c r="AI930" s="376">
        <v>0</v>
      </c>
      <c r="AJ930" s="376">
        <v>0</v>
      </c>
      <c r="AK930" s="374"/>
      <c r="AL930" s="376">
        <v>0</v>
      </c>
      <c r="AM930" s="376">
        <v>0</v>
      </c>
      <c r="AN930" s="376">
        <v>0</v>
      </c>
      <c r="AO930" s="374"/>
      <c r="AP930" s="376">
        <v>0</v>
      </c>
      <c r="AQ930" s="376">
        <v>0</v>
      </c>
      <c r="AR930" s="374"/>
      <c r="AS930" s="376">
        <v>0</v>
      </c>
      <c r="AT930" s="376">
        <v>0</v>
      </c>
      <c r="AU930" s="355" t="s">
        <v>396</v>
      </c>
      <c r="AV930" s="354" t="s">
        <v>345</v>
      </c>
      <c r="AW930" s="355">
        <v>0</v>
      </c>
      <c r="AX930" s="355">
        <v>0</v>
      </c>
      <c r="AY930" s="355">
        <v>0</v>
      </c>
      <c r="AZ930" s="355">
        <v>0</v>
      </c>
      <c r="BA930" s="355">
        <v>0</v>
      </c>
      <c r="BB930" s="355">
        <v>0</v>
      </c>
    </row>
    <row r="931" spans="1:54" x14ac:dyDescent="0.25">
      <c r="A931" s="348" t="s">
        <v>1212</v>
      </c>
      <c r="B931" s="349">
        <v>60</v>
      </c>
      <c r="C931" s="350" t="s">
        <v>1137</v>
      </c>
      <c r="D931" s="351" t="s">
        <v>1213</v>
      </c>
      <c r="E931" s="352">
        <v>6345</v>
      </c>
      <c r="F931" s="352">
        <v>6</v>
      </c>
      <c r="G931" s="351" t="s">
        <v>1208</v>
      </c>
      <c r="H931" s="350" t="s">
        <v>1215</v>
      </c>
      <c r="I931" s="350" t="s">
        <v>393</v>
      </c>
      <c r="J931" s="560">
        <v>60000</v>
      </c>
      <c r="K931" s="350" t="s">
        <v>394</v>
      </c>
      <c r="L931" s="353">
        <v>2801.6</v>
      </c>
      <c r="M931" s="560">
        <f t="shared" si="890"/>
        <v>21.416333523700743</v>
      </c>
      <c r="N931" s="354" t="s">
        <v>395</v>
      </c>
      <c r="O931" s="354">
        <v>0</v>
      </c>
      <c r="P931" s="374"/>
      <c r="Q931" s="354">
        <v>0</v>
      </c>
      <c r="R931" s="354">
        <v>0</v>
      </c>
      <c r="S931" s="354">
        <v>0</v>
      </c>
      <c r="T931" s="354">
        <v>0</v>
      </c>
      <c r="U931" s="374"/>
      <c r="V931" s="354">
        <v>0</v>
      </c>
      <c r="W931" s="354">
        <v>0</v>
      </c>
      <c r="X931" s="354">
        <v>0</v>
      </c>
      <c r="Y931" s="374"/>
      <c r="Z931" s="354">
        <v>0</v>
      </c>
      <c r="AA931" s="354">
        <v>0</v>
      </c>
      <c r="AB931" s="374"/>
      <c r="AC931" s="376">
        <v>0</v>
      </c>
      <c r="AD931" s="376">
        <v>0</v>
      </c>
      <c r="AE931" s="376">
        <v>0</v>
      </c>
      <c r="AF931" s="374"/>
      <c r="AG931" s="376">
        <v>0</v>
      </c>
      <c r="AH931" s="376">
        <v>0</v>
      </c>
      <c r="AI931" s="376">
        <v>0</v>
      </c>
      <c r="AJ931" s="376">
        <v>0</v>
      </c>
      <c r="AK931" s="374"/>
      <c r="AL931" s="376">
        <v>0</v>
      </c>
      <c r="AM931" s="376">
        <v>0</v>
      </c>
      <c r="AN931" s="376">
        <v>0</v>
      </c>
      <c r="AO931" s="374"/>
      <c r="AP931" s="376">
        <v>0</v>
      </c>
      <c r="AQ931" s="376">
        <v>0</v>
      </c>
      <c r="AR931" s="374"/>
      <c r="AS931" s="376">
        <v>0</v>
      </c>
      <c r="AT931" s="376">
        <v>0</v>
      </c>
      <c r="AU931" s="355" t="s">
        <v>396</v>
      </c>
      <c r="AV931" s="354" t="s">
        <v>345</v>
      </c>
      <c r="AW931" s="355">
        <v>0</v>
      </c>
      <c r="AX931" s="355">
        <v>0</v>
      </c>
      <c r="AY931" s="355">
        <v>0</v>
      </c>
      <c r="AZ931" s="355">
        <v>0</v>
      </c>
      <c r="BA931" s="355">
        <v>0</v>
      </c>
      <c r="BB931" s="355">
        <v>0</v>
      </c>
    </row>
    <row r="932" spans="1:54" x14ac:dyDescent="0.25">
      <c r="A932" s="348" t="s">
        <v>1212</v>
      </c>
      <c r="B932" s="349">
        <v>60</v>
      </c>
      <c r="C932" s="350" t="s">
        <v>1137</v>
      </c>
      <c r="D932" s="351" t="s">
        <v>1213</v>
      </c>
      <c r="E932" s="352">
        <v>6345</v>
      </c>
      <c r="F932" s="352">
        <v>6</v>
      </c>
      <c r="G932" s="351" t="s">
        <v>1208</v>
      </c>
      <c r="H932" s="350" t="s">
        <v>1216</v>
      </c>
      <c r="I932" s="350" t="s">
        <v>393</v>
      </c>
      <c r="J932" s="560">
        <v>30000</v>
      </c>
      <c r="K932" s="350" t="s">
        <v>394</v>
      </c>
      <c r="L932" s="353">
        <v>2801.6</v>
      </c>
      <c r="M932" s="560">
        <f t="shared" si="890"/>
        <v>10.708166761850372</v>
      </c>
      <c r="N932" s="354" t="s">
        <v>395</v>
      </c>
      <c r="O932" s="354">
        <v>0</v>
      </c>
      <c r="P932" s="374"/>
      <c r="Q932" s="354">
        <v>0</v>
      </c>
      <c r="R932" s="354">
        <v>0</v>
      </c>
      <c r="S932" s="354">
        <v>0</v>
      </c>
      <c r="T932" s="354">
        <v>0</v>
      </c>
      <c r="U932" s="374"/>
      <c r="V932" s="354">
        <v>0</v>
      </c>
      <c r="W932" s="354">
        <v>0</v>
      </c>
      <c r="X932" s="354">
        <v>0</v>
      </c>
      <c r="Y932" s="374"/>
      <c r="Z932" s="354">
        <v>0</v>
      </c>
      <c r="AA932" s="354">
        <v>0</v>
      </c>
      <c r="AB932" s="374"/>
      <c r="AC932" s="376">
        <v>0</v>
      </c>
      <c r="AD932" s="376">
        <v>0</v>
      </c>
      <c r="AE932" s="376">
        <v>0</v>
      </c>
      <c r="AF932" s="374"/>
      <c r="AG932" s="376">
        <v>0</v>
      </c>
      <c r="AH932" s="376">
        <v>0</v>
      </c>
      <c r="AI932" s="376">
        <v>0</v>
      </c>
      <c r="AJ932" s="376">
        <v>0</v>
      </c>
      <c r="AK932" s="374"/>
      <c r="AL932" s="376">
        <v>0</v>
      </c>
      <c r="AM932" s="376">
        <v>0</v>
      </c>
      <c r="AN932" s="376">
        <v>0</v>
      </c>
      <c r="AO932" s="374"/>
      <c r="AP932" s="376">
        <v>0</v>
      </c>
      <c r="AQ932" s="376">
        <v>0</v>
      </c>
      <c r="AR932" s="374"/>
      <c r="AS932" s="376">
        <v>0</v>
      </c>
      <c r="AT932" s="376">
        <v>0</v>
      </c>
      <c r="AU932" s="355" t="s">
        <v>396</v>
      </c>
      <c r="AV932" s="354" t="s">
        <v>345</v>
      </c>
      <c r="AW932" s="355">
        <v>0</v>
      </c>
      <c r="AX932" s="355">
        <v>0</v>
      </c>
      <c r="AY932" s="355">
        <v>0</v>
      </c>
      <c r="AZ932" s="355">
        <v>0</v>
      </c>
      <c r="BA932" s="355">
        <v>0</v>
      </c>
      <c r="BB932" s="355">
        <v>0</v>
      </c>
    </row>
    <row r="933" spans="1:54" x14ac:dyDescent="0.25">
      <c r="A933" s="348" t="s">
        <v>1212</v>
      </c>
      <c r="B933" s="349">
        <v>60</v>
      </c>
      <c r="C933" s="350" t="s">
        <v>1137</v>
      </c>
      <c r="D933" s="351" t="s">
        <v>1213</v>
      </c>
      <c r="E933" s="352">
        <v>6345</v>
      </c>
      <c r="F933" s="352">
        <v>6</v>
      </c>
      <c r="G933" s="351" t="s">
        <v>1208</v>
      </c>
      <c r="H933" s="350" t="s">
        <v>1217</v>
      </c>
      <c r="I933" s="350" t="s">
        <v>393</v>
      </c>
      <c r="J933" s="560">
        <v>10000</v>
      </c>
      <c r="K933" s="350" t="s">
        <v>394</v>
      </c>
      <c r="L933" s="353">
        <v>2801.6</v>
      </c>
      <c r="M933" s="560">
        <f t="shared" si="890"/>
        <v>3.5693889206167904</v>
      </c>
      <c r="N933" s="354" t="s">
        <v>395</v>
      </c>
      <c r="O933" s="354">
        <v>0</v>
      </c>
      <c r="P933" s="374"/>
      <c r="Q933" s="354">
        <v>0</v>
      </c>
      <c r="R933" s="354">
        <v>0</v>
      </c>
      <c r="S933" s="354">
        <v>0</v>
      </c>
      <c r="T933" s="354">
        <v>0</v>
      </c>
      <c r="U933" s="374"/>
      <c r="V933" s="354">
        <v>0</v>
      </c>
      <c r="W933" s="354">
        <v>0</v>
      </c>
      <c r="X933" s="354">
        <v>0</v>
      </c>
      <c r="Y933" s="374"/>
      <c r="Z933" s="354">
        <v>0</v>
      </c>
      <c r="AA933" s="354">
        <v>0</v>
      </c>
      <c r="AB933" s="374"/>
      <c r="AC933" s="376">
        <v>0</v>
      </c>
      <c r="AD933" s="376">
        <v>0</v>
      </c>
      <c r="AE933" s="376">
        <v>0</v>
      </c>
      <c r="AF933" s="374"/>
      <c r="AG933" s="376">
        <v>0</v>
      </c>
      <c r="AH933" s="376">
        <v>0</v>
      </c>
      <c r="AI933" s="376">
        <v>0</v>
      </c>
      <c r="AJ933" s="376">
        <v>0</v>
      </c>
      <c r="AK933" s="374"/>
      <c r="AL933" s="376">
        <v>0</v>
      </c>
      <c r="AM933" s="376">
        <v>0</v>
      </c>
      <c r="AN933" s="376">
        <v>0</v>
      </c>
      <c r="AO933" s="374"/>
      <c r="AP933" s="376">
        <v>0</v>
      </c>
      <c r="AQ933" s="376">
        <v>0</v>
      </c>
      <c r="AR933" s="374"/>
      <c r="AS933" s="376">
        <v>0</v>
      </c>
      <c r="AT933" s="376">
        <v>0</v>
      </c>
      <c r="AU933" s="355" t="s">
        <v>396</v>
      </c>
      <c r="AV933" s="354" t="s">
        <v>345</v>
      </c>
      <c r="AW933" s="355">
        <v>0</v>
      </c>
      <c r="AX933" s="355">
        <v>0</v>
      </c>
      <c r="AY933" s="355">
        <v>0</v>
      </c>
      <c r="AZ933" s="355">
        <v>0</v>
      </c>
      <c r="BA933" s="355">
        <v>0</v>
      </c>
      <c r="BB933" s="355">
        <v>0</v>
      </c>
    </row>
    <row r="934" spans="1:54" x14ac:dyDescent="0.25">
      <c r="A934" s="348" t="s">
        <v>1218</v>
      </c>
      <c r="B934" s="353">
        <v>63</v>
      </c>
      <c r="C934" s="350" t="s">
        <v>1137</v>
      </c>
      <c r="D934" s="351" t="s">
        <v>1207</v>
      </c>
      <c r="E934" s="352">
        <v>6345</v>
      </c>
      <c r="F934" s="352">
        <v>6</v>
      </c>
      <c r="G934" s="351" t="s">
        <v>1208</v>
      </c>
      <c r="H934" s="350" t="s">
        <v>1219</v>
      </c>
      <c r="I934" s="350" t="s">
        <v>393</v>
      </c>
      <c r="J934" s="560">
        <v>1440000</v>
      </c>
      <c r="K934" s="350" t="s">
        <v>394</v>
      </c>
      <c r="L934" s="353">
        <v>2801.6</v>
      </c>
      <c r="M934" s="560">
        <f t="shared" si="890"/>
        <v>513.99200456881783</v>
      </c>
      <c r="N934" s="354" t="s">
        <v>395</v>
      </c>
      <c r="O934" s="354">
        <v>0</v>
      </c>
      <c r="P934" s="374"/>
      <c r="Q934" s="354">
        <v>0</v>
      </c>
      <c r="R934" s="354">
        <v>0</v>
      </c>
      <c r="S934" s="354">
        <v>0</v>
      </c>
      <c r="T934" s="354">
        <v>0</v>
      </c>
      <c r="U934" s="374"/>
      <c r="V934" s="354">
        <v>0</v>
      </c>
      <c r="W934" s="354">
        <v>0</v>
      </c>
      <c r="X934" s="354">
        <v>0</v>
      </c>
      <c r="Y934" s="374"/>
      <c r="Z934" s="354">
        <v>0</v>
      </c>
      <c r="AA934" s="354">
        <v>0</v>
      </c>
      <c r="AB934" s="374"/>
      <c r="AC934" s="376">
        <v>0</v>
      </c>
      <c r="AD934" s="376">
        <v>0</v>
      </c>
      <c r="AE934" s="376">
        <v>0</v>
      </c>
      <c r="AF934" s="374"/>
      <c r="AG934" s="376">
        <v>0</v>
      </c>
      <c r="AH934" s="376">
        <v>0</v>
      </c>
      <c r="AI934" s="376">
        <v>0</v>
      </c>
      <c r="AJ934" s="376">
        <v>0</v>
      </c>
      <c r="AK934" s="374"/>
      <c r="AL934" s="376">
        <v>0</v>
      </c>
      <c r="AM934" s="376">
        <v>0</v>
      </c>
      <c r="AN934" s="376">
        <v>0</v>
      </c>
      <c r="AO934" s="374"/>
      <c r="AP934" s="376">
        <v>0</v>
      </c>
      <c r="AQ934" s="376">
        <v>0</v>
      </c>
      <c r="AR934" s="374"/>
      <c r="AS934" s="376">
        <v>0</v>
      </c>
      <c r="AT934" s="376">
        <v>0</v>
      </c>
      <c r="AU934" s="355" t="s">
        <v>396</v>
      </c>
      <c r="AV934" s="354" t="s">
        <v>345</v>
      </c>
      <c r="AW934" s="355">
        <v>0</v>
      </c>
      <c r="AX934" s="355">
        <v>0</v>
      </c>
      <c r="AY934" s="355">
        <v>0</v>
      </c>
      <c r="AZ934" s="355">
        <v>0</v>
      </c>
      <c r="BA934" s="355">
        <v>0</v>
      </c>
      <c r="BB934" s="355">
        <v>0</v>
      </c>
    </row>
    <row r="935" spans="1:54" x14ac:dyDescent="0.25">
      <c r="A935" s="348" t="s">
        <v>1220</v>
      </c>
      <c r="B935" s="353">
        <v>63</v>
      </c>
      <c r="C935" s="350" t="s">
        <v>1137</v>
      </c>
      <c r="D935" s="351" t="s">
        <v>1207</v>
      </c>
      <c r="E935" s="352">
        <v>6345</v>
      </c>
      <c r="F935" s="352">
        <v>6</v>
      </c>
      <c r="G935" s="351" t="s">
        <v>1208</v>
      </c>
      <c r="H935" s="350" t="s">
        <v>1221</v>
      </c>
      <c r="I935" s="350" t="s">
        <v>393</v>
      </c>
      <c r="J935" s="560">
        <v>720000</v>
      </c>
      <c r="K935" s="350" t="s">
        <v>394</v>
      </c>
      <c r="L935" s="353">
        <v>2801.6</v>
      </c>
      <c r="M935" s="560">
        <f t="shared" si="890"/>
        <v>256.99600228440892</v>
      </c>
      <c r="N935" s="354" t="s">
        <v>395</v>
      </c>
      <c r="O935" s="354">
        <v>0</v>
      </c>
      <c r="P935" s="374"/>
      <c r="Q935" s="354">
        <v>0</v>
      </c>
      <c r="R935" s="354">
        <v>0</v>
      </c>
      <c r="S935" s="354">
        <v>0</v>
      </c>
      <c r="T935" s="354">
        <v>0</v>
      </c>
      <c r="U935" s="374"/>
      <c r="V935" s="354">
        <v>0</v>
      </c>
      <c r="W935" s="354">
        <v>0</v>
      </c>
      <c r="X935" s="354">
        <v>0</v>
      </c>
      <c r="Y935" s="374"/>
      <c r="Z935" s="354">
        <v>0</v>
      </c>
      <c r="AA935" s="354">
        <v>0</v>
      </c>
      <c r="AB935" s="374"/>
      <c r="AC935" s="376">
        <v>0</v>
      </c>
      <c r="AD935" s="376">
        <v>0</v>
      </c>
      <c r="AE935" s="376">
        <v>0</v>
      </c>
      <c r="AF935" s="374"/>
      <c r="AG935" s="376">
        <v>0</v>
      </c>
      <c r="AH935" s="376">
        <v>0</v>
      </c>
      <c r="AI935" s="376">
        <v>0</v>
      </c>
      <c r="AJ935" s="376">
        <v>0</v>
      </c>
      <c r="AK935" s="374"/>
      <c r="AL935" s="376">
        <v>0</v>
      </c>
      <c r="AM935" s="376">
        <v>0</v>
      </c>
      <c r="AN935" s="376">
        <v>0</v>
      </c>
      <c r="AO935" s="374"/>
      <c r="AP935" s="376">
        <v>0</v>
      </c>
      <c r="AQ935" s="376">
        <v>0</v>
      </c>
      <c r="AR935" s="374"/>
      <c r="AS935" s="376">
        <v>0</v>
      </c>
      <c r="AT935" s="376">
        <v>0</v>
      </c>
      <c r="AU935" s="355" t="s">
        <v>396</v>
      </c>
      <c r="AV935" s="354" t="s">
        <v>345</v>
      </c>
      <c r="AW935" s="355">
        <v>0</v>
      </c>
      <c r="AX935" s="355">
        <v>0</v>
      </c>
      <c r="AY935" s="355">
        <v>0</v>
      </c>
      <c r="AZ935" s="355">
        <v>0</v>
      </c>
      <c r="BA935" s="355">
        <v>0</v>
      </c>
      <c r="BB935" s="355">
        <v>0</v>
      </c>
    </row>
    <row r="936" spans="1:54" x14ac:dyDescent="0.25">
      <c r="A936" s="348" t="s">
        <v>1222</v>
      </c>
      <c r="B936" s="349">
        <v>69</v>
      </c>
      <c r="C936" s="350" t="s">
        <v>1137</v>
      </c>
      <c r="D936" s="351" t="s">
        <v>1207</v>
      </c>
      <c r="E936" s="352">
        <v>6172</v>
      </c>
      <c r="F936" s="352">
        <v>6</v>
      </c>
      <c r="G936" s="351" t="s">
        <v>1208</v>
      </c>
      <c r="H936" s="350" t="s">
        <v>1168</v>
      </c>
      <c r="I936" s="350" t="s">
        <v>393</v>
      </c>
      <c r="J936" s="560">
        <v>1707750</v>
      </c>
      <c r="K936" s="350" t="s">
        <v>394</v>
      </c>
      <c r="L936" s="353">
        <v>2801.6</v>
      </c>
      <c r="M936" s="560">
        <f t="shared" si="890"/>
        <v>609.56239291833242</v>
      </c>
      <c r="N936" s="354" t="s">
        <v>395</v>
      </c>
      <c r="O936" s="354">
        <v>0</v>
      </c>
      <c r="P936" s="374"/>
      <c r="Q936" s="354">
        <v>0</v>
      </c>
      <c r="R936" s="354">
        <v>0</v>
      </c>
      <c r="S936" s="354">
        <v>0</v>
      </c>
      <c r="T936" s="354">
        <v>0</v>
      </c>
      <c r="U936" s="374"/>
      <c r="V936" s="354">
        <v>0</v>
      </c>
      <c r="W936" s="354">
        <v>0</v>
      </c>
      <c r="X936" s="354">
        <v>0</v>
      </c>
      <c r="Y936" s="374"/>
      <c r="Z936" s="354">
        <v>0</v>
      </c>
      <c r="AA936" s="354">
        <v>0</v>
      </c>
      <c r="AB936" s="374"/>
      <c r="AC936" s="376">
        <v>0</v>
      </c>
      <c r="AD936" s="376">
        <v>0</v>
      </c>
      <c r="AE936" s="376">
        <v>0</v>
      </c>
      <c r="AF936" s="374"/>
      <c r="AG936" s="376">
        <v>0</v>
      </c>
      <c r="AH936" s="376">
        <v>0</v>
      </c>
      <c r="AI936" s="376">
        <v>0</v>
      </c>
      <c r="AJ936" s="376">
        <v>0</v>
      </c>
      <c r="AK936" s="374"/>
      <c r="AL936" s="376">
        <v>0</v>
      </c>
      <c r="AM936" s="376">
        <v>0</v>
      </c>
      <c r="AN936" s="376">
        <v>0</v>
      </c>
      <c r="AO936" s="374"/>
      <c r="AP936" s="376">
        <v>0</v>
      </c>
      <c r="AQ936" s="376">
        <v>0</v>
      </c>
      <c r="AR936" s="374"/>
      <c r="AS936" s="376">
        <v>0</v>
      </c>
      <c r="AT936" s="376">
        <v>0</v>
      </c>
      <c r="AU936" s="355" t="s">
        <v>396</v>
      </c>
      <c r="AV936" s="354" t="s">
        <v>345</v>
      </c>
      <c r="AW936" s="355">
        <v>0</v>
      </c>
      <c r="AX936" s="355">
        <v>0</v>
      </c>
      <c r="AY936" s="355">
        <v>0</v>
      </c>
      <c r="AZ936" s="355">
        <v>0</v>
      </c>
      <c r="BA936" s="355">
        <v>0</v>
      </c>
      <c r="BB936" s="355">
        <v>0</v>
      </c>
    </row>
    <row r="937" spans="1:54" x14ac:dyDescent="0.25">
      <c r="A937" s="348" t="s">
        <v>1223</v>
      </c>
      <c r="B937" s="352">
        <v>79</v>
      </c>
      <c r="C937" s="350" t="s">
        <v>1137</v>
      </c>
      <c r="D937" s="351" t="s">
        <v>1207</v>
      </c>
      <c r="E937" s="352">
        <v>6179</v>
      </c>
      <c r="F937" s="352">
        <v>6</v>
      </c>
      <c r="G937" s="351" t="s">
        <v>1208</v>
      </c>
      <c r="H937" s="350" t="s">
        <v>1224</v>
      </c>
      <c r="I937" s="350" t="s">
        <v>393</v>
      </c>
      <c r="J937" s="560">
        <v>540000</v>
      </c>
      <c r="K937" s="350" t="s">
        <v>394</v>
      </c>
      <c r="L937" s="353">
        <v>2801.6</v>
      </c>
      <c r="M937" s="560">
        <f t="shared" si="890"/>
        <v>192.7470017133067</v>
      </c>
      <c r="N937" s="354" t="s">
        <v>395</v>
      </c>
      <c r="O937" s="354">
        <v>0</v>
      </c>
      <c r="P937" s="374"/>
      <c r="Q937" s="354">
        <v>0</v>
      </c>
      <c r="R937" s="354">
        <v>0</v>
      </c>
      <c r="S937" s="354">
        <v>0</v>
      </c>
      <c r="T937" s="354">
        <v>0</v>
      </c>
      <c r="U937" s="374"/>
      <c r="V937" s="354">
        <v>0</v>
      </c>
      <c r="W937" s="354">
        <v>0</v>
      </c>
      <c r="X937" s="354">
        <v>0</v>
      </c>
      <c r="Y937" s="374"/>
      <c r="Z937" s="354">
        <v>0</v>
      </c>
      <c r="AA937" s="354">
        <v>0</v>
      </c>
      <c r="AB937" s="374"/>
      <c r="AC937" s="376">
        <v>0</v>
      </c>
      <c r="AD937" s="376">
        <v>0</v>
      </c>
      <c r="AE937" s="376">
        <v>0</v>
      </c>
      <c r="AF937" s="374"/>
      <c r="AG937" s="376">
        <v>0</v>
      </c>
      <c r="AH937" s="376">
        <v>0</v>
      </c>
      <c r="AI937" s="376">
        <v>0</v>
      </c>
      <c r="AJ937" s="376">
        <v>0</v>
      </c>
      <c r="AK937" s="374"/>
      <c r="AL937" s="376">
        <v>0</v>
      </c>
      <c r="AM937" s="376">
        <v>0</v>
      </c>
      <c r="AN937" s="376">
        <v>0</v>
      </c>
      <c r="AO937" s="374"/>
      <c r="AP937" s="376">
        <v>0</v>
      </c>
      <c r="AQ937" s="376">
        <v>0</v>
      </c>
      <c r="AR937" s="374"/>
      <c r="AS937" s="376">
        <v>0</v>
      </c>
      <c r="AT937" s="376">
        <v>0</v>
      </c>
      <c r="AU937" s="355" t="s">
        <v>396</v>
      </c>
      <c r="AV937" s="354" t="s">
        <v>345</v>
      </c>
      <c r="AW937" s="355">
        <v>0</v>
      </c>
      <c r="AX937" s="355">
        <v>0</v>
      </c>
      <c r="AY937" s="355">
        <v>0</v>
      </c>
      <c r="AZ937" s="355">
        <v>0</v>
      </c>
      <c r="BA937" s="355">
        <v>0</v>
      </c>
      <c r="BB937" s="355">
        <v>0</v>
      </c>
    </row>
    <row r="938" spans="1:54" x14ac:dyDescent="0.25">
      <c r="A938" s="348" t="s">
        <v>1223</v>
      </c>
      <c r="B938" s="352">
        <v>79</v>
      </c>
      <c r="C938" s="350" t="s">
        <v>1137</v>
      </c>
      <c r="D938" s="351" t="s">
        <v>1207</v>
      </c>
      <c r="E938" s="352">
        <v>6179</v>
      </c>
      <c r="F938" s="352">
        <v>6</v>
      </c>
      <c r="G938" s="351" t="s">
        <v>1208</v>
      </c>
      <c r="H938" s="350" t="s">
        <v>1225</v>
      </c>
      <c r="I938" s="350" t="s">
        <v>393</v>
      </c>
      <c r="J938" s="560">
        <v>180000</v>
      </c>
      <c r="K938" s="350" t="s">
        <v>394</v>
      </c>
      <c r="L938" s="353">
        <v>2801.6</v>
      </c>
      <c r="M938" s="560">
        <f t="shared" si="890"/>
        <v>64.249000571102229</v>
      </c>
      <c r="N938" s="354" t="s">
        <v>395</v>
      </c>
      <c r="O938" s="354">
        <v>0</v>
      </c>
      <c r="P938" s="374"/>
      <c r="Q938" s="354">
        <v>0</v>
      </c>
      <c r="R938" s="354">
        <v>0</v>
      </c>
      <c r="S938" s="354">
        <v>0</v>
      </c>
      <c r="T938" s="354">
        <v>0</v>
      </c>
      <c r="U938" s="374"/>
      <c r="V938" s="354">
        <v>0</v>
      </c>
      <c r="W938" s="354">
        <v>0</v>
      </c>
      <c r="X938" s="354">
        <v>0</v>
      </c>
      <c r="Y938" s="374"/>
      <c r="Z938" s="354">
        <v>0</v>
      </c>
      <c r="AA938" s="354">
        <v>0</v>
      </c>
      <c r="AB938" s="374"/>
      <c r="AC938" s="376">
        <v>0</v>
      </c>
      <c r="AD938" s="376">
        <v>0</v>
      </c>
      <c r="AE938" s="376">
        <v>0</v>
      </c>
      <c r="AF938" s="374"/>
      <c r="AG938" s="376">
        <v>0</v>
      </c>
      <c r="AH938" s="376">
        <v>0</v>
      </c>
      <c r="AI938" s="376">
        <v>0</v>
      </c>
      <c r="AJ938" s="376">
        <v>0</v>
      </c>
      <c r="AK938" s="374"/>
      <c r="AL938" s="376">
        <v>0</v>
      </c>
      <c r="AM938" s="376">
        <v>0</v>
      </c>
      <c r="AN938" s="376">
        <v>0</v>
      </c>
      <c r="AO938" s="374"/>
      <c r="AP938" s="376">
        <v>0</v>
      </c>
      <c r="AQ938" s="376">
        <v>0</v>
      </c>
      <c r="AR938" s="374"/>
      <c r="AS938" s="376">
        <v>0</v>
      </c>
      <c r="AT938" s="376">
        <v>0</v>
      </c>
      <c r="AU938" s="355" t="s">
        <v>396</v>
      </c>
      <c r="AV938" s="354" t="s">
        <v>345</v>
      </c>
      <c r="AW938" s="355">
        <v>0</v>
      </c>
      <c r="AX938" s="355">
        <v>0</v>
      </c>
      <c r="AY938" s="355">
        <v>0</v>
      </c>
      <c r="AZ938" s="355">
        <v>0</v>
      </c>
      <c r="BA938" s="355">
        <v>0</v>
      </c>
      <c r="BB938" s="355">
        <v>0</v>
      </c>
    </row>
    <row r="939" spans="1:54" x14ac:dyDescent="0.25">
      <c r="A939" s="348" t="s">
        <v>1223</v>
      </c>
      <c r="B939" s="352">
        <v>79</v>
      </c>
      <c r="C939" s="350" t="s">
        <v>1137</v>
      </c>
      <c r="D939" s="351" t="s">
        <v>1207</v>
      </c>
      <c r="E939" s="352">
        <v>6179</v>
      </c>
      <c r="F939" s="352">
        <v>6</v>
      </c>
      <c r="G939" s="351" t="s">
        <v>1208</v>
      </c>
      <c r="H939" s="350" t="s">
        <v>1226</v>
      </c>
      <c r="I939" s="350" t="s">
        <v>393</v>
      </c>
      <c r="J939" s="560">
        <v>90000</v>
      </c>
      <c r="K939" s="350" t="s">
        <v>394</v>
      </c>
      <c r="L939" s="353">
        <v>2801.6</v>
      </c>
      <c r="M939" s="560">
        <f t="shared" si="890"/>
        <v>32.124500285551115</v>
      </c>
      <c r="N939" s="354" t="s">
        <v>395</v>
      </c>
      <c r="O939" s="354">
        <v>0</v>
      </c>
      <c r="P939" s="374"/>
      <c r="Q939" s="354">
        <v>0</v>
      </c>
      <c r="R939" s="354">
        <v>0</v>
      </c>
      <c r="S939" s="354">
        <v>0</v>
      </c>
      <c r="T939" s="354">
        <v>0</v>
      </c>
      <c r="U939" s="374"/>
      <c r="V939" s="354">
        <v>0</v>
      </c>
      <c r="W939" s="354">
        <v>0</v>
      </c>
      <c r="X939" s="354">
        <v>0</v>
      </c>
      <c r="Y939" s="374"/>
      <c r="Z939" s="354">
        <v>0</v>
      </c>
      <c r="AA939" s="354">
        <v>0</v>
      </c>
      <c r="AB939" s="374"/>
      <c r="AC939" s="376">
        <v>0</v>
      </c>
      <c r="AD939" s="376">
        <v>0</v>
      </c>
      <c r="AE939" s="376">
        <v>0</v>
      </c>
      <c r="AF939" s="374"/>
      <c r="AG939" s="376">
        <v>0</v>
      </c>
      <c r="AH939" s="376">
        <v>0</v>
      </c>
      <c r="AI939" s="376">
        <v>0</v>
      </c>
      <c r="AJ939" s="376">
        <v>0</v>
      </c>
      <c r="AK939" s="374"/>
      <c r="AL939" s="376">
        <v>0</v>
      </c>
      <c r="AM939" s="376">
        <v>0</v>
      </c>
      <c r="AN939" s="376">
        <v>0</v>
      </c>
      <c r="AO939" s="374"/>
      <c r="AP939" s="376">
        <v>0</v>
      </c>
      <c r="AQ939" s="376">
        <v>0</v>
      </c>
      <c r="AR939" s="374"/>
      <c r="AS939" s="376">
        <v>0</v>
      </c>
      <c r="AT939" s="376">
        <v>0</v>
      </c>
      <c r="AU939" s="355" t="s">
        <v>396</v>
      </c>
      <c r="AV939" s="354" t="s">
        <v>345</v>
      </c>
      <c r="AW939" s="355">
        <v>0</v>
      </c>
      <c r="AX939" s="355">
        <v>0</v>
      </c>
      <c r="AY939" s="355">
        <v>0</v>
      </c>
      <c r="AZ939" s="355">
        <v>0</v>
      </c>
      <c r="BA939" s="355">
        <v>0</v>
      </c>
      <c r="BB939" s="355">
        <v>0</v>
      </c>
    </row>
    <row r="940" spans="1:54" x14ac:dyDescent="0.25">
      <c r="A940" s="348" t="s">
        <v>1223</v>
      </c>
      <c r="B940" s="352">
        <v>79</v>
      </c>
      <c r="C940" s="350" t="s">
        <v>1137</v>
      </c>
      <c r="D940" s="351" t="s">
        <v>1207</v>
      </c>
      <c r="E940" s="352">
        <v>6179</v>
      </c>
      <c r="F940" s="352">
        <v>6</v>
      </c>
      <c r="G940" s="351" t="s">
        <v>1208</v>
      </c>
      <c r="H940" s="350" t="s">
        <v>1227</v>
      </c>
      <c r="I940" s="350" t="s">
        <v>393</v>
      </c>
      <c r="J940" s="560">
        <v>30000</v>
      </c>
      <c r="K940" s="350" t="s">
        <v>394</v>
      </c>
      <c r="L940" s="353">
        <v>2801.6</v>
      </c>
      <c r="M940" s="560">
        <f t="shared" si="890"/>
        <v>10.708166761850372</v>
      </c>
      <c r="N940" s="354" t="s">
        <v>395</v>
      </c>
      <c r="O940" s="354">
        <v>0</v>
      </c>
      <c r="P940" s="374"/>
      <c r="Q940" s="354">
        <v>0</v>
      </c>
      <c r="R940" s="354">
        <v>0</v>
      </c>
      <c r="S940" s="354">
        <v>0</v>
      </c>
      <c r="T940" s="354">
        <v>0</v>
      </c>
      <c r="U940" s="374"/>
      <c r="V940" s="354">
        <v>0</v>
      </c>
      <c r="W940" s="354">
        <v>0</v>
      </c>
      <c r="X940" s="354">
        <v>0</v>
      </c>
      <c r="Y940" s="374"/>
      <c r="Z940" s="354">
        <v>0</v>
      </c>
      <c r="AA940" s="354">
        <v>0</v>
      </c>
      <c r="AB940" s="374"/>
      <c r="AC940" s="376">
        <v>0</v>
      </c>
      <c r="AD940" s="376">
        <v>0</v>
      </c>
      <c r="AE940" s="376">
        <v>0</v>
      </c>
      <c r="AF940" s="374"/>
      <c r="AG940" s="376">
        <v>0</v>
      </c>
      <c r="AH940" s="376">
        <v>0</v>
      </c>
      <c r="AI940" s="376">
        <v>0</v>
      </c>
      <c r="AJ940" s="376">
        <v>0</v>
      </c>
      <c r="AK940" s="374"/>
      <c r="AL940" s="376">
        <v>0</v>
      </c>
      <c r="AM940" s="376">
        <v>0</v>
      </c>
      <c r="AN940" s="376">
        <v>0</v>
      </c>
      <c r="AO940" s="374"/>
      <c r="AP940" s="376">
        <v>0</v>
      </c>
      <c r="AQ940" s="376">
        <v>0</v>
      </c>
      <c r="AR940" s="374"/>
      <c r="AS940" s="376">
        <v>0</v>
      </c>
      <c r="AT940" s="376">
        <v>0</v>
      </c>
      <c r="AU940" s="355" t="s">
        <v>396</v>
      </c>
      <c r="AV940" s="354" t="s">
        <v>345</v>
      </c>
      <c r="AW940" s="355">
        <v>0</v>
      </c>
      <c r="AX940" s="355">
        <v>0</v>
      </c>
      <c r="AY940" s="355">
        <v>0</v>
      </c>
      <c r="AZ940" s="355">
        <v>0</v>
      </c>
      <c r="BA940" s="355">
        <v>0</v>
      </c>
      <c r="BB940" s="355">
        <v>0</v>
      </c>
    </row>
    <row r="941" spans="1:54" x14ac:dyDescent="0.25">
      <c r="A941" s="348" t="s">
        <v>1223</v>
      </c>
      <c r="B941" s="352">
        <v>79</v>
      </c>
      <c r="C941" s="350" t="s">
        <v>1137</v>
      </c>
      <c r="D941" s="351" t="s">
        <v>1207</v>
      </c>
      <c r="E941" s="352">
        <v>6179</v>
      </c>
      <c r="F941" s="352">
        <v>6</v>
      </c>
      <c r="G941" s="351" t="s">
        <v>1208</v>
      </c>
      <c r="H941" s="350" t="s">
        <v>1228</v>
      </c>
      <c r="I941" s="350" t="s">
        <v>393</v>
      </c>
      <c r="J941" s="560">
        <v>108000</v>
      </c>
      <c r="K941" s="350" t="s">
        <v>394</v>
      </c>
      <c r="L941" s="353">
        <v>2801.6</v>
      </c>
      <c r="M941" s="560">
        <f t="shared" si="890"/>
        <v>38.549400342661336</v>
      </c>
      <c r="N941" s="354" t="s">
        <v>395</v>
      </c>
      <c r="O941" s="354">
        <v>0</v>
      </c>
      <c r="P941" s="374"/>
      <c r="Q941" s="354">
        <v>0</v>
      </c>
      <c r="R941" s="354">
        <v>0</v>
      </c>
      <c r="S941" s="354">
        <v>0</v>
      </c>
      <c r="T941" s="354">
        <v>0</v>
      </c>
      <c r="U941" s="374"/>
      <c r="V941" s="354">
        <v>0</v>
      </c>
      <c r="W941" s="354">
        <v>0</v>
      </c>
      <c r="X941" s="354">
        <v>0</v>
      </c>
      <c r="Y941" s="374"/>
      <c r="Z941" s="354">
        <v>0</v>
      </c>
      <c r="AA941" s="354">
        <v>0</v>
      </c>
      <c r="AB941" s="374"/>
      <c r="AC941" s="376">
        <v>0</v>
      </c>
      <c r="AD941" s="376">
        <v>0</v>
      </c>
      <c r="AE941" s="376">
        <v>0</v>
      </c>
      <c r="AF941" s="374"/>
      <c r="AG941" s="376">
        <v>0</v>
      </c>
      <c r="AH941" s="376">
        <v>0</v>
      </c>
      <c r="AI941" s="376">
        <v>0</v>
      </c>
      <c r="AJ941" s="376">
        <v>0</v>
      </c>
      <c r="AK941" s="374"/>
      <c r="AL941" s="376">
        <v>0</v>
      </c>
      <c r="AM941" s="376">
        <v>0</v>
      </c>
      <c r="AN941" s="376">
        <v>0</v>
      </c>
      <c r="AO941" s="374"/>
      <c r="AP941" s="376">
        <v>0</v>
      </c>
      <c r="AQ941" s="376">
        <v>0</v>
      </c>
      <c r="AR941" s="374"/>
      <c r="AS941" s="376">
        <v>0</v>
      </c>
      <c r="AT941" s="376">
        <v>0</v>
      </c>
      <c r="AU941" s="355" t="s">
        <v>396</v>
      </c>
      <c r="AV941" s="354" t="s">
        <v>345</v>
      </c>
      <c r="AW941" s="355">
        <v>0</v>
      </c>
      <c r="AX941" s="355">
        <v>0</v>
      </c>
      <c r="AY941" s="355">
        <v>0</v>
      </c>
      <c r="AZ941" s="355">
        <v>0</v>
      </c>
      <c r="BA941" s="355">
        <v>0</v>
      </c>
      <c r="BB941" s="355">
        <v>0</v>
      </c>
    </row>
    <row r="942" spans="1:54" x14ac:dyDescent="0.25">
      <c r="A942" s="348" t="s">
        <v>1223</v>
      </c>
      <c r="B942" s="352">
        <v>79</v>
      </c>
      <c r="C942" s="350" t="s">
        <v>1137</v>
      </c>
      <c r="D942" s="351" t="s">
        <v>1207</v>
      </c>
      <c r="E942" s="352">
        <v>6179</v>
      </c>
      <c r="F942" s="352">
        <v>6</v>
      </c>
      <c r="G942" s="351" t="s">
        <v>1208</v>
      </c>
      <c r="H942" s="350" t="s">
        <v>1229</v>
      </c>
      <c r="I942" s="350" t="s">
        <v>393</v>
      </c>
      <c r="J942" s="560">
        <v>22000</v>
      </c>
      <c r="K942" s="350" t="s">
        <v>394</v>
      </c>
      <c r="L942" s="353">
        <v>2801.6</v>
      </c>
      <c r="M942" s="560">
        <f t="shared" si="890"/>
        <v>7.8526556253569391</v>
      </c>
      <c r="N942" s="354" t="s">
        <v>395</v>
      </c>
      <c r="O942" s="354">
        <v>0</v>
      </c>
      <c r="P942" s="374"/>
      <c r="Q942" s="354">
        <v>0</v>
      </c>
      <c r="R942" s="354">
        <v>0</v>
      </c>
      <c r="S942" s="354">
        <v>0</v>
      </c>
      <c r="T942" s="354">
        <v>0</v>
      </c>
      <c r="U942" s="374"/>
      <c r="V942" s="354">
        <v>0</v>
      </c>
      <c r="W942" s="354">
        <v>0</v>
      </c>
      <c r="X942" s="354">
        <v>0</v>
      </c>
      <c r="Y942" s="374"/>
      <c r="Z942" s="354">
        <v>0</v>
      </c>
      <c r="AA942" s="354">
        <v>0</v>
      </c>
      <c r="AB942" s="374"/>
      <c r="AC942" s="376">
        <v>0</v>
      </c>
      <c r="AD942" s="376">
        <v>0</v>
      </c>
      <c r="AE942" s="376">
        <v>0</v>
      </c>
      <c r="AF942" s="374"/>
      <c r="AG942" s="376">
        <v>0</v>
      </c>
      <c r="AH942" s="376">
        <v>0</v>
      </c>
      <c r="AI942" s="376">
        <v>0</v>
      </c>
      <c r="AJ942" s="376">
        <v>0</v>
      </c>
      <c r="AK942" s="374"/>
      <c r="AL942" s="376">
        <v>0</v>
      </c>
      <c r="AM942" s="376">
        <v>0</v>
      </c>
      <c r="AN942" s="376">
        <v>0</v>
      </c>
      <c r="AO942" s="374"/>
      <c r="AP942" s="376">
        <v>0</v>
      </c>
      <c r="AQ942" s="376">
        <v>0</v>
      </c>
      <c r="AR942" s="374"/>
      <c r="AS942" s="376">
        <v>0</v>
      </c>
      <c r="AT942" s="376">
        <v>0</v>
      </c>
      <c r="AU942" s="355" t="s">
        <v>396</v>
      </c>
      <c r="AV942" s="354" t="s">
        <v>345</v>
      </c>
      <c r="AW942" s="355">
        <v>0</v>
      </c>
      <c r="AX942" s="355">
        <v>0</v>
      </c>
      <c r="AY942" s="355">
        <v>0</v>
      </c>
      <c r="AZ942" s="355">
        <v>0</v>
      </c>
      <c r="BA942" s="355">
        <v>0</v>
      </c>
      <c r="BB942" s="355">
        <v>0</v>
      </c>
    </row>
    <row r="943" spans="1:54" x14ac:dyDescent="0.25">
      <c r="A943" s="348" t="s">
        <v>1230</v>
      </c>
      <c r="B943" s="349">
        <v>71</v>
      </c>
      <c r="C943" s="350" t="s">
        <v>1137</v>
      </c>
      <c r="D943" s="351" t="s">
        <v>1231</v>
      </c>
      <c r="E943" s="352">
        <v>6311</v>
      </c>
      <c r="F943" s="352">
        <v>6</v>
      </c>
      <c r="G943" s="351" t="s">
        <v>1208</v>
      </c>
      <c r="H943" s="350" t="s">
        <v>1232</v>
      </c>
      <c r="I943" s="350" t="s">
        <v>393</v>
      </c>
      <c r="J943" s="560">
        <v>150000</v>
      </c>
      <c r="K943" s="350" t="s">
        <v>394</v>
      </c>
      <c r="L943" s="353">
        <v>2801.6</v>
      </c>
      <c r="M943" s="560">
        <f t="shared" si="890"/>
        <v>53.540833809251858</v>
      </c>
      <c r="N943" s="354" t="s">
        <v>395</v>
      </c>
      <c r="O943" s="354">
        <v>0</v>
      </c>
      <c r="P943" s="374"/>
      <c r="Q943" s="354">
        <v>0</v>
      </c>
      <c r="R943" s="354">
        <v>0</v>
      </c>
      <c r="S943" s="354">
        <v>0</v>
      </c>
      <c r="T943" s="354">
        <v>0</v>
      </c>
      <c r="U943" s="374"/>
      <c r="V943" s="354">
        <v>0</v>
      </c>
      <c r="W943" s="354">
        <v>0</v>
      </c>
      <c r="X943" s="354">
        <v>0</v>
      </c>
      <c r="Y943" s="374"/>
      <c r="Z943" s="354">
        <v>0</v>
      </c>
      <c r="AA943" s="354">
        <v>0</v>
      </c>
      <c r="AB943" s="374"/>
      <c r="AC943" s="376">
        <v>0</v>
      </c>
      <c r="AD943" s="376">
        <v>0</v>
      </c>
      <c r="AE943" s="376">
        <v>0</v>
      </c>
      <c r="AF943" s="374"/>
      <c r="AG943" s="376">
        <v>0</v>
      </c>
      <c r="AH943" s="376">
        <v>0</v>
      </c>
      <c r="AI943" s="376">
        <v>0</v>
      </c>
      <c r="AJ943" s="376">
        <v>0</v>
      </c>
      <c r="AK943" s="374"/>
      <c r="AL943" s="376">
        <v>0</v>
      </c>
      <c r="AM943" s="376">
        <v>0</v>
      </c>
      <c r="AN943" s="376">
        <v>0</v>
      </c>
      <c r="AO943" s="374"/>
      <c r="AP943" s="376">
        <v>0</v>
      </c>
      <c r="AQ943" s="376">
        <v>0</v>
      </c>
      <c r="AR943" s="374"/>
      <c r="AS943" s="376">
        <v>0</v>
      </c>
      <c r="AT943" s="376">
        <v>0</v>
      </c>
      <c r="AU943" s="355" t="s">
        <v>396</v>
      </c>
      <c r="AV943" s="354" t="s">
        <v>345</v>
      </c>
      <c r="AW943" s="355">
        <v>0</v>
      </c>
      <c r="AX943" s="355">
        <v>0</v>
      </c>
      <c r="AY943" s="355">
        <v>0</v>
      </c>
      <c r="AZ943" s="355">
        <v>0</v>
      </c>
      <c r="BA943" s="355">
        <v>0</v>
      </c>
      <c r="BB943" s="355">
        <v>0</v>
      </c>
    </row>
    <row r="944" spans="1:54" x14ac:dyDescent="0.25">
      <c r="A944" s="348" t="s">
        <v>1230</v>
      </c>
      <c r="B944" s="349">
        <v>71</v>
      </c>
      <c r="C944" s="350" t="s">
        <v>1137</v>
      </c>
      <c r="D944" s="351" t="s">
        <v>1231</v>
      </c>
      <c r="E944" s="352">
        <v>6349</v>
      </c>
      <c r="F944" s="352">
        <v>6</v>
      </c>
      <c r="G944" s="351" t="s">
        <v>1208</v>
      </c>
      <c r="H944" s="350" t="s">
        <v>1233</v>
      </c>
      <c r="I944" s="350" t="s">
        <v>393</v>
      </c>
      <c r="J944" s="560">
        <v>124000</v>
      </c>
      <c r="K944" s="350" t="s">
        <v>394</v>
      </c>
      <c r="L944" s="353">
        <v>2801.6</v>
      </c>
      <c r="M944" s="560">
        <f t="shared" si="890"/>
        <v>44.260422615648203</v>
      </c>
      <c r="N944" s="354" t="s">
        <v>395</v>
      </c>
      <c r="O944" s="354">
        <v>0</v>
      </c>
      <c r="P944" s="374"/>
      <c r="Q944" s="354">
        <v>0</v>
      </c>
      <c r="R944" s="354">
        <v>0</v>
      </c>
      <c r="S944" s="354">
        <v>0</v>
      </c>
      <c r="T944" s="354">
        <v>0</v>
      </c>
      <c r="U944" s="374"/>
      <c r="V944" s="354">
        <v>0</v>
      </c>
      <c r="W944" s="354">
        <v>0</v>
      </c>
      <c r="X944" s="354">
        <v>0</v>
      </c>
      <c r="Y944" s="374"/>
      <c r="Z944" s="354">
        <v>0</v>
      </c>
      <c r="AA944" s="354">
        <v>0</v>
      </c>
      <c r="AB944" s="374"/>
      <c r="AC944" s="376">
        <v>0</v>
      </c>
      <c r="AD944" s="376">
        <v>0</v>
      </c>
      <c r="AE944" s="376">
        <v>0</v>
      </c>
      <c r="AF944" s="374"/>
      <c r="AG944" s="376">
        <v>0</v>
      </c>
      <c r="AH944" s="376">
        <v>0</v>
      </c>
      <c r="AI944" s="376">
        <v>0</v>
      </c>
      <c r="AJ944" s="376">
        <v>0</v>
      </c>
      <c r="AK944" s="374"/>
      <c r="AL944" s="376">
        <v>0</v>
      </c>
      <c r="AM944" s="376">
        <v>0</v>
      </c>
      <c r="AN944" s="376">
        <v>0</v>
      </c>
      <c r="AO944" s="374"/>
      <c r="AP944" s="376">
        <v>0</v>
      </c>
      <c r="AQ944" s="376">
        <v>0</v>
      </c>
      <c r="AR944" s="374"/>
      <c r="AS944" s="376">
        <v>0</v>
      </c>
      <c r="AT944" s="376">
        <v>0</v>
      </c>
      <c r="AU944" s="355" t="s">
        <v>396</v>
      </c>
      <c r="AV944" s="354" t="s">
        <v>345</v>
      </c>
      <c r="AW944" s="355">
        <v>0</v>
      </c>
      <c r="AX944" s="355">
        <v>0</v>
      </c>
      <c r="AY944" s="355">
        <v>0</v>
      </c>
      <c r="AZ944" s="355">
        <v>0</v>
      </c>
      <c r="BA944" s="355">
        <v>0</v>
      </c>
      <c r="BB944" s="355">
        <v>0</v>
      </c>
    </row>
    <row r="945" spans="1:54" x14ac:dyDescent="0.25">
      <c r="A945" s="348" t="s">
        <v>1230</v>
      </c>
      <c r="B945" s="349">
        <v>71</v>
      </c>
      <c r="C945" s="350" t="s">
        <v>1137</v>
      </c>
      <c r="D945" s="351" t="s">
        <v>1231</v>
      </c>
      <c r="E945" s="352">
        <v>6349</v>
      </c>
      <c r="F945" s="352">
        <v>6</v>
      </c>
      <c r="G945" s="351" t="s">
        <v>1208</v>
      </c>
      <c r="H945" s="350" t="s">
        <v>1016</v>
      </c>
      <c r="I945" s="350" t="s">
        <v>393</v>
      </c>
      <c r="J945" s="560">
        <v>558000</v>
      </c>
      <c r="K945" s="350" t="s">
        <v>394</v>
      </c>
      <c r="L945" s="353">
        <v>2801.6</v>
      </c>
      <c r="M945" s="560">
        <f t="shared" si="890"/>
        <v>199.17190177041692</v>
      </c>
      <c r="N945" s="354" t="s">
        <v>395</v>
      </c>
      <c r="O945" s="354">
        <v>0</v>
      </c>
      <c r="P945" s="374"/>
      <c r="Q945" s="354">
        <v>0</v>
      </c>
      <c r="R945" s="354">
        <v>0</v>
      </c>
      <c r="S945" s="354">
        <v>0</v>
      </c>
      <c r="T945" s="354">
        <v>0</v>
      </c>
      <c r="U945" s="374"/>
      <c r="V945" s="354">
        <v>0</v>
      </c>
      <c r="W945" s="354">
        <v>0</v>
      </c>
      <c r="X945" s="354">
        <v>0</v>
      </c>
      <c r="Y945" s="374"/>
      <c r="Z945" s="354">
        <v>0</v>
      </c>
      <c r="AA945" s="354">
        <v>0</v>
      </c>
      <c r="AB945" s="374"/>
      <c r="AC945" s="376">
        <v>0</v>
      </c>
      <c r="AD945" s="376">
        <v>0</v>
      </c>
      <c r="AE945" s="376">
        <v>0</v>
      </c>
      <c r="AF945" s="374"/>
      <c r="AG945" s="376">
        <v>0</v>
      </c>
      <c r="AH945" s="376">
        <v>0</v>
      </c>
      <c r="AI945" s="376">
        <v>0</v>
      </c>
      <c r="AJ945" s="376">
        <v>0</v>
      </c>
      <c r="AK945" s="374"/>
      <c r="AL945" s="376">
        <v>0</v>
      </c>
      <c r="AM945" s="376">
        <v>0</v>
      </c>
      <c r="AN945" s="376">
        <v>0</v>
      </c>
      <c r="AO945" s="374"/>
      <c r="AP945" s="376">
        <v>0</v>
      </c>
      <c r="AQ945" s="376">
        <v>0</v>
      </c>
      <c r="AR945" s="374"/>
      <c r="AS945" s="376">
        <v>0</v>
      </c>
      <c r="AT945" s="376">
        <v>0</v>
      </c>
      <c r="AU945" s="355" t="s">
        <v>396</v>
      </c>
      <c r="AV945" s="354" t="s">
        <v>345</v>
      </c>
      <c r="AW945" s="355">
        <v>0</v>
      </c>
      <c r="AX945" s="355">
        <v>0</v>
      </c>
      <c r="AY945" s="355">
        <v>0</v>
      </c>
      <c r="AZ945" s="355">
        <v>0</v>
      </c>
      <c r="BA945" s="355">
        <v>0</v>
      </c>
      <c r="BB945" s="355">
        <v>0</v>
      </c>
    </row>
    <row r="946" spans="1:54" x14ac:dyDescent="0.25">
      <c r="A946" s="348" t="s">
        <v>1230</v>
      </c>
      <c r="B946" s="349">
        <v>71</v>
      </c>
      <c r="C946" s="350" t="s">
        <v>1137</v>
      </c>
      <c r="D946" s="351" t="s">
        <v>1231</v>
      </c>
      <c r="E946" s="352">
        <v>6349</v>
      </c>
      <c r="F946" s="352">
        <v>6</v>
      </c>
      <c r="G946" s="351" t="s">
        <v>1208</v>
      </c>
      <c r="H946" s="350" t="s">
        <v>1234</v>
      </c>
      <c r="I946" s="350" t="s">
        <v>393</v>
      </c>
      <c r="J946" s="560">
        <v>1736000</v>
      </c>
      <c r="K946" s="350" t="s">
        <v>394</v>
      </c>
      <c r="L946" s="353">
        <v>2801.6</v>
      </c>
      <c r="M946" s="560">
        <f t="shared" si="890"/>
        <v>619.6459166190748</v>
      </c>
      <c r="N946" s="354" t="s">
        <v>395</v>
      </c>
      <c r="O946" s="354">
        <v>0</v>
      </c>
      <c r="P946" s="374"/>
      <c r="Q946" s="354">
        <v>0</v>
      </c>
      <c r="R946" s="354">
        <v>0</v>
      </c>
      <c r="S946" s="354">
        <v>0</v>
      </c>
      <c r="T946" s="354">
        <v>0</v>
      </c>
      <c r="U946" s="374"/>
      <c r="V946" s="354">
        <v>0</v>
      </c>
      <c r="W946" s="354">
        <v>0</v>
      </c>
      <c r="X946" s="354">
        <v>0</v>
      </c>
      <c r="Y946" s="374"/>
      <c r="Z946" s="354">
        <v>0</v>
      </c>
      <c r="AA946" s="354">
        <v>0</v>
      </c>
      <c r="AB946" s="374"/>
      <c r="AC946" s="376">
        <v>0</v>
      </c>
      <c r="AD946" s="376">
        <v>0</v>
      </c>
      <c r="AE946" s="376">
        <v>0</v>
      </c>
      <c r="AF946" s="374"/>
      <c r="AG946" s="376">
        <v>0</v>
      </c>
      <c r="AH946" s="376">
        <v>0</v>
      </c>
      <c r="AI946" s="376">
        <v>0</v>
      </c>
      <c r="AJ946" s="376">
        <v>0</v>
      </c>
      <c r="AK946" s="374"/>
      <c r="AL946" s="376">
        <v>0</v>
      </c>
      <c r="AM946" s="376">
        <v>0</v>
      </c>
      <c r="AN946" s="376">
        <v>0</v>
      </c>
      <c r="AO946" s="374"/>
      <c r="AP946" s="376">
        <v>0</v>
      </c>
      <c r="AQ946" s="376">
        <v>0</v>
      </c>
      <c r="AR946" s="374"/>
      <c r="AS946" s="376">
        <v>0</v>
      </c>
      <c r="AT946" s="376">
        <v>0</v>
      </c>
      <c r="AU946" s="355" t="s">
        <v>396</v>
      </c>
      <c r="AV946" s="354" t="s">
        <v>345</v>
      </c>
      <c r="AW946" s="355">
        <v>0</v>
      </c>
      <c r="AX946" s="355">
        <v>0</v>
      </c>
      <c r="AY946" s="355">
        <v>0</v>
      </c>
      <c r="AZ946" s="355">
        <v>0</v>
      </c>
      <c r="BA946" s="355">
        <v>0</v>
      </c>
      <c r="BB946" s="355">
        <v>0</v>
      </c>
    </row>
    <row r="947" spans="1:54" x14ac:dyDescent="0.25">
      <c r="A947" s="348" t="s">
        <v>1235</v>
      </c>
      <c r="B947" s="353">
        <v>81</v>
      </c>
      <c r="C947" s="350" t="s">
        <v>1137</v>
      </c>
      <c r="D947" s="351" t="s">
        <v>1231</v>
      </c>
      <c r="E947" s="352">
        <v>6311</v>
      </c>
      <c r="F947" s="352">
        <v>6</v>
      </c>
      <c r="G947" s="351" t="s">
        <v>1208</v>
      </c>
      <c r="H947" s="350" t="s">
        <v>1232</v>
      </c>
      <c r="I947" s="350" t="s">
        <v>393</v>
      </c>
      <c r="J947" s="560">
        <v>140000</v>
      </c>
      <c r="K947" s="350" t="s">
        <v>394</v>
      </c>
      <c r="L947" s="353">
        <v>2801.6</v>
      </c>
      <c r="M947" s="560">
        <f t="shared" si="890"/>
        <v>49.97144488863507</v>
      </c>
      <c r="N947" s="354" t="s">
        <v>395</v>
      </c>
      <c r="O947" s="354">
        <v>0</v>
      </c>
      <c r="P947" s="374"/>
      <c r="Q947" s="354">
        <v>0</v>
      </c>
      <c r="R947" s="354">
        <v>0</v>
      </c>
      <c r="S947" s="354">
        <v>0</v>
      </c>
      <c r="T947" s="354">
        <v>0</v>
      </c>
      <c r="U947" s="374"/>
      <c r="V947" s="354">
        <v>0</v>
      </c>
      <c r="W947" s="354">
        <v>0</v>
      </c>
      <c r="X947" s="354">
        <v>0</v>
      </c>
      <c r="Y947" s="374"/>
      <c r="Z947" s="354">
        <v>0</v>
      </c>
      <c r="AA947" s="354">
        <v>0</v>
      </c>
      <c r="AB947" s="374"/>
      <c r="AC947" s="376">
        <v>0</v>
      </c>
      <c r="AD947" s="376">
        <v>0</v>
      </c>
      <c r="AE947" s="376">
        <v>0</v>
      </c>
      <c r="AF947" s="374"/>
      <c r="AG947" s="376">
        <v>0</v>
      </c>
      <c r="AH947" s="376">
        <v>0</v>
      </c>
      <c r="AI947" s="376">
        <v>0</v>
      </c>
      <c r="AJ947" s="376">
        <v>0</v>
      </c>
      <c r="AK947" s="374"/>
      <c r="AL947" s="376">
        <v>0</v>
      </c>
      <c r="AM947" s="376">
        <v>0</v>
      </c>
      <c r="AN947" s="376">
        <v>0</v>
      </c>
      <c r="AO947" s="374"/>
      <c r="AP947" s="376">
        <v>0</v>
      </c>
      <c r="AQ947" s="376">
        <v>0</v>
      </c>
      <c r="AR947" s="374"/>
      <c r="AS947" s="376">
        <v>0</v>
      </c>
      <c r="AT947" s="376">
        <v>0</v>
      </c>
      <c r="AU947" s="355" t="s">
        <v>396</v>
      </c>
      <c r="AV947" s="354" t="s">
        <v>345</v>
      </c>
      <c r="AW947" s="355">
        <v>0</v>
      </c>
      <c r="AX947" s="355">
        <v>0</v>
      </c>
      <c r="AY947" s="355">
        <v>0</v>
      </c>
      <c r="AZ947" s="355">
        <v>0</v>
      </c>
      <c r="BA947" s="355">
        <v>0</v>
      </c>
      <c r="BB947" s="355">
        <v>0</v>
      </c>
    </row>
    <row r="948" spans="1:54" x14ac:dyDescent="0.25">
      <c r="A948" s="348" t="s">
        <v>1235</v>
      </c>
      <c r="B948" s="353">
        <v>81</v>
      </c>
      <c r="C948" s="350" t="s">
        <v>1137</v>
      </c>
      <c r="D948" s="351" t="s">
        <v>1231</v>
      </c>
      <c r="E948" s="352">
        <v>6349</v>
      </c>
      <c r="F948" s="352">
        <v>6</v>
      </c>
      <c r="G948" s="351" t="s">
        <v>1208</v>
      </c>
      <c r="H948" s="350" t="s">
        <v>1233</v>
      </c>
      <c r="I948" s="350" t="s">
        <v>393</v>
      </c>
      <c r="J948" s="560">
        <v>124000</v>
      </c>
      <c r="K948" s="350" t="s">
        <v>394</v>
      </c>
      <c r="L948" s="353">
        <v>2801.6</v>
      </c>
      <c r="M948" s="560">
        <f t="shared" si="890"/>
        <v>44.260422615648203</v>
      </c>
      <c r="N948" s="354" t="s">
        <v>395</v>
      </c>
      <c r="O948" s="354">
        <v>0</v>
      </c>
      <c r="P948" s="374"/>
      <c r="Q948" s="354">
        <v>0</v>
      </c>
      <c r="R948" s="354">
        <v>0</v>
      </c>
      <c r="S948" s="354">
        <v>0</v>
      </c>
      <c r="T948" s="354">
        <v>0</v>
      </c>
      <c r="U948" s="374"/>
      <c r="V948" s="354">
        <v>0</v>
      </c>
      <c r="W948" s="354">
        <v>0</v>
      </c>
      <c r="X948" s="354">
        <v>0</v>
      </c>
      <c r="Y948" s="374"/>
      <c r="Z948" s="354">
        <v>0</v>
      </c>
      <c r="AA948" s="354">
        <v>0</v>
      </c>
      <c r="AB948" s="374"/>
      <c r="AC948" s="376">
        <v>0</v>
      </c>
      <c r="AD948" s="376">
        <v>0</v>
      </c>
      <c r="AE948" s="376">
        <v>0</v>
      </c>
      <c r="AF948" s="374"/>
      <c r="AG948" s="376">
        <v>0</v>
      </c>
      <c r="AH948" s="376">
        <v>0</v>
      </c>
      <c r="AI948" s="376">
        <v>0</v>
      </c>
      <c r="AJ948" s="376">
        <v>0</v>
      </c>
      <c r="AK948" s="374"/>
      <c r="AL948" s="376">
        <v>0</v>
      </c>
      <c r="AM948" s="376">
        <v>0</v>
      </c>
      <c r="AN948" s="376">
        <v>0</v>
      </c>
      <c r="AO948" s="374"/>
      <c r="AP948" s="376">
        <v>0</v>
      </c>
      <c r="AQ948" s="376">
        <v>0</v>
      </c>
      <c r="AR948" s="374"/>
      <c r="AS948" s="376">
        <v>0</v>
      </c>
      <c r="AT948" s="376">
        <v>0</v>
      </c>
      <c r="AU948" s="355" t="s">
        <v>396</v>
      </c>
      <c r="AV948" s="354" t="s">
        <v>345</v>
      </c>
      <c r="AW948" s="355">
        <v>0</v>
      </c>
      <c r="AX948" s="355">
        <v>0</v>
      </c>
      <c r="AY948" s="355">
        <v>0</v>
      </c>
      <c r="AZ948" s="355">
        <v>0</v>
      </c>
      <c r="BA948" s="355">
        <v>0</v>
      </c>
      <c r="BB948" s="355">
        <v>0</v>
      </c>
    </row>
    <row r="949" spans="1:54" x14ac:dyDescent="0.25">
      <c r="A949" s="348" t="s">
        <v>1235</v>
      </c>
      <c r="B949" s="353">
        <v>81</v>
      </c>
      <c r="C949" s="350" t="s">
        <v>1137</v>
      </c>
      <c r="D949" s="351" t="s">
        <v>1231</v>
      </c>
      <c r="E949" s="352">
        <v>6349</v>
      </c>
      <c r="F949" s="352">
        <v>6</v>
      </c>
      <c r="G949" s="351" t="s">
        <v>1208</v>
      </c>
      <c r="H949" s="350" t="s">
        <v>1016</v>
      </c>
      <c r="I949" s="350" t="s">
        <v>393</v>
      </c>
      <c r="J949" s="560">
        <v>496000</v>
      </c>
      <c r="K949" s="350" t="s">
        <v>394</v>
      </c>
      <c r="L949" s="353">
        <v>2801.6</v>
      </c>
      <c r="M949" s="560">
        <f t="shared" si="890"/>
        <v>177.04169046259281</v>
      </c>
      <c r="N949" s="354" t="s">
        <v>395</v>
      </c>
      <c r="O949" s="354">
        <v>0</v>
      </c>
      <c r="P949" s="374"/>
      <c r="Q949" s="354">
        <v>0</v>
      </c>
      <c r="R949" s="354">
        <v>0</v>
      </c>
      <c r="S949" s="354">
        <v>0</v>
      </c>
      <c r="T949" s="354">
        <v>0</v>
      </c>
      <c r="U949" s="374"/>
      <c r="V949" s="354">
        <v>0</v>
      </c>
      <c r="W949" s="354">
        <v>0</v>
      </c>
      <c r="X949" s="354">
        <v>0</v>
      </c>
      <c r="Y949" s="374"/>
      <c r="Z949" s="354">
        <v>0</v>
      </c>
      <c r="AA949" s="354">
        <v>0</v>
      </c>
      <c r="AB949" s="374"/>
      <c r="AC949" s="376">
        <v>0</v>
      </c>
      <c r="AD949" s="376">
        <v>0</v>
      </c>
      <c r="AE949" s="376">
        <v>0</v>
      </c>
      <c r="AF949" s="374"/>
      <c r="AG949" s="376">
        <v>0</v>
      </c>
      <c r="AH949" s="376">
        <v>0</v>
      </c>
      <c r="AI949" s="376">
        <v>0</v>
      </c>
      <c r="AJ949" s="376">
        <v>0</v>
      </c>
      <c r="AK949" s="374"/>
      <c r="AL949" s="376">
        <v>0</v>
      </c>
      <c r="AM949" s="376">
        <v>0</v>
      </c>
      <c r="AN949" s="376">
        <v>0</v>
      </c>
      <c r="AO949" s="374"/>
      <c r="AP949" s="376">
        <v>0</v>
      </c>
      <c r="AQ949" s="376">
        <v>0</v>
      </c>
      <c r="AR949" s="374"/>
      <c r="AS949" s="376">
        <v>0</v>
      </c>
      <c r="AT949" s="376">
        <v>0</v>
      </c>
      <c r="AU949" s="355" t="s">
        <v>396</v>
      </c>
      <c r="AV949" s="354" t="s">
        <v>345</v>
      </c>
      <c r="AW949" s="355">
        <v>0</v>
      </c>
      <c r="AX949" s="355">
        <v>0</v>
      </c>
      <c r="AY949" s="355">
        <v>0</v>
      </c>
      <c r="AZ949" s="355">
        <v>0</v>
      </c>
      <c r="BA949" s="355">
        <v>0</v>
      </c>
      <c r="BB949" s="355">
        <v>0</v>
      </c>
    </row>
    <row r="950" spans="1:54" x14ac:dyDescent="0.25">
      <c r="A950" s="348" t="s">
        <v>1235</v>
      </c>
      <c r="B950" s="353">
        <v>81</v>
      </c>
      <c r="C950" s="350" t="s">
        <v>1137</v>
      </c>
      <c r="D950" s="351" t="s">
        <v>1231</v>
      </c>
      <c r="E950" s="352">
        <v>6349</v>
      </c>
      <c r="F950" s="352">
        <v>6</v>
      </c>
      <c r="G950" s="351" t="s">
        <v>1208</v>
      </c>
      <c r="H950" s="350" t="s">
        <v>1234</v>
      </c>
      <c r="I950" s="350" t="s">
        <v>393</v>
      </c>
      <c r="J950" s="560">
        <v>1736000</v>
      </c>
      <c r="K950" s="350" t="s">
        <v>394</v>
      </c>
      <c r="L950" s="353">
        <v>2801.6</v>
      </c>
      <c r="M950" s="560">
        <f t="shared" si="890"/>
        <v>619.6459166190748</v>
      </c>
      <c r="N950" s="354" t="s">
        <v>395</v>
      </c>
      <c r="O950" s="354">
        <v>0</v>
      </c>
      <c r="P950" s="374"/>
      <c r="Q950" s="354">
        <v>0</v>
      </c>
      <c r="R950" s="354">
        <v>0</v>
      </c>
      <c r="S950" s="354">
        <v>0</v>
      </c>
      <c r="T950" s="354">
        <v>0</v>
      </c>
      <c r="U950" s="374"/>
      <c r="V950" s="354">
        <v>0</v>
      </c>
      <c r="W950" s="354">
        <v>0</v>
      </c>
      <c r="X950" s="354">
        <v>0</v>
      </c>
      <c r="Y950" s="374"/>
      <c r="Z950" s="354">
        <v>0</v>
      </c>
      <c r="AA950" s="354">
        <v>0</v>
      </c>
      <c r="AB950" s="374"/>
      <c r="AC950" s="376">
        <v>0</v>
      </c>
      <c r="AD950" s="376">
        <v>0</v>
      </c>
      <c r="AE950" s="376">
        <v>0</v>
      </c>
      <c r="AF950" s="374"/>
      <c r="AG950" s="376">
        <v>0</v>
      </c>
      <c r="AH950" s="376">
        <v>0</v>
      </c>
      <c r="AI950" s="376">
        <v>0</v>
      </c>
      <c r="AJ950" s="376">
        <v>0</v>
      </c>
      <c r="AK950" s="374"/>
      <c r="AL950" s="376">
        <v>0</v>
      </c>
      <c r="AM950" s="376">
        <v>0</v>
      </c>
      <c r="AN950" s="376">
        <v>0</v>
      </c>
      <c r="AO950" s="374"/>
      <c r="AP950" s="376">
        <v>0</v>
      </c>
      <c r="AQ950" s="376">
        <v>0</v>
      </c>
      <c r="AR950" s="374"/>
      <c r="AS950" s="376">
        <v>0</v>
      </c>
      <c r="AT950" s="376">
        <v>0</v>
      </c>
      <c r="AU950" s="355" t="s">
        <v>396</v>
      </c>
      <c r="AV950" s="354" t="s">
        <v>345</v>
      </c>
      <c r="AW950" s="355">
        <v>0</v>
      </c>
      <c r="AX950" s="355">
        <v>0</v>
      </c>
      <c r="AY950" s="355">
        <v>0</v>
      </c>
      <c r="AZ950" s="355">
        <v>0</v>
      </c>
      <c r="BA950" s="355">
        <v>0</v>
      </c>
      <c r="BB950" s="355">
        <v>0</v>
      </c>
    </row>
    <row r="951" spans="1:54" x14ac:dyDescent="0.25">
      <c r="A951" s="348" t="s">
        <v>1236</v>
      </c>
      <c r="B951" s="349">
        <v>74</v>
      </c>
      <c r="C951" s="350" t="s">
        <v>1137</v>
      </c>
      <c r="D951" s="351" t="s">
        <v>1237</v>
      </c>
      <c r="E951" s="352">
        <v>6349</v>
      </c>
      <c r="F951" s="352">
        <v>6</v>
      </c>
      <c r="G951" s="351" t="s">
        <v>1208</v>
      </c>
      <c r="H951" s="350" t="s">
        <v>1232</v>
      </c>
      <c r="I951" s="350" t="s">
        <v>393</v>
      </c>
      <c r="J951" s="560">
        <v>150000</v>
      </c>
      <c r="K951" s="350" t="s">
        <v>394</v>
      </c>
      <c r="L951" s="353">
        <v>2801.6</v>
      </c>
      <c r="M951" s="560">
        <f t="shared" si="890"/>
        <v>53.540833809251858</v>
      </c>
      <c r="N951" s="354" t="s">
        <v>395</v>
      </c>
      <c r="O951" s="354">
        <v>0</v>
      </c>
      <c r="P951" s="374"/>
      <c r="Q951" s="354">
        <v>0</v>
      </c>
      <c r="R951" s="354">
        <v>0</v>
      </c>
      <c r="S951" s="354">
        <v>0</v>
      </c>
      <c r="T951" s="354">
        <v>0</v>
      </c>
      <c r="U951" s="374"/>
      <c r="V951" s="354">
        <v>0</v>
      </c>
      <c r="W951" s="354">
        <v>0</v>
      </c>
      <c r="X951" s="354">
        <v>0</v>
      </c>
      <c r="Y951" s="374"/>
      <c r="Z951" s="354">
        <v>0</v>
      </c>
      <c r="AA951" s="354">
        <v>0</v>
      </c>
      <c r="AB951" s="374"/>
      <c r="AC951" s="376">
        <v>0</v>
      </c>
      <c r="AD951" s="376">
        <v>0</v>
      </c>
      <c r="AE951" s="376">
        <v>0</v>
      </c>
      <c r="AF951" s="374"/>
      <c r="AG951" s="376">
        <v>0</v>
      </c>
      <c r="AH951" s="376">
        <v>0</v>
      </c>
      <c r="AI951" s="376">
        <v>0</v>
      </c>
      <c r="AJ951" s="376">
        <v>0</v>
      </c>
      <c r="AK951" s="374"/>
      <c r="AL951" s="376">
        <v>0</v>
      </c>
      <c r="AM951" s="376">
        <v>0</v>
      </c>
      <c r="AN951" s="376">
        <v>0</v>
      </c>
      <c r="AO951" s="374"/>
      <c r="AP951" s="376">
        <v>0</v>
      </c>
      <c r="AQ951" s="376">
        <v>0</v>
      </c>
      <c r="AR951" s="374"/>
      <c r="AS951" s="376">
        <v>0</v>
      </c>
      <c r="AT951" s="376">
        <v>0</v>
      </c>
      <c r="AU951" s="355" t="s">
        <v>396</v>
      </c>
      <c r="AV951" s="354" t="s">
        <v>345</v>
      </c>
      <c r="AW951" s="355">
        <v>0</v>
      </c>
      <c r="AX951" s="355">
        <v>0</v>
      </c>
      <c r="AY951" s="355">
        <v>0</v>
      </c>
      <c r="AZ951" s="355">
        <v>0</v>
      </c>
      <c r="BA951" s="355">
        <v>0</v>
      </c>
      <c r="BB951" s="355">
        <v>0</v>
      </c>
    </row>
    <row r="952" spans="1:54" x14ac:dyDescent="0.25">
      <c r="A952" s="348" t="s">
        <v>1236</v>
      </c>
      <c r="B952" s="349">
        <v>74</v>
      </c>
      <c r="C952" s="350" t="s">
        <v>1137</v>
      </c>
      <c r="D952" s="351" t="s">
        <v>1237</v>
      </c>
      <c r="E952" s="352">
        <v>6349</v>
      </c>
      <c r="F952" s="352">
        <v>6</v>
      </c>
      <c r="G952" s="351" t="s">
        <v>1208</v>
      </c>
      <c r="H952" s="350" t="s">
        <v>1233</v>
      </c>
      <c r="I952" s="350" t="s">
        <v>393</v>
      </c>
      <c r="J952" s="560">
        <v>124000</v>
      </c>
      <c r="K952" s="350" t="s">
        <v>394</v>
      </c>
      <c r="L952" s="353">
        <v>2801.6</v>
      </c>
      <c r="M952" s="560">
        <f t="shared" si="890"/>
        <v>44.260422615648203</v>
      </c>
      <c r="N952" s="354" t="s">
        <v>395</v>
      </c>
      <c r="O952" s="354">
        <v>0</v>
      </c>
      <c r="P952" s="374"/>
      <c r="Q952" s="354">
        <v>0</v>
      </c>
      <c r="R952" s="354">
        <v>0</v>
      </c>
      <c r="S952" s="354">
        <v>0</v>
      </c>
      <c r="T952" s="354">
        <v>0</v>
      </c>
      <c r="U952" s="374"/>
      <c r="V952" s="354">
        <v>0</v>
      </c>
      <c r="W952" s="354">
        <v>0</v>
      </c>
      <c r="X952" s="354">
        <v>0</v>
      </c>
      <c r="Y952" s="374"/>
      <c r="Z952" s="354">
        <v>0</v>
      </c>
      <c r="AA952" s="354">
        <v>0</v>
      </c>
      <c r="AB952" s="374"/>
      <c r="AC952" s="376">
        <v>0</v>
      </c>
      <c r="AD952" s="376">
        <v>0</v>
      </c>
      <c r="AE952" s="376">
        <v>0</v>
      </c>
      <c r="AF952" s="374"/>
      <c r="AG952" s="376">
        <v>0</v>
      </c>
      <c r="AH952" s="376">
        <v>0</v>
      </c>
      <c r="AI952" s="376">
        <v>0</v>
      </c>
      <c r="AJ952" s="376">
        <v>0</v>
      </c>
      <c r="AK952" s="374"/>
      <c r="AL952" s="376">
        <v>0</v>
      </c>
      <c r="AM952" s="376">
        <v>0</v>
      </c>
      <c r="AN952" s="376">
        <v>0</v>
      </c>
      <c r="AO952" s="374"/>
      <c r="AP952" s="376">
        <v>0</v>
      </c>
      <c r="AQ952" s="376">
        <v>0</v>
      </c>
      <c r="AR952" s="374"/>
      <c r="AS952" s="376">
        <v>0</v>
      </c>
      <c r="AT952" s="376">
        <v>0</v>
      </c>
      <c r="AU952" s="355" t="s">
        <v>396</v>
      </c>
      <c r="AV952" s="354" t="s">
        <v>345</v>
      </c>
      <c r="AW952" s="355">
        <v>0</v>
      </c>
      <c r="AX952" s="355">
        <v>0</v>
      </c>
      <c r="AY952" s="355">
        <v>0</v>
      </c>
      <c r="AZ952" s="355">
        <v>0</v>
      </c>
      <c r="BA952" s="355">
        <v>0</v>
      </c>
      <c r="BB952" s="355">
        <v>0</v>
      </c>
    </row>
    <row r="953" spans="1:54" x14ac:dyDescent="0.25">
      <c r="A953" s="348" t="s">
        <v>1236</v>
      </c>
      <c r="B953" s="349">
        <v>74</v>
      </c>
      <c r="C953" s="350" t="s">
        <v>1137</v>
      </c>
      <c r="D953" s="351" t="s">
        <v>1237</v>
      </c>
      <c r="E953" s="352">
        <v>6349</v>
      </c>
      <c r="F953" s="352">
        <v>6</v>
      </c>
      <c r="G953" s="351" t="s">
        <v>1208</v>
      </c>
      <c r="H953" s="350" t="s">
        <v>1016</v>
      </c>
      <c r="I953" s="350" t="s">
        <v>393</v>
      </c>
      <c r="J953" s="560">
        <v>620000</v>
      </c>
      <c r="K953" s="350" t="s">
        <v>394</v>
      </c>
      <c r="L953" s="353">
        <v>2801.6</v>
      </c>
      <c r="M953" s="560">
        <f t="shared" si="890"/>
        <v>221.30211307824101</v>
      </c>
      <c r="N953" s="354" t="s">
        <v>395</v>
      </c>
      <c r="O953" s="354">
        <v>0</v>
      </c>
      <c r="P953" s="374"/>
      <c r="Q953" s="354">
        <v>0</v>
      </c>
      <c r="R953" s="354">
        <v>0</v>
      </c>
      <c r="S953" s="354">
        <v>0</v>
      </c>
      <c r="T953" s="354">
        <v>0</v>
      </c>
      <c r="U953" s="374"/>
      <c r="V953" s="354">
        <v>0</v>
      </c>
      <c r="W953" s="354">
        <v>0</v>
      </c>
      <c r="X953" s="354">
        <v>0</v>
      </c>
      <c r="Y953" s="374"/>
      <c r="Z953" s="354">
        <v>0</v>
      </c>
      <c r="AA953" s="354">
        <v>0</v>
      </c>
      <c r="AB953" s="374"/>
      <c r="AC953" s="376">
        <v>0</v>
      </c>
      <c r="AD953" s="376">
        <v>0</v>
      </c>
      <c r="AE953" s="376">
        <v>0</v>
      </c>
      <c r="AF953" s="374"/>
      <c r="AG953" s="376">
        <v>0</v>
      </c>
      <c r="AH953" s="376">
        <v>0</v>
      </c>
      <c r="AI953" s="376">
        <v>0</v>
      </c>
      <c r="AJ953" s="376">
        <v>0</v>
      </c>
      <c r="AK953" s="374"/>
      <c r="AL953" s="376">
        <v>0</v>
      </c>
      <c r="AM953" s="376">
        <v>0</v>
      </c>
      <c r="AN953" s="376">
        <v>0</v>
      </c>
      <c r="AO953" s="374"/>
      <c r="AP953" s="376">
        <v>0</v>
      </c>
      <c r="AQ953" s="376">
        <v>0</v>
      </c>
      <c r="AR953" s="374"/>
      <c r="AS953" s="376">
        <v>0</v>
      </c>
      <c r="AT953" s="376">
        <v>0</v>
      </c>
      <c r="AU953" s="355" t="s">
        <v>396</v>
      </c>
      <c r="AV953" s="354" t="s">
        <v>345</v>
      </c>
      <c r="AW953" s="355">
        <v>0</v>
      </c>
      <c r="AX953" s="355">
        <v>0</v>
      </c>
      <c r="AY953" s="355">
        <v>0</v>
      </c>
      <c r="AZ953" s="355">
        <v>0</v>
      </c>
      <c r="BA953" s="355">
        <v>0</v>
      </c>
      <c r="BB953" s="355">
        <v>0</v>
      </c>
    </row>
    <row r="954" spans="1:54" x14ac:dyDescent="0.25">
      <c r="A954" s="348" t="s">
        <v>1236</v>
      </c>
      <c r="B954" s="349">
        <v>74</v>
      </c>
      <c r="C954" s="350" t="s">
        <v>1137</v>
      </c>
      <c r="D954" s="351" t="s">
        <v>1237</v>
      </c>
      <c r="E954" s="352">
        <v>6349</v>
      </c>
      <c r="F954" s="352">
        <v>6</v>
      </c>
      <c r="G954" s="351" t="s">
        <v>1208</v>
      </c>
      <c r="H954" s="350" t="s">
        <v>1234</v>
      </c>
      <c r="I954" s="350" t="s">
        <v>393</v>
      </c>
      <c r="J954" s="560">
        <v>1736000</v>
      </c>
      <c r="K954" s="350" t="s">
        <v>394</v>
      </c>
      <c r="L954" s="353">
        <v>2801.6</v>
      </c>
      <c r="M954" s="560">
        <f t="shared" si="890"/>
        <v>619.6459166190748</v>
      </c>
      <c r="N954" s="354" t="s">
        <v>395</v>
      </c>
      <c r="O954" s="354">
        <v>0</v>
      </c>
      <c r="P954" s="374"/>
      <c r="Q954" s="354">
        <v>0</v>
      </c>
      <c r="R954" s="354">
        <v>0</v>
      </c>
      <c r="S954" s="354">
        <v>0</v>
      </c>
      <c r="T954" s="354">
        <v>0</v>
      </c>
      <c r="U954" s="374"/>
      <c r="V954" s="354">
        <v>0</v>
      </c>
      <c r="W954" s="354">
        <v>0</v>
      </c>
      <c r="X954" s="354">
        <v>0</v>
      </c>
      <c r="Y954" s="374"/>
      <c r="Z954" s="354">
        <v>0</v>
      </c>
      <c r="AA954" s="354">
        <v>0</v>
      </c>
      <c r="AB954" s="374"/>
      <c r="AC954" s="376">
        <v>0</v>
      </c>
      <c r="AD954" s="376">
        <v>0</v>
      </c>
      <c r="AE954" s="376">
        <v>0</v>
      </c>
      <c r="AF954" s="374"/>
      <c r="AG954" s="376">
        <v>0</v>
      </c>
      <c r="AH954" s="376">
        <v>0</v>
      </c>
      <c r="AI954" s="376">
        <v>0</v>
      </c>
      <c r="AJ954" s="376">
        <v>0</v>
      </c>
      <c r="AK954" s="374"/>
      <c r="AL954" s="376">
        <v>0</v>
      </c>
      <c r="AM954" s="376">
        <v>0</v>
      </c>
      <c r="AN954" s="376">
        <v>0</v>
      </c>
      <c r="AO954" s="374"/>
      <c r="AP954" s="376">
        <v>0</v>
      </c>
      <c r="AQ954" s="376">
        <v>0</v>
      </c>
      <c r="AR954" s="374"/>
      <c r="AS954" s="376">
        <v>0</v>
      </c>
      <c r="AT954" s="376">
        <v>0</v>
      </c>
      <c r="AU954" s="355" t="s">
        <v>396</v>
      </c>
      <c r="AV954" s="354" t="s">
        <v>345</v>
      </c>
      <c r="AW954" s="355">
        <v>0</v>
      </c>
      <c r="AX954" s="355">
        <v>0</v>
      </c>
      <c r="AY954" s="355">
        <v>0</v>
      </c>
      <c r="AZ954" s="355">
        <v>0</v>
      </c>
      <c r="BA954" s="355">
        <v>0</v>
      </c>
      <c r="BB954" s="355">
        <v>0</v>
      </c>
    </row>
    <row r="955" spans="1:54" x14ac:dyDescent="0.25">
      <c r="A955" s="348" t="s">
        <v>1238</v>
      </c>
      <c r="B955" s="349">
        <v>64</v>
      </c>
      <c r="C955" s="349" t="s">
        <v>1137</v>
      </c>
      <c r="D955" s="351" t="s">
        <v>1138</v>
      </c>
      <c r="E955" s="352"/>
      <c r="F955" s="352">
        <v>6</v>
      </c>
      <c r="G955" s="351" t="s">
        <v>1208</v>
      </c>
      <c r="H955" s="350" t="s">
        <v>1239</v>
      </c>
      <c r="I955" s="350" t="s">
        <v>393</v>
      </c>
      <c r="J955" s="560">
        <v>3600000</v>
      </c>
      <c r="K955" s="350" t="s">
        <v>394</v>
      </c>
      <c r="L955" s="353">
        <v>2801.6</v>
      </c>
      <c r="M955" s="560">
        <f t="shared" si="890"/>
        <v>1284.9800114220445</v>
      </c>
      <c r="N955" s="354" t="s">
        <v>395</v>
      </c>
      <c r="O955" s="354">
        <v>0</v>
      </c>
      <c r="P955" s="374"/>
      <c r="Q955" s="354">
        <v>0</v>
      </c>
      <c r="R955" s="354">
        <v>0</v>
      </c>
      <c r="S955" s="354">
        <v>0</v>
      </c>
      <c r="T955" s="354">
        <v>0</v>
      </c>
      <c r="U955" s="374"/>
      <c r="V955" s="354">
        <v>0</v>
      </c>
      <c r="W955" s="354">
        <v>0</v>
      </c>
      <c r="X955" s="354">
        <v>0</v>
      </c>
      <c r="Y955" s="374"/>
      <c r="Z955" s="354">
        <v>0</v>
      </c>
      <c r="AA955" s="354">
        <v>0</v>
      </c>
      <c r="AB955" s="374"/>
      <c r="AC955" s="376">
        <v>0</v>
      </c>
      <c r="AD955" s="376">
        <v>0</v>
      </c>
      <c r="AE955" s="376">
        <v>0</v>
      </c>
      <c r="AF955" s="374"/>
      <c r="AG955" s="376">
        <v>0</v>
      </c>
      <c r="AH955" s="376">
        <v>0</v>
      </c>
      <c r="AI955" s="376">
        <v>0</v>
      </c>
      <c r="AJ955" s="376">
        <v>0</v>
      </c>
      <c r="AK955" s="374"/>
      <c r="AL955" s="376">
        <v>0</v>
      </c>
      <c r="AM955" s="376">
        <v>0</v>
      </c>
      <c r="AN955" s="376">
        <v>0</v>
      </c>
      <c r="AO955" s="374"/>
      <c r="AP955" s="376">
        <v>0</v>
      </c>
      <c r="AQ955" s="376">
        <v>0</v>
      </c>
      <c r="AR955" s="374"/>
      <c r="AS955" s="376">
        <v>0</v>
      </c>
      <c r="AT955" s="376">
        <v>0</v>
      </c>
      <c r="AU955" s="355" t="s">
        <v>396</v>
      </c>
      <c r="AV955" s="354" t="s">
        <v>345</v>
      </c>
      <c r="AW955" s="355">
        <v>0</v>
      </c>
      <c r="AX955" s="355">
        <v>0</v>
      </c>
      <c r="AY955" s="355">
        <v>0</v>
      </c>
      <c r="AZ955" s="355">
        <v>0</v>
      </c>
      <c r="BA955" s="355">
        <v>0</v>
      </c>
      <c r="BB955" s="355">
        <v>0</v>
      </c>
    </row>
    <row r="956" spans="1:54" x14ac:dyDescent="0.25">
      <c r="A956" s="348" t="s">
        <v>1240</v>
      </c>
      <c r="B956" s="349">
        <v>72</v>
      </c>
      <c r="C956" s="349" t="s">
        <v>1137</v>
      </c>
      <c r="D956" s="351" t="s">
        <v>983</v>
      </c>
      <c r="E956" s="352"/>
      <c r="F956" s="352">
        <v>6</v>
      </c>
      <c r="G956" s="351" t="s">
        <v>1208</v>
      </c>
      <c r="H956" s="350" t="s">
        <v>1232</v>
      </c>
      <c r="I956" s="350" t="s">
        <v>393</v>
      </c>
      <c r="J956" s="560">
        <v>140000</v>
      </c>
      <c r="K956" s="350" t="s">
        <v>394</v>
      </c>
      <c r="L956" s="353">
        <v>2801.6</v>
      </c>
      <c r="M956" s="560">
        <f t="shared" si="890"/>
        <v>49.97144488863507</v>
      </c>
      <c r="N956" s="354" t="s">
        <v>395</v>
      </c>
      <c r="O956" s="354">
        <v>0</v>
      </c>
      <c r="P956" s="374"/>
      <c r="Q956" s="354">
        <v>0</v>
      </c>
      <c r="R956" s="354">
        <v>0</v>
      </c>
      <c r="S956" s="354">
        <v>0</v>
      </c>
      <c r="T956" s="354">
        <v>0</v>
      </c>
      <c r="U956" s="374"/>
      <c r="V956" s="354">
        <v>0</v>
      </c>
      <c r="W956" s="354">
        <v>0</v>
      </c>
      <c r="X956" s="354">
        <v>0</v>
      </c>
      <c r="Y956" s="374"/>
      <c r="Z956" s="354">
        <v>0</v>
      </c>
      <c r="AA956" s="354">
        <v>0</v>
      </c>
      <c r="AB956" s="374"/>
      <c r="AC956" s="376">
        <v>0</v>
      </c>
      <c r="AD956" s="376">
        <v>0</v>
      </c>
      <c r="AE956" s="376">
        <v>0</v>
      </c>
      <c r="AF956" s="374"/>
      <c r="AG956" s="376">
        <v>0</v>
      </c>
      <c r="AH956" s="376">
        <v>0</v>
      </c>
      <c r="AI956" s="376">
        <v>0</v>
      </c>
      <c r="AJ956" s="376">
        <v>0</v>
      </c>
      <c r="AK956" s="374"/>
      <c r="AL956" s="376">
        <v>0</v>
      </c>
      <c r="AM956" s="376">
        <v>0</v>
      </c>
      <c r="AN956" s="376">
        <v>0</v>
      </c>
      <c r="AO956" s="374"/>
      <c r="AP956" s="376">
        <v>0</v>
      </c>
      <c r="AQ956" s="376">
        <v>0</v>
      </c>
      <c r="AR956" s="374"/>
      <c r="AS956" s="376">
        <v>0</v>
      </c>
      <c r="AT956" s="376">
        <v>0</v>
      </c>
      <c r="AU956" s="355" t="s">
        <v>396</v>
      </c>
      <c r="AV956" s="354" t="s">
        <v>345</v>
      </c>
      <c r="AW956" s="355">
        <v>0</v>
      </c>
      <c r="AX956" s="355">
        <v>0</v>
      </c>
      <c r="AY956" s="355">
        <v>0</v>
      </c>
      <c r="AZ956" s="355">
        <v>0</v>
      </c>
      <c r="BA956" s="355">
        <v>0</v>
      </c>
      <c r="BB956" s="355">
        <v>0</v>
      </c>
    </row>
    <row r="957" spans="1:54" x14ac:dyDescent="0.25">
      <c r="A957" s="348" t="s">
        <v>1240</v>
      </c>
      <c r="B957" s="349">
        <v>72</v>
      </c>
      <c r="C957" s="349" t="s">
        <v>1137</v>
      </c>
      <c r="D957" s="351" t="s">
        <v>983</v>
      </c>
      <c r="E957" s="352"/>
      <c r="F957" s="352">
        <v>6</v>
      </c>
      <c r="G957" s="351" t="s">
        <v>1208</v>
      </c>
      <c r="H957" s="350" t="s">
        <v>1233</v>
      </c>
      <c r="I957" s="350" t="s">
        <v>393</v>
      </c>
      <c r="J957" s="560">
        <v>124000</v>
      </c>
      <c r="K957" s="350" t="s">
        <v>394</v>
      </c>
      <c r="L957" s="353">
        <v>2801.6</v>
      </c>
      <c r="M957" s="560">
        <f t="shared" si="890"/>
        <v>44.260422615648203</v>
      </c>
      <c r="N957" s="354" t="s">
        <v>395</v>
      </c>
      <c r="O957" s="354">
        <v>0</v>
      </c>
      <c r="P957" s="374"/>
      <c r="Q957" s="354">
        <v>0</v>
      </c>
      <c r="R957" s="354">
        <v>0</v>
      </c>
      <c r="S957" s="354">
        <v>0</v>
      </c>
      <c r="T957" s="354">
        <v>0</v>
      </c>
      <c r="U957" s="374"/>
      <c r="V957" s="354">
        <v>0</v>
      </c>
      <c r="W957" s="354">
        <v>0</v>
      </c>
      <c r="X957" s="354">
        <v>0</v>
      </c>
      <c r="Y957" s="374"/>
      <c r="Z957" s="354">
        <v>0</v>
      </c>
      <c r="AA957" s="354">
        <v>0</v>
      </c>
      <c r="AB957" s="374"/>
      <c r="AC957" s="376">
        <v>0</v>
      </c>
      <c r="AD957" s="376">
        <v>0</v>
      </c>
      <c r="AE957" s="376">
        <v>0</v>
      </c>
      <c r="AF957" s="374"/>
      <c r="AG957" s="376">
        <v>0</v>
      </c>
      <c r="AH957" s="376">
        <v>0</v>
      </c>
      <c r="AI957" s="376">
        <v>0</v>
      </c>
      <c r="AJ957" s="376">
        <v>0</v>
      </c>
      <c r="AK957" s="374"/>
      <c r="AL957" s="376">
        <v>0</v>
      </c>
      <c r="AM957" s="376">
        <v>0</v>
      </c>
      <c r="AN957" s="376">
        <v>0</v>
      </c>
      <c r="AO957" s="374"/>
      <c r="AP957" s="376">
        <v>0</v>
      </c>
      <c r="AQ957" s="376">
        <v>0</v>
      </c>
      <c r="AR957" s="374"/>
      <c r="AS957" s="376">
        <v>0</v>
      </c>
      <c r="AT957" s="376">
        <v>0</v>
      </c>
      <c r="AU957" s="355" t="s">
        <v>396</v>
      </c>
      <c r="AV957" s="354" t="s">
        <v>345</v>
      </c>
      <c r="AW957" s="355">
        <v>0</v>
      </c>
      <c r="AX957" s="355">
        <v>0</v>
      </c>
      <c r="AY957" s="355">
        <v>0</v>
      </c>
      <c r="AZ957" s="355">
        <v>0</v>
      </c>
      <c r="BA957" s="355">
        <v>0</v>
      </c>
      <c r="BB957" s="355">
        <v>0</v>
      </c>
    </row>
    <row r="958" spans="1:54" x14ac:dyDescent="0.25">
      <c r="A958" s="348" t="s">
        <v>1240</v>
      </c>
      <c r="B958" s="349">
        <v>72</v>
      </c>
      <c r="C958" s="349" t="s">
        <v>1137</v>
      </c>
      <c r="D958" s="351" t="s">
        <v>983</v>
      </c>
      <c r="E958" s="352"/>
      <c r="F958" s="352">
        <v>6</v>
      </c>
      <c r="G958" s="351" t="s">
        <v>1208</v>
      </c>
      <c r="H958" s="350" t="s">
        <v>1016</v>
      </c>
      <c r="I958" s="350" t="s">
        <v>393</v>
      </c>
      <c r="J958" s="560">
        <v>496000</v>
      </c>
      <c r="K958" s="350" t="s">
        <v>394</v>
      </c>
      <c r="L958" s="353">
        <v>2801.6</v>
      </c>
      <c r="M958" s="560">
        <f t="shared" si="890"/>
        <v>177.04169046259281</v>
      </c>
      <c r="N958" s="354" t="s">
        <v>395</v>
      </c>
      <c r="O958" s="354">
        <v>0</v>
      </c>
      <c r="P958" s="374"/>
      <c r="Q958" s="354">
        <v>0</v>
      </c>
      <c r="R958" s="354">
        <v>0</v>
      </c>
      <c r="S958" s="354">
        <v>0</v>
      </c>
      <c r="T958" s="354">
        <v>0</v>
      </c>
      <c r="U958" s="374"/>
      <c r="V958" s="354">
        <v>0</v>
      </c>
      <c r="W958" s="354">
        <v>0</v>
      </c>
      <c r="X958" s="354">
        <v>0</v>
      </c>
      <c r="Y958" s="374"/>
      <c r="Z958" s="354">
        <v>0</v>
      </c>
      <c r="AA958" s="354">
        <v>0</v>
      </c>
      <c r="AB958" s="374"/>
      <c r="AC958" s="376">
        <v>0</v>
      </c>
      <c r="AD958" s="376">
        <v>0</v>
      </c>
      <c r="AE958" s="376">
        <v>0</v>
      </c>
      <c r="AF958" s="374"/>
      <c r="AG958" s="376">
        <v>0</v>
      </c>
      <c r="AH958" s="376">
        <v>0</v>
      </c>
      <c r="AI958" s="376">
        <v>0</v>
      </c>
      <c r="AJ958" s="376">
        <v>0</v>
      </c>
      <c r="AK958" s="374"/>
      <c r="AL958" s="376">
        <v>0</v>
      </c>
      <c r="AM958" s="376">
        <v>0</v>
      </c>
      <c r="AN958" s="376">
        <v>0</v>
      </c>
      <c r="AO958" s="374"/>
      <c r="AP958" s="376">
        <v>0</v>
      </c>
      <c r="AQ958" s="376">
        <v>0</v>
      </c>
      <c r="AR958" s="374"/>
      <c r="AS958" s="376">
        <v>0</v>
      </c>
      <c r="AT958" s="376">
        <v>0</v>
      </c>
      <c r="AU958" s="355" t="s">
        <v>396</v>
      </c>
      <c r="AV958" s="354" t="s">
        <v>345</v>
      </c>
      <c r="AW958" s="355">
        <v>0</v>
      </c>
      <c r="AX958" s="355">
        <v>0</v>
      </c>
      <c r="AY958" s="355">
        <v>0</v>
      </c>
      <c r="AZ958" s="355">
        <v>0</v>
      </c>
      <c r="BA958" s="355">
        <v>0</v>
      </c>
      <c r="BB958" s="355">
        <v>0</v>
      </c>
    </row>
    <row r="959" spans="1:54" x14ac:dyDescent="0.25">
      <c r="A959" s="348" t="s">
        <v>1240</v>
      </c>
      <c r="B959" s="349">
        <v>72</v>
      </c>
      <c r="C959" s="349" t="s">
        <v>1137</v>
      </c>
      <c r="D959" s="351" t="s">
        <v>983</v>
      </c>
      <c r="E959" s="352"/>
      <c r="F959" s="352">
        <v>6</v>
      </c>
      <c r="G959" s="351" t="s">
        <v>1208</v>
      </c>
      <c r="H959" s="350" t="s">
        <v>1234</v>
      </c>
      <c r="I959" s="350" t="s">
        <v>393</v>
      </c>
      <c r="J959" s="560">
        <v>1860000</v>
      </c>
      <c r="K959" s="350" t="s">
        <v>394</v>
      </c>
      <c r="L959" s="353">
        <v>2801.6</v>
      </c>
      <c r="M959" s="560">
        <f t="shared" si="890"/>
        <v>663.90633923472308</v>
      </c>
      <c r="N959" s="354" t="s">
        <v>395</v>
      </c>
      <c r="O959" s="354">
        <v>0</v>
      </c>
      <c r="P959" s="374"/>
      <c r="Q959" s="354">
        <v>0</v>
      </c>
      <c r="R959" s="354">
        <v>0</v>
      </c>
      <c r="S959" s="354">
        <v>0</v>
      </c>
      <c r="T959" s="354">
        <v>0</v>
      </c>
      <c r="U959" s="374"/>
      <c r="V959" s="354">
        <v>0</v>
      </c>
      <c r="W959" s="354">
        <v>0</v>
      </c>
      <c r="X959" s="354">
        <v>0</v>
      </c>
      <c r="Y959" s="374"/>
      <c r="Z959" s="354">
        <v>0</v>
      </c>
      <c r="AA959" s="354">
        <v>0</v>
      </c>
      <c r="AB959" s="374"/>
      <c r="AC959" s="376">
        <v>0</v>
      </c>
      <c r="AD959" s="376">
        <v>0</v>
      </c>
      <c r="AE959" s="376">
        <v>0</v>
      </c>
      <c r="AF959" s="374"/>
      <c r="AG959" s="376">
        <v>0</v>
      </c>
      <c r="AH959" s="376">
        <v>0</v>
      </c>
      <c r="AI959" s="376">
        <v>0</v>
      </c>
      <c r="AJ959" s="376">
        <v>0</v>
      </c>
      <c r="AK959" s="374"/>
      <c r="AL959" s="376">
        <v>0</v>
      </c>
      <c r="AM959" s="376">
        <v>0</v>
      </c>
      <c r="AN959" s="376">
        <v>0</v>
      </c>
      <c r="AO959" s="374"/>
      <c r="AP959" s="376">
        <v>0</v>
      </c>
      <c r="AQ959" s="376">
        <v>0</v>
      </c>
      <c r="AR959" s="374"/>
      <c r="AS959" s="376">
        <v>0</v>
      </c>
      <c r="AT959" s="376">
        <v>0</v>
      </c>
      <c r="AU959" s="355" t="s">
        <v>396</v>
      </c>
      <c r="AV959" s="354" t="s">
        <v>345</v>
      </c>
      <c r="AW959" s="355">
        <v>0</v>
      </c>
      <c r="AX959" s="355">
        <v>0</v>
      </c>
      <c r="AY959" s="355">
        <v>0</v>
      </c>
      <c r="AZ959" s="355">
        <v>0</v>
      </c>
      <c r="BA959" s="355">
        <v>0</v>
      </c>
      <c r="BB959" s="355">
        <v>0</v>
      </c>
    </row>
    <row r="960" spans="1:54" x14ac:dyDescent="0.25">
      <c r="A960" s="348" t="s">
        <v>1241</v>
      </c>
      <c r="B960" s="349">
        <v>78</v>
      </c>
      <c r="C960" s="350" t="s">
        <v>1137</v>
      </c>
      <c r="D960" s="351" t="s">
        <v>1242</v>
      </c>
      <c r="E960" s="352">
        <v>6312</v>
      </c>
      <c r="F960" s="352">
        <v>6</v>
      </c>
      <c r="G960" s="351" t="s">
        <v>1208</v>
      </c>
      <c r="H960" s="350" t="s">
        <v>1243</v>
      </c>
      <c r="I960" s="350" t="s">
        <v>393</v>
      </c>
      <c r="J960" s="560">
        <v>1800000</v>
      </c>
      <c r="K960" s="350" t="s">
        <v>394</v>
      </c>
      <c r="L960" s="353">
        <v>2801.6</v>
      </c>
      <c r="M960" s="560">
        <f t="shared" si="890"/>
        <v>642.49000571102226</v>
      </c>
      <c r="N960" s="354" t="s">
        <v>395</v>
      </c>
      <c r="O960" s="354">
        <v>0</v>
      </c>
      <c r="P960" s="374"/>
      <c r="Q960" s="354">
        <v>0</v>
      </c>
      <c r="R960" s="354">
        <v>0</v>
      </c>
      <c r="S960" s="354">
        <v>0</v>
      </c>
      <c r="T960" s="354">
        <v>0</v>
      </c>
      <c r="U960" s="374"/>
      <c r="V960" s="354">
        <v>0</v>
      </c>
      <c r="W960" s="354">
        <v>0</v>
      </c>
      <c r="X960" s="354">
        <v>0</v>
      </c>
      <c r="Y960" s="374"/>
      <c r="Z960" s="354">
        <v>0</v>
      </c>
      <c r="AA960" s="354">
        <v>0</v>
      </c>
      <c r="AB960" s="374"/>
      <c r="AC960" s="376">
        <v>0</v>
      </c>
      <c r="AD960" s="376">
        <v>0</v>
      </c>
      <c r="AE960" s="376">
        <v>0</v>
      </c>
      <c r="AF960" s="374"/>
      <c r="AG960" s="376">
        <v>0</v>
      </c>
      <c r="AH960" s="376">
        <v>0</v>
      </c>
      <c r="AI960" s="376">
        <v>0</v>
      </c>
      <c r="AJ960" s="376">
        <v>0</v>
      </c>
      <c r="AK960" s="374"/>
      <c r="AL960" s="376">
        <v>0</v>
      </c>
      <c r="AM960" s="376">
        <v>0</v>
      </c>
      <c r="AN960" s="376">
        <v>0</v>
      </c>
      <c r="AO960" s="374"/>
      <c r="AP960" s="376">
        <v>0</v>
      </c>
      <c r="AQ960" s="376">
        <v>0</v>
      </c>
      <c r="AR960" s="374"/>
      <c r="AS960" s="376">
        <v>0</v>
      </c>
      <c r="AT960" s="376">
        <v>0</v>
      </c>
      <c r="AU960" s="355" t="s">
        <v>396</v>
      </c>
      <c r="AV960" s="354" t="s">
        <v>345</v>
      </c>
      <c r="AW960" s="355">
        <v>0</v>
      </c>
      <c r="AX960" s="355">
        <v>0</v>
      </c>
      <c r="AY960" s="355">
        <v>0</v>
      </c>
      <c r="AZ960" s="355">
        <v>0</v>
      </c>
      <c r="BA960" s="355">
        <v>0</v>
      </c>
      <c r="BB960" s="355">
        <v>0</v>
      </c>
    </row>
    <row r="961" spans="1:54" x14ac:dyDescent="0.25">
      <c r="A961" s="348" t="s">
        <v>1244</v>
      </c>
      <c r="B961" s="349">
        <v>83</v>
      </c>
      <c r="C961" s="350" t="s">
        <v>1137</v>
      </c>
      <c r="D961" s="351" t="s">
        <v>1245</v>
      </c>
      <c r="E961" s="352">
        <v>6345</v>
      </c>
      <c r="F961" s="352">
        <v>6</v>
      </c>
      <c r="G961" s="351" t="s">
        <v>1208</v>
      </c>
      <c r="H961" s="350" t="s">
        <v>1246</v>
      </c>
      <c r="I961" s="350" t="s">
        <v>393</v>
      </c>
      <c r="J961" s="560">
        <v>640000</v>
      </c>
      <c r="K961" s="350" t="s">
        <v>394</v>
      </c>
      <c r="L961" s="353">
        <v>2801.6</v>
      </c>
      <c r="M961" s="560">
        <f t="shared" si="890"/>
        <v>228.44089091947458</v>
      </c>
      <c r="N961" s="354" t="s">
        <v>395</v>
      </c>
      <c r="O961" s="354">
        <v>0</v>
      </c>
      <c r="P961" s="374"/>
      <c r="Q961" s="354">
        <v>0</v>
      </c>
      <c r="R961" s="354">
        <v>0</v>
      </c>
      <c r="S961" s="354">
        <v>0</v>
      </c>
      <c r="T961" s="354">
        <v>0</v>
      </c>
      <c r="U961" s="374"/>
      <c r="V961" s="354">
        <v>0</v>
      </c>
      <c r="W961" s="354">
        <v>0</v>
      </c>
      <c r="X961" s="354">
        <v>0</v>
      </c>
      <c r="Y961" s="374"/>
      <c r="Z961" s="354">
        <v>0</v>
      </c>
      <c r="AA961" s="354">
        <v>0</v>
      </c>
      <c r="AB961" s="374"/>
      <c r="AC961" s="376">
        <v>0</v>
      </c>
      <c r="AD961" s="376">
        <v>0</v>
      </c>
      <c r="AE961" s="376">
        <v>0</v>
      </c>
      <c r="AF961" s="374"/>
      <c r="AG961" s="376">
        <v>0</v>
      </c>
      <c r="AH961" s="376">
        <v>0</v>
      </c>
      <c r="AI961" s="376">
        <v>0</v>
      </c>
      <c r="AJ961" s="376">
        <v>0</v>
      </c>
      <c r="AK961" s="374"/>
      <c r="AL961" s="376">
        <v>0</v>
      </c>
      <c r="AM961" s="376">
        <v>0</v>
      </c>
      <c r="AN961" s="376">
        <v>0</v>
      </c>
      <c r="AO961" s="374"/>
      <c r="AP961" s="376">
        <v>0</v>
      </c>
      <c r="AQ961" s="376">
        <v>0</v>
      </c>
      <c r="AR961" s="374"/>
      <c r="AS961" s="376">
        <v>0</v>
      </c>
      <c r="AT961" s="376">
        <v>0</v>
      </c>
      <c r="AU961" s="355" t="s">
        <v>396</v>
      </c>
      <c r="AV961" s="354" t="s">
        <v>345</v>
      </c>
      <c r="AW961" s="355">
        <v>0</v>
      </c>
      <c r="AX961" s="355">
        <v>0</v>
      </c>
      <c r="AY961" s="355">
        <v>0</v>
      </c>
      <c r="AZ961" s="355">
        <v>0</v>
      </c>
      <c r="BA961" s="355">
        <v>0</v>
      </c>
      <c r="BB961" s="355">
        <v>0</v>
      </c>
    </row>
    <row r="962" spans="1:54" x14ac:dyDescent="0.25">
      <c r="A962" s="348" t="s">
        <v>1244</v>
      </c>
      <c r="B962" s="349">
        <v>83</v>
      </c>
      <c r="C962" s="350" t="s">
        <v>1137</v>
      </c>
      <c r="D962" s="351" t="s">
        <v>1245</v>
      </c>
      <c r="E962" s="352">
        <v>6345</v>
      </c>
      <c r="F962" s="352">
        <v>6</v>
      </c>
      <c r="G962" s="351" t="s">
        <v>1208</v>
      </c>
      <c r="H962" s="350" t="s">
        <v>1221</v>
      </c>
      <c r="I962" s="350" t="s">
        <v>393</v>
      </c>
      <c r="J962" s="560">
        <v>360000</v>
      </c>
      <c r="K962" s="350" t="s">
        <v>394</v>
      </c>
      <c r="L962" s="353">
        <v>2801.6</v>
      </c>
      <c r="M962" s="560">
        <f t="shared" si="890"/>
        <v>128.49800114220446</v>
      </c>
      <c r="N962" s="354" t="s">
        <v>395</v>
      </c>
      <c r="O962" s="354">
        <v>0</v>
      </c>
      <c r="P962" s="374"/>
      <c r="Q962" s="354">
        <v>0</v>
      </c>
      <c r="R962" s="354">
        <v>0</v>
      </c>
      <c r="S962" s="354">
        <v>0</v>
      </c>
      <c r="T962" s="354">
        <v>0</v>
      </c>
      <c r="U962" s="374"/>
      <c r="V962" s="354">
        <v>0</v>
      </c>
      <c r="W962" s="354">
        <v>0</v>
      </c>
      <c r="X962" s="354">
        <v>0</v>
      </c>
      <c r="Y962" s="374"/>
      <c r="Z962" s="354">
        <v>0</v>
      </c>
      <c r="AA962" s="354">
        <v>0</v>
      </c>
      <c r="AB962" s="374"/>
      <c r="AC962" s="376">
        <v>0</v>
      </c>
      <c r="AD962" s="376">
        <v>0</v>
      </c>
      <c r="AE962" s="376">
        <v>0</v>
      </c>
      <c r="AF962" s="374"/>
      <c r="AG962" s="376">
        <v>0</v>
      </c>
      <c r="AH962" s="376">
        <v>0</v>
      </c>
      <c r="AI962" s="376">
        <v>0</v>
      </c>
      <c r="AJ962" s="376">
        <v>0</v>
      </c>
      <c r="AK962" s="374"/>
      <c r="AL962" s="376">
        <v>0</v>
      </c>
      <c r="AM962" s="376">
        <v>0</v>
      </c>
      <c r="AN962" s="376">
        <v>0</v>
      </c>
      <c r="AO962" s="374"/>
      <c r="AP962" s="376">
        <v>0</v>
      </c>
      <c r="AQ962" s="376">
        <v>0</v>
      </c>
      <c r="AR962" s="374"/>
      <c r="AS962" s="376">
        <v>0</v>
      </c>
      <c r="AT962" s="376">
        <v>0</v>
      </c>
      <c r="AU962" s="355" t="s">
        <v>396</v>
      </c>
      <c r="AV962" s="354" t="s">
        <v>345</v>
      </c>
      <c r="AW962" s="355">
        <v>0</v>
      </c>
      <c r="AX962" s="355">
        <v>0</v>
      </c>
      <c r="AY962" s="355">
        <v>0</v>
      </c>
      <c r="AZ962" s="355">
        <v>0</v>
      </c>
      <c r="BA962" s="355">
        <v>0</v>
      </c>
      <c r="BB962" s="355">
        <v>0</v>
      </c>
    </row>
    <row r="963" spans="1:54" x14ac:dyDescent="0.25">
      <c r="A963" s="348" t="s">
        <v>1244</v>
      </c>
      <c r="B963" s="349">
        <v>83</v>
      </c>
      <c r="C963" s="350" t="s">
        <v>1137</v>
      </c>
      <c r="D963" s="351" t="s">
        <v>1245</v>
      </c>
      <c r="E963" s="352">
        <v>6345</v>
      </c>
      <c r="F963" s="352">
        <v>6</v>
      </c>
      <c r="G963" s="351" t="s">
        <v>1208</v>
      </c>
      <c r="H963" s="350" t="s">
        <v>1247</v>
      </c>
      <c r="I963" s="350" t="s">
        <v>393</v>
      </c>
      <c r="J963" s="560">
        <v>200000</v>
      </c>
      <c r="K963" s="350" t="s">
        <v>394</v>
      </c>
      <c r="L963" s="353">
        <v>2801.6</v>
      </c>
      <c r="M963" s="560">
        <f t="shared" si="890"/>
        <v>71.387778412335805</v>
      </c>
      <c r="N963" s="354" t="s">
        <v>395</v>
      </c>
      <c r="O963" s="354">
        <v>0</v>
      </c>
      <c r="P963" s="374"/>
      <c r="Q963" s="354">
        <v>0</v>
      </c>
      <c r="R963" s="354">
        <v>0</v>
      </c>
      <c r="S963" s="354">
        <v>0</v>
      </c>
      <c r="T963" s="354">
        <v>0</v>
      </c>
      <c r="U963" s="374"/>
      <c r="V963" s="354">
        <v>0</v>
      </c>
      <c r="W963" s="354">
        <v>0</v>
      </c>
      <c r="X963" s="354">
        <v>0</v>
      </c>
      <c r="Y963" s="374"/>
      <c r="Z963" s="354">
        <v>0</v>
      </c>
      <c r="AA963" s="354">
        <v>0</v>
      </c>
      <c r="AB963" s="374"/>
      <c r="AC963" s="376">
        <v>0</v>
      </c>
      <c r="AD963" s="376">
        <v>0</v>
      </c>
      <c r="AE963" s="376">
        <v>0</v>
      </c>
      <c r="AF963" s="374"/>
      <c r="AG963" s="376">
        <v>0</v>
      </c>
      <c r="AH963" s="376">
        <v>0</v>
      </c>
      <c r="AI963" s="376">
        <v>0</v>
      </c>
      <c r="AJ963" s="376">
        <v>0</v>
      </c>
      <c r="AK963" s="374"/>
      <c r="AL963" s="376">
        <v>0</v>
      </c>
      <c r="AM963" s="376">
        <v>0</v>
      </c>
      <c r="AN963" s="376">
        <v>0</v>
      </c>
      <c r="AO963" s="374"/>
      <c r="AP963" s="376">
        <v>0</v>
      </c>
      <c r="AQ963" s="376">
        <v>0</v>
      </c>
      <c r="AR963" s="374"/>
      <c r="AS963" s="376">
        <v>0</v>
      </c>
      <c r="AT963" s="376">
        <v>0</v>
      </c>
      <c r="AU963" s="355" t="s">
        <v>396</v>
      </c>
      <c r="AV963" s="354" t="s">
        <v>345</v>
      </c>
      <c r="AW963" s="355">
        <v>0</v>
      </c>
      <c r="AX963" s="355">
        <v>0</v>
      </c>
      <c r="AY963" s="355">
        <v>0</v>
      </c>
      <c r="AZ963" s="355">
        <v>0</v>
      </c>
      <c r="BA963" s="355">
        <v>0</v>
      </c>
      <c r="BB963" s="355">
        <v>0</v>
      </c>
    </row>
    <row r="964" spans="1:54" x14ac:dyDescent="0.25">
      <c r="A964" s="348" t="s">
        <v>1248</v>
      </c>
      <c r="B964" s="349">
        <v>67</v>
      </c>
      <c r="C964" s="350" t="s">
        <v>1137</v>
      </c>
      <c r="D964" s="351" t="s">
        <v>1245</v>
      </c>
      <c r="E964" s="352">
        <v>6172</v>
      </c>
      <c r="F964" s="352">
        <v>6</v>
      </c>
      <c r="G964" s="351" t="s">
        <v>1208</v>
      </c>
      <c r="H964" s="350" t="s">
        <v>1249</v>
      </c>
      <c r="I964" s="350" t="s">
        <v>393</v>
      </c>
      <c r="J964" s="560">
        <v>1201500</v>
      </c>
      <c r="K964" s="350" t="s">
        <v>394</v>
      </c>
      <c r="L964" s="353">
        <v>2801.6</v>
      </c>
      <c r="M964" s="560">
        <f t="shared" si="890"/>
        <v>428.86207881210737</v>
      </c>
      <c r="N964" s="354" t="s">
        <v>395</v>
      </c>
      <c r="O964" s="354">
        <v>0</v>
      </c>
      <c r="P964" s="374"/>
      <c r="Q964" s="354">
        <v>0</v>
      </c>
      <c r="R964" s="354">
        <v>0</v>
      </c>
      <c r="S964" s="354">
        <v>0</v>
      </c>
      <c r="T964" s="354">
        <v>0</v>
      </c>
      <c r="U964" s="374"/>
      <c r="V964" s="354">
        <v>0</v>
      </c>
      <c r="W964" s="354">
        <v>0</v>
      </c>
      <c r="X964" s="354">
        <v>0</v>
      </c>
      <c r="Y964" s="374"/>
      <c r="Z964" s="354">
        <v>0</v>
      </c>
      <c r="AA964" s="354">
        <v>0</v>
      </c>
      <c r="AB964" s="374"/>
      <c r="AC964" s="376">
        <v>0</v>
      </c>
      <c r="AD964" s="376">
        <v>0</v>
      </c>
      <c r="AE964" s="376">
        <v>0</v>
      </c>
      <c r="AF964" s="374"/>
      <c r="AG964" s="376">
        <v>0</v>
      </c>
      <c r="AH964" s="376">
        <v>0</v>
      </c>
      <c r="AI964" s="376">
        <v>0</v>
      </c>
      <c r="AJ964" s="376">
        <v>0</v>
      </c>
      <c r="AK964" s="374"/>
      <c r="AL964" s="376">
        <v>0</v>
      </c>
      <c r="AM964" s="376">
        <v>0</v>
      </c>
      <c r="AN964" s="376">
        <v>0</v>
      </c>
      <c r="AO964" s="374"/>
      <c r="AP964" s="376">
        <v>0</v>
      </c>
      <c r="AQ964" s="376">
        <v>0</v>
      </c>
      <c r="AR964" s="374"/>
      <c r="AS964" s="376">
        <v>0</v>
      </c>
      <c r="AT964" s="376">
        <v>0</v>
      </c>
      <c r="AU964" s="355" t="s">
        <v>396</v>
      </c>
      <c r="AV964" s="354" t="s">
        <v>345</v>
      </c>
      <c r="AW964" s="355">
        <v>0</v>
      </c>
      <c r="AX964" s="355">
        <v>0</v>
      </c>
      <c r="AY964" s="355">
        <v>0</v>
      </c>
      <c r="AZ964" s="355">
        <v>0</v>
      </c>
      <c r="BA964" s="355">
        <v>0</v>
      </c>
      <c r="BB964" s="355">
        <v>0</v>
      </c>
    </row>
    <row r="965" spans="1:54" x14ac:dyDescent="0.25">
      <c r="A965" s="348" t="s">
        <v>1250</v>
      </c>
      <c r="B965" s="349">
        <v>65</v>
      </c>
      <c r="C965" s="350" t="s">
        <v>1137</v>
      </c>
      <c r="D965" s="351" t="s">
        <v>1245</v>
      </c>
      <c r="E965" s="352">
        <v>6179</v>
      </c>
      <c r="F965" s="352">
        <v>6</v>
      </c>
      <c r="G965" s="351" t="s">
        <v>1208</v>
      </c>
      <c r="H965" s="350" t="s">
        <v>1251</v>
      </c>
      <c r="I965" s="350" t="s">
        <v>393</v>
      </c>
      <c r="J965" s="560">
        <v>400000</v>
      </c>
      <c r="K965" s="350" t="s">
        <v>394</v>
      </c>
      <c r="L965" s="353">
        <v>2801.6</v>
      </c>
      <c r="M965" s="560">
        <f t="shared" si="890"/>
        <v>142.77555682467161</v>
      </c>
      <c r="N965" s="354" t="s">
        <v>395</v>
      </c>
      <c r="O965" s="354">
        <v>0</v>
      </c>
      <c r="P965" s="374"/>
      <c r="Q965" s="354">
        <v>0</v>
      </c>
      <c r="R965" s="354">
        <v>0</v>
      </c>
      <c r="S965" s="354">
        <v>0</v>
      </c>
      <c r="T965" s="354">
        <v>0</v>
      </c>
      <c r="U965" s="374"/>
      <c r="V965" s="354">
        <v>0</v>
      </c>
      <c r="W965" s="354">
        <v>0</v>
      </c>
      <c r="X965" s="354">
        <v>0</v>
      </c>
      <c r="Y965" s="374"/>
      <c r="Z965" s="354">
        <v>0</v>
      </c>
      <c r="AA965" s="354">
        <v>0</v>
      </c>
      <c r="AB965" s="374"/>
      <c r="AC965" s="376">
        <v>0</v>
      </c>
      <c r="AD965" s="376">
        <v>0</v>
      </c>
      <c r="AE965" s="376">
        <v>0</v>
      </c>
      <c r="AF965" s="374"/>
      <c r="AG965" s="376">
        <v>0</v>
      </c>
      <c r="AH965" s="376">
        <v>0</v>
      </c>
      <c r="AI965" s="376">
        <v>0</v>
      </c>
      <c r="AJ965" s="376">
        <v>0</v>
      </c>
      <c r="AK965" s="374"/>
      <c r="AL965" s="376">
        <v>0</v>
      </c>
      <c r="AM965" s="376">
        <v>0</v>
      </c>
      <c r="AN965" s="376">
        <v>0</v>
      </c>
      <c r="AO965" s="374"/>
      <c r="AP965" s="376">
        <v>0</v>
      </c>
      <c r="AQ965" s="376">
        <v>0</v>
      </c>
      <c r="AR965" s="374"/>
      <c r="AS965" s="376">
        <v>0</v>
      </c>
      <c r="AT965" s="376">
        <v>0</v>
      </c>
      <c r="AU965" s="355" t="s">
        <v>396</v>
      </c>
      <c r="AV965" s="354" t="s">
        <v>345</v>
      </c>
      <c r="AW965" s="355">
        <v>0</v>
      </c>
      <c r="AX965" s="355">
        <v>0</v>
      </c>
      <c r="AY965" s="355">
        <v>0</v>
      </c>
      <c r="AZ965" s="355">
        <v>0</v>
      </c>
      <c r="BA965" s="355">
        <v>0</v>
      </c>
      <c r="BB965" s="355">
        <v>0</v>
      </c>
    </row>
    <row r="966" spans="1:54" x14ac:dyDescent="0.25">
      <c r="A966" s="348" t="s">
        <v>1250</v>
      </c>
      <c r="B966" s="349">
        <v>65</v>
      </c>
      <c r="C966" s="350" t="s">
        <v>1137</v>
      </c>
      <c r="D966" s="351" t="s">
        <v>1245</v>
      </c>
      <c r="E966" s="352">
        <v>6179</v>
      </c>
      <c r="F966" s="352">
        <v>6</v>
      </c>
      <c r="G966" s="351" t="s">
        <v>1208</v>
      </c>
      <c r="H966" s="350" t="s">
        <v>1252</v>
      </c>
      <c r="I966" s="350" t="s">
        <v>393</v>
      </c>
      <c r="J966" s="560">
        <v>150000</v>
      </c>
      <c r="K966" s="350" t="s">
        <v>394</v>
      </c>
      <c r="L966" s="353">
        <v>2801.6</v>
      </c>
      <c r="M966" s="560">
        <f t="shared" si="890"/>
        <v>53.540833809251858</v>
      </c>
      <c r="N966" s="354" t="s">
        <v>395</v>
      </c>
      <c r="O966" s="354">
        <v>0</v>
      </c>
      <c r="P966" s="374"/>
      <c r="Q966" s="354">
        <v>0</v>
      </c>
      <c r="R966" s="354">
        <v>0</v>
      </c>
      <c r="S966" s="354">
        <v>0</v>
      </c>
      <c r="T966" s="354">
        <v>0</v>
      </c>
      <c r="U966" s="374"/>
      <c r="V966" s="354">
        <v>0</v>
      </c>
      <c r="W966" s="354">
        <v>0</v>
      </c>
      <c r="X966" s="354">
        <v>0</v>
      </c>
      <c r="Y966" s="374"/>
      <c r="Z966" s="354">
        <v>0</v>
      </c>
      <c r="AA966" s="354">
        <v>0</v>
      </c>
      <c r="AB966" s="374"/>
      <c r="AC966" s="376">
        <v>0</v>
      </c>
      <c r="AD966" s="376">
        <v>0</v>
      </c>
      <c r="AE966" s="376">
        <v>0</v>
      </c>
      <c r="AF966" s="374"/>
      <c r="AG966" s="376">
        <v>0</v>
      </c>
      <c r="AH966" s="376">
        <v>0</v>
      </c>
      <c r="AI966" s="376">
        <v>0</v>
      </c>
      <c r="AJ966" s="376">
        <v>0</v>
      </c>
      <c r="AK966" s="374"/>
      <c r="AL966" s="376">
        <v>0</v>
      </c>
      <c r="AM966" s="376">
        <v>0</v>
      </c>
      <c r="AN966" s="376">
        <v>0</v>
      </c>
      <c r="AO966" s="374"/>
      <c r="AP966" s="376">
        <v>0</v>
      </c>
      <c r="AQ966" s="376">
        <v>0</v>
      </c>
      <c r="AR966" s="374"/>
      <c r="AS966" s="376">
        <v>0</v>
      </c>
      <c r="AT966" s="376">
        <v>0</v>
      </c>
      <c r="AU966" s="355" t="s">
        <v>396</v>
      </c>
      <c r="AV966" s="354" t="s">
        <v>345</v>
      </c>
      <c r="AW966" s="355">
        <v>0</v>
      </c>
      <c r="AX966" s="355">
        <v>0</v>
      </c>
      <c r="AY966" s="355">
        <v>0</v>
      </c>
      <c r="AZ966" s="355">
        <v>0</v>
      </c>
      <c r="BA966" s="355">
        <v>0</v>
      </c>
      <c r="BB966" s="355">
        <v>0</v>
      </c>
    </row>
    <row r="967" spans="1:54" x14ac:dyDescent="0.25">
      <c r="A967" s="348" t="s">
        <v>1250</v>
      </c>
      <c r="B967" s="349">
        <v>65</v>
      </c>
      <c r="C967" s="350" t="s">
        <v>1137</v>
      </c>
      <c r="D967" s="351" t="s">
        <v>1245</v>
      </c>
      <c r="E967" s="352">
        <v>6179</v>
      </c>
      <c r="F967" s="352">
        <v>6</v>
      </c>
      <c r="G967" s="351" t="s">
        <v>1208</v>
      </c>
      <c r="H967" s="350" t="s">
        <v>1253</v>
      </c>
      <c r="I967" s="350" t="s">
        <v>393</v>
      </c>
      <c r="J967" s="560">
        <v>300000</v>
      </c>
      <c r="K967" s="350" t="s">
        <v>394</v>
      </c>
      <c r="L967" s="353">
        <v>2801.6</v>
      </c>
      <c r="M967" s="560">
        <f t="shared" si="890"/>
        <v>107.08166761850372</v>
      </c>
      <c r="N967" s="354" t="s">
        <v>395</v>
      </c>
      <c r="O967" s="354">
        <v>0</v>
      </c>
      <c r="P967" s="374"/>
      <c r="Q967" s="354">
        <v>0</v>
      </c>
      <c r="R967" s="354">
        <v>0</v>
      </c>
      <c r="S967" s="354">
        <v>0</v>
      </c>
      <c r="T967" s="354">
        <v>0</v>
      </c>
      <c r="U967" s="374"/>
      <c r="V967" s="354">
        <v>0</v>
      </c>
      <c r="W967" s="354">
        <v>0</v>
      </c>
      <c r="X967" s="354">
        <v>0</v>
      </c>
      <c r="Y967" s="374"/>
      <c r="Z967" s="354">
        <v>0</v>
      </c>
      <c r="AA967" s="354">
        <v>0</v>
      </c>
      <c r="AB967" s="374"/>
      <c r="AC967" s="376">
        <v>0</v>
      </c>
      <c r="AD967" s="376">
        <v>0</v>
      </c>
      <c r="AE967" s="376">
        <v>0</v>
      </c>
      <c r="AF967" s="374"/>
      <c r="AG967" s="376">
        <v>0</v>
      </c>
      <c r="AH967" s="376">
        <v>0</v>
      </c>
      <c r="AI967" s="376">
        <v>0</v>
      </c>
      <c r="AJ967" s="376">
        <v>0</v>
      </c>
      <c r="AK967" s="374"/>
      <c r="AL967" s="376">
        <v>0</v>
      </c>
      <c r="AM967" s="376">
        <v>0</v>
      </c>
      <c r="AN967" s="376">
        <v>0</v>
      </c>
      <c r="AO967" s="374"/>
      <c r="AP967" s="376">
        <v>0</v>
      </c>
      <c r="AQ967" s="376">
        <v>0</v>
      </c>
      <c r="AR967" s="374"/>
      <c r="AS967" s="376">
        <v>0</v>
      </c>
      <c r="AT967" s="376">
        <v>0</v>
      </c>
      <c r="AU967" s="355" t="s">
        <v>396</v>
      </c>
      <c r="AV967" s="354" t="s">
        <v>345</v>
      </c>
      <c r="AW967" s="355">
        <v>0</v>
      </c>
      <c r="AX967" s="355">
        <v>0</v>
      </c>
      <c r="AY967" s="355">
        <v>0</v>
      </c>
      <c r="AZ967" s="355">
        <v>0</v>
      </c>
      <c r="BA967" s="355">
        <v>0</v>
      </c>
      <c r="BB967" s="355">
        <v>0</v>
      </c>
    </row>
    <row r="968" spans="1:54" x14ac:dyDescent="0.25">
      <c r="A968" s="348" t="s">
        <v>1250</v>
      </c>
      <c r="B968" s="349">
        <v>65</v>
      </c>
      <c r="C968" s="350" t="s">
        <v>1137</v>
      </c>
      <c r="D968" s="351" t="s">
        <v>1245</v>
      </c>
      <c r="E968" s="352">
        <v>6179</v>
      </c>
      <c r="F968" s="352">
        <v>6</v>
      </c>
      <c r="G968" s="351" t="s">
        <v>1208</v>
      </c>
      <c r="H968" s="350" t="s">
        <v>1254</v>
      </c>
      <c r="I968" s="350" t="s">
        <v>393</v>
      </c>
      <c r="J968" s="560">
        <v>150000</v>
      </c>
      <c r="K968" s="350" t="s">
        <v>394</v>
      </c>
      <c r="L968" s="353">
        <v>2801.6</v>
      </c>
      <c r="M968" s="560">
        <f t="shared" si="890"/>
        <v>53.540833809251858</v>
      </c>
      <c r="N968" s="354" t="s">
        <v>395</v>
      </c>
      <c r="O968" s="354">
        <v>0</v>
      </c>
      <c r="P968" s="374"/>
      <c r="Q968" s="354">
        <v>0</v>
      </c>
      <c r="R968" s="354">
        <v>0</v>
      </c>
      <c r="S968" s="354">
        <v>0</v>
      </c>
      <c r="T968" s="354">
        <v>0</v>
      </c>
      <c r="U968" s="374"/>
      <c r="V968" s="354">
        <v>0</v>
      </c>
      <c r="W968" s="354">
        <v>0</v>
      </c>
      <c r="X968" s="354">
        <v>0</v>
      </c>
      <c r="Y968" s="374"/>
      <c r="Z968" s="354">
        <v>0</v>
      </c>
      <c r="AA968" s="354">
        <v>0</v>
      </c>
      <c r="AB968" s="374"/>
      <c r="AC968" s="376">
        <v>0</v>
      </c>
      <c r="AD968" s="376">
        <v>0</v>
      </c>
      <c r="AE968" s="376">
        <v>0</v>
      </c>
      <c r="AF968" s="374"/>
      <c r="AG968" s="376">
        <v>0</v>
      </c>
      <c r="AH968" s="376">
        <v>0</v>
      </c>
      <c r="AI968" s="376">
        <v>0</v>
      </c>
      <c r="AJ968" s="376">
        <v>0</v>
      </c>
      <c r="AK968" s="374"/>
      <c r="AL968" s="376">
        <v>0</v>
      </c>
      <c r="AM968" s="376">
        <v>0</v>
      </c>
      <c r="AN968" s="376">
        <v>0</v>
      </c>
      <c r="AO968" s="374"/>
      <c r="AP968" s="376">
        <v>0</v>
      </c>
      <c r="AQ968" s="376">
        <v>0</v>
      </c>
      <c r="AR968" s="374"/>
      <c r="AS968" s="376">
        <v>0</v>
      </c>
      <c r="AT968" s="376">
        <v>0</v>
      </c>
      <c r="AU968" s="355" t="s">
        <v>396</v>
      </c>
      <c r="AV968" s="354" t="s">
        <v>345</v>
      </c>
      <c r="AW968" s="355">
        <v>0</v>
      </c>
      <c r="AX968" s="355">
        <v>0</v>
      </c>
      <c r="AY968" s="355">
        <v>0</v>
      </c>
      <c r="AZ968" s="355">
        <v>0</v>
      </c>
      <c r="BA968" s="355">
        <v>0</v>
      </c>
      <c r="BB968" s="355">
        <v>0</v>
      </c>
    </row>
    <row r="969" spans="1:54" x14ac:dyDescent="0.25">
      <c r="A969" s="348" t="s">
        <v>1250</v>
      </c>
      <c r="B969" s="349">
        <v>65</v>
      </c>
      <c r="C969" s="350" t="s">
        <v>1137</v>
      </c>
      <c r="D969" s="351" t="s">
        <v>1245</v>
      </c>
      <c r="E969" s="352">
        <v>6179</v>
      </c>
      <c r="F969" s="352">
        <v>6</v>
      </c>
      <c r="G969" s="351" t="s">
        <v>1208</v>
      </c>
      <c r="H969" s="350" t="s">
        <v>1255</v>
      </c>
      <c r="I969" s="350" t="s">
        <v>393</v>
      </c>
      <c r="J969" s="560">
        <v>60000</v>
      </c>
      <c r="K969" s="350" t="s">
        <v>394</v>
      </c>
      <c r="L969" s="353">
        <v>2801.6</v>
      </c>
      <c r="M969" s="560">
        <f t="shared" si="890"/>
        <v>21.416333523700743</v>
      </c>
      <c r="N969" s="354" t="s">
        <v>395</v>
      </c>
      <c r="O969" s="354">
        <v>0</v>
      </c>
      <c r="P969" s="374"/>
      <c r="Q969" s="354">
        <v>0</v>
      </c>
      <c r="R969" s="354">
        <v>0</v>
      </c>
      <c r="S969" s="354">
        <v>0</v>
      </c>
      <c r="T969" s="354">
        <v>0</v>
      </c>
      <c r="U969" s="374"/>
      <c r="V969" s="354">
        <v>0</v>
      </c>
      <c r="W969" s="354">
        <v>0</v>
      </c>
      <c r="X969" s="354">
        <v>0</v>
      </c>
      <c r="Y969" s="374"/>
      <c r="Z969" s="354">
        <v>0</v>
      </c>
      <c r="AA969" s="354">
        <v>0</v>
      </c>
      <c r="AB969" s="374"/>
      <c r="AC969" s="376">
        <v>0</v>
      </c>
      <c r="AD969" s="376">
        <v>0</v>
      </c>
      <c r="AE969" s="376">
        <v>0</v>
      </c>
      <c r="AF969" s="374"/>
      <c r="AG969" s="376">
        <v>0</v>
      </c>
      <c r="AH969" s="376">
        <v>0</v>
      </c>
      <c r="AI969" s="376">
        <v>0</v>
      </c>
      <c r="AJ969" s="376">
        <v>0</v>
      </c>
      <c r="AK969" s="374"/>
      <c r="AL969" s="376">
        <v>0</v>
      </c>
      <c r="AM969" s="376">
        <v>0</v>
      </c>
      <c r="AN969" s="376">
        <v>0</v>
      </c>
      <c r="AO969" s="374"/>
      <c r="AP969" s="376">
        <v>0</v>
      </c>
      <c r="AQ969" s="376">
        <v>0</v>
      </c>
      <c r="AR969" s="374"/>
      <c r="AS969" s="376">
        <v>0</v>
      </c>
      <c r="AT969" s="376">
        <v>0</v>
      </c>
      <c r="AU969" s="355" t="s">
        <v>396</v>
      </c>
      <c r="AV969" s="354" t="s">
        <v>345</v>
      </c>
      <c r="AW969" s="355">
        <v>0</v>
      </c>
      <c r="AX969" s="355">
        <v>0</v>
      </c>
      <c r="AY969" s="355">
        <v>0</v>
      </c>
      <c r="AZ969" s="355">
        <v>0</v>
      </c>
      <c r="BA969" s="355">
        <v>0</v>
      </c>
      <c r="BB969" s="355">
        <v>0</v>
      </c>
    </row>
    <row r="970" spans="1:54" x14ac:dyDescent="0.25">
      <c r="A970" s="348" t="s">
        <v>1250</v>
      </c>
      <c r="B970" s="349">
        <v>65</v>
      </c>
      <c r="C970" s="350" t="s">
        <v>1137</v>
      </c>
      <c r="D970" s="351" t="s">
        <v>1245</v>
      </c>
      <c r="E970" s="352">
        <v>6179</v>
      </c>
      <c r="F970" s="352">
        <v>6</v>
      </c>
      <c r="G970" s="351" t="s">
        <v>1208</v>
      </c>
      <c r="H970" s="350" t="s">
        <v>1256</v>
      </c>
      <c r="I970" s="350" t="s">
        <v>393</v>
      </c>
      <c r="J970" s="560">
        <v>70000</v>
      </c>
      <c r="K970" s="350" t="s">
        <v>394</v>
      </c>
      <c r="L970" s="353">
        <v>2801.6</v>
      </c>
      <c r="M970" s="560">
        <f t="shared" si="890"/>
        <v>24.985722444317535</v>
      </c>
      <c r="N970" s="354" t="s">
        <v>395</v>
      </c>
      <c r="O970" s="354">
        <v>0</v>
      </c>
      <c r="P970" s="374"/>
      <c r="Q970" s="354">
        <v>0</v>
      </c>
      <c r="R970" s="354">
        <v>0</v>
      </c>
      <c r="S970" s="354">
        <v>0</v>
      </c>
      <c r="T970" s="354">
        <v>0</v>
      </c>
      <c r="U970" s="374"/>
      <c r="V970" s="354">
        <v>0</v>
      </c>
      <c r="W970" s="354">
        <v>0</v>
      </c>
      <c r="X970" s="354">
        <v>0</v>
      </c>
      <c r="Y970" s="374"/>
      <c r="Z970" s="354">
        <v>0</v>
      </c>
      <c r="AA970" s="354">
        <v>0</v>
      </c>
      <c r="AB970" s="374"/>
      <c r="AC970" s="376">
        <v>0</v>
      </c>
      <c r="AD970" s="376">
        <v>0</v>
      </c>
      <c r="AE970" s="376">
        <v>0</v>
      </c>
      <c r="AF970" s="374"/>
      <c r="AG970" s="376">
        <v>0</v>
      </c>
      <c r="AH970" s="376">
        <v>0</v>
      </c>
      <c r="AI970" s="376">
        <v>0</v>
      </c>
      <c r="AJ970" s="376">
        <v>0</v>
      </c>
      <c r="AK970" s="374"/>
      <c r="AL970" s="376">
        <v>0</v>
      </c>
      <c r="AM970" s="376">
        <v>0</v>
      </c>
      <c r="AN970" s="376">
        <v>0</v>
      </c>
      <c r="AO970" s="374"/>
      <c r="AP970" s="376">
        <v>0</v>
      </c>
      <c r="AQ970" s="376">
        <v>0</v>
      </c>
      <c r="AR970" s="374"/>
      <c r="AS970" s="376">
        <v>0</v>
      </c>
      <c r="AT970" s="376">
        <v>0</v>
      </c>
      <c r="AU970" s="355" t="s">
        <v>396</v>
      </c>
      <c r="AV970" s="354" t="s">
        <v>345</v>
      </c>
      <c r="AW970" s="355">
        <v>0</v>
      </c>
      <c r="AX970" s="355">
        <v>0</v>
      </c>
      <c r="AY970" s="355">
        <v>0</v>
      </c>
      <c r="AZ970" s="355">
        <v>0</v>
      </c>
      <c r="BA970" s="355">
        <v>0</v>
      </c>
      <c r="BB970" s="355">
        <v>0</v>
      </c>
    </row>
    <row r="971" spans="1:54" x14ac:dyDescent="0.25">
      <c r="A971" s="348" t="s">
        <v>1257</v>
      </c>
      <c r="B971" s="349">
        <v>82</v>
      </c>
      <c r="C971" s="350" t="s">
        <v>1137</v>
      </c>
      <c r="D971" s="351" t="s">
        <v>1245</v>
      </c>
      <c r="E971" s="352">
        <v>6345</v>
      </c>
      <c r="F971" s="352">
        <v>6</v>
      </c>
      <c r="G971" s="351" t="s">
        <v>1208</v>
      </c>
      <c r="H971" s="350" t="s">
        <v>1258</v>
      </c>
      <c r="I971" s="350" t="s">
        <v>393</v>
      </c>
      <c r="J971" s="560">
        <v>5000</v>
      </c>
      <c r="K971" s="350" t="s">
        <v>394</v>
      </c>
      <c r="L971" s="353">
        <v>2801.6</v>
      </c>
      <c r="M971" s="560">
        <f t="shared" si="890"/>
        <v>1.7846944603083952</v>
      </c>
      <c r="N971" s="354" t="s">
        <v>395</v>
      </c>
      <c r="O971" s="354">
        <v>0</v>
      </c>
      <c r="P971" s="374"/>
      <c r="Q971" s="354">
        <v>0</v>
      </c>
      <c r="R971" s="354">
        <v>0</v>
      </c>
      <c r="S971" s="354">
        <v>0</v>
      </c>
      <c r="T971" s="354">
        <v>0</v>
      </c>
      <c r="U971" s="374"/>
      <c r="V971" s="354">
        <v>0</v>
      </c>
      <c r="W971" s="354">
        <v>0</v>
      </c>
      <c r="X971" s="354">
        <v>0</v>
      </c>
      <c r="Y971" s="374"/>
      <c r="Z971" s="354">
        <v>0</v>
      </c>
      <c r="AA971" s="354">
        <v>0</v>
      </c>
      <c r="AB971" s="374"/>
      <c r="AC971" s="376">
        <v>0</v>
      </c>
      <c r="AD971" s="376">
        <v>0</v>
      </c>
      <c r="AE971" s="376">
        <v>0</v>
      </c>
      <c r="AF971" s="374"/>
      <c r="AG971" s="376">
        <v>0</v>
      </c>
      <c r="AH971" s="376">
        <v>0</v>
      </c>
      <c r="AI971" s="376">
        <v>0</v>
      </c>
      <c r="AJ971" s="376">
        <v>0</v>
      </c>
      <c r="AK971" s="374"/>
      <c r="AL971" s="376">
        <v>0</v>
      </c>
      <c r="AM971" s="376">
        <v>0</v>
      </c>
      <c r="AN971" s="376">
        <v>0</v>
      </c>
      <c r="AO971" s="374"/>
      <c r="AP971" s="376">
        <v>0</v>
      </c>
      <c r="AQ971" s="376">
        <v>0</v>
      </c>
      <c r="AR971" s="374"/>
      <c r="AS971" s="376">
        <v>0</v>
      </c>
      <c r="AT971" s="376">
        <v>0</v>
      </c>
      <c r="AU971" s="355" t="s">
        <v>396</v>
      </c>
      <c r="AV971" s="354" t="s">
        <v>345</v>
      </c>
      <c r="AW971" s="355">
        <v>0</v>
      </c>
      <c r="AX971" s="355">
        <v>0</v>
      </c>
      <c r="AY971" s="355">
        <v>0</v>
      </c>
      <c r="AZ971" s="355">
        <v>0</v>
      </c>
      <c r="BA971" s="355">
        <v>0</v>
      </c>
      <c r="BB971" s="355">
        <v>0</v>
      </c>
    </row>
    <row r="972" spans="1:54" x14ac:dyDescent="0.25">
      <c r="A972" s="348" t="s">
        <v>1257</v>
      </c>
      <c r="B972" s="349">
        <v>82</v>
      </c>
      <c r="C972" s="350" t="s">
        <v>1137</v>
      </c>
      <c r="D972" s="351" t="s">
        <v>1245</v>
      </c>
      <c r="E972" s="352">
        <v>6345</v>
      </c>
      <c r="F972" s="352">
        <v>6</v>
      </c>
      <c r="G972" s="351" t="s">
        <v>1208</v>
      </c>
      <c r="H972" s="350" t="s">
        <v>1259</v>
      </c>
      <c r="I972" s="350" t="s">
        <v>393</v>
      </c>
      <c r="J972" s="560">
        <v>10000</v>
      </c>
      <c r="K972" s="350" t="s">
        <v>394</v>
      </c>
      <c r="L972" s="353">
        <v>2801.6</v>
      </c>
      <c r="M972" s="560">
        <f t="shared" si="890"/>
        <v>3.5693889206167904</v>
      </c>
      <c r="N972" s="354" t="s">
        <v>395</v>
      </c>
      <c r="O972" s="354">
        <v>0</v>
      </c>
      <c r="P972" s="374"/>
      <c r="Q972" s="354">
        <v>0</v>
      </c>
      <c r="R972" s="354">
        <v>0</v>
      </c>
      <c r="S972" s="354">
        <v>0</v>
      </c>
      <c r="T972" s="354">
        <v>0</v>
      </c>
      <c r="U972" s="374"/>
      <c r="V972" s="354">
        <v>0</v>
      </c>
      <c r="W972" s="354">
        <v>0</v>
      </c>
      <c r="X972" s="354">
        <v>0</v>
      </c>
      <c r="Y972" s="374"/>
      <c r="Z972" s="354">
        <v>0</v>
      </c>
      <c r="AA972" s="354">
        <v>0</v>
      </c>
      <c r="AB972" s="374"/>
      <c r="AC972" s="376">
        <v>0</v>
      </c>
      <c r="AD972" s="376">
        <v>0</v>
      </c>
      <c r="AE972" s="376">
        <v>0</v>
      </c>
      <c r="AF972" s="374"/>
      <c r="AG972" s="376">
        <v>0</v>
      </c>
      <c r="AH972" s="376">
        <v>0</v>
      </c>
      <c r="AI972" s="376">
        <v>0</v>
      </c>
      <c r="AJ972" s="376">
        <v>0</v>
      </c>
      <c r="AK972" s="374"/>
      <c r="AL972" s="376">
        <v>0</v>
      </c>
      <c r="AM972" s="376">
        <v>0</v>
      </c>
      <c r="AN972" s="376">
        <v>0</v>
      </c>
      <c r="AO972" s="374"/>
      <c r="AP972" s="376">
        <v>0</v>
      </c>
      <c r="AQ972" s="376">
        <v>0</v>
      </c>
      <c r="AR972" s="374"/>
      <c r="AS972" s="376">
        <v>0</v>
      </c>
      <c r="AT972" s="376">
        <v>0</v>
      </c>
      <c r="AU972" s="355" t="s">
        <v>396</v>
      </c>
      <c r="AV972" s="354" t="s">
        <v>345</v>
      </c>
      <c r="AW972" s="355">
        <v>0</v>
      </c>
      <c r="AX972" s="355">
        <v>0</v>
      </c>
      <c r="AY972" s="355">
        <v>0</v>
      </c>
      <c r="AZ972" s="355">
        <v>0</v>
      </c>
      <c r="BA972" s="355">
        <v>0</v>
      </c>
      <c r="BB972" s="355">
        <v>0</v>
      </c>
    </row>
    <row r="973" spans="1:54" x14ac:dyDescent="0.25">
      <c r="A973" s="348" t="s">
        <v>1257</v>
      </c>
      <c r="B973" s="349">
        <v>82</v>
      </c>
      <c r="C973" s="350" t="s">
        <v>1137</v>
      </c>
      <c r="D973" s="351" t="s">
        <v>1245</v>
      </c>
      <c r="E973" s="352">
        <v>6345</v>
      </c>
      <c r="F973" s="352">
        <v>6</v>
      </c>
      <c r="G973" s="351" t="s">
        <v>1208</v>
      </c>
      <c r="H973" s="350" t="s">
        <v>1260</v>
      </c>
      <c r="I973" s="350" t="s">
        <v>393</v>
      </c>
      <c r="J973" s="560">
        <v>20000</v>
      </c>
      <c r="K973" s="350" t="s">
        <v>394</v>
      </c>
      <c r="L973" s="353">
        <v>2801.6</v>
      </c>
      <c r="M973" s="560">
        <f t="shared" si="890"/>
        <v>7.1387778412335807</v>
      </c>
      <c r="N973" s="354" t="s">
        <v>395</v>
      </c>
      <c r="O973" s="354">
        <v>0</v>
      </c>
      <c r="P973" s="374"/>
      <c r="Q973" s="354">
        <v>0</v>
      </c>
      <c r="R973" s="354">
        <v>0</v>
      </c>
      <c r="S973" s="354">
        <v>0</v>
      </c>
      <c r="T973" s="354">
        <v>0</v>
      </c>
      <c r="U973" s="374"/>
      <c r="V973" s="354">
        <v>0</v>
      </c>
      <c r="W973" s="354">
        <v>0</v>
      </c>
      <c r="X973" s="354">
        <v>0</v>
      </c>
      <c r="Y973" s="374"/>
      <c r="Z973" s="354">
        <v>0</v>
      </c>
      <c r="AA973" s="354">
        <v>0</v>
      </c>
      <c r="AB973" s="374"/>
      <c r="AC973" s="376">
        <v>0</v>
      </c>
      <c r="AD973" s="376">
        <v>0</v>
      </c>
      <c r="AE973" s="376">
        <v>0</v>
      </c>
      <c r="AF973" s="374"/>
      <c r="AG973" s="376">
        <v>0</v>
      </c>
      <c r="AH973" s="376">
        <v>0</v>
      </c>
      <c r="AI973" s="376">
        <v>0</v>
      </c>
      <c r="AJ973" s="376">
        <v>0</v>
      </c>
      <c r="AK973" s="374"/>
      <c r="AL973" s="376">
        <v>0</v>
      </c>
      <c r="AM973" s="376">
        <v>0</v>
      </c>
      <c r="AN973" s="376">
        <v>0</v>
      </c>
      <c r="AO973" s="374"/>
      <c r="AP973" s="376">
        <v>0</v>
      </c>
      <c r="AQ973" s="376">
        <v>0</v>
      </c>
      <c r="AR973" s="374"/>
      <c r="AS973" s="376">
        <v>0</v>
      </c>
      <c r="AT973" s="376">
        <v>0</v>
      </c>
      <c r="AU973" s="355" t="s">
        <v>396</v>
      </c>
      <c r="AV973" s="354" t="s">
        <v>345</v>
      </c>
      <c r="AW973" s="355">
        <v>0</v>
      </c>
      <c r="AX973" s="355">
        <v>0</v>
      </c>
      <c r="AY973" s="355">
        <v>0</v>
      </c>
      <c r="AZ973" s="355">
        <v>0</v>
      </c>
      <c r="BA973" s="355">
        <v>0</v>
      </c>
      <c r="BB973" s="355">
        <v>0</v>
      </c>
    </row>
    <row r="974" spans="1:54" x14ac:dyDescent="0.25">
      <c r="A974" s="348" t="s">
        <v>1257</v>
      </c>
      <c r="B974" s="349">
        <v>82</v>
      </c>
      <c r="C974" s="350" t="s">
        <v>1137</v>
      </c>
      <c r="D974" s="351" t="s">
        <v>1245</v>
      </c>
      <c r="E974" s="352">
        <v>6345</v>
      </c>
      <c r="F974" s="352">
        <v>6</v>
      </c>
      <c r="G974" s="351" t="s">
        <v>1208</v>
      </c>
      <c r="H974" s="350" t="s">
        <v>1261</v>
      </c>
      <c r="I974" s="350" t="s">
        <v>393</v>
      </c>
      <c r="J974" s="560">
        <f>200000-40000</f>
        <v>160000</v>
      </c>
      <c r="K974" s="350" t="s">
        <v>394</v>
      </c>
      <c r="L974" s="353">
        <v>2801.6</v>
      </c>
      <c r="M974" s="560">
        <f t="shared" si="890"/>
        <v>57.110222729868646</v>
      </c>
      <c r="N974" s="354" t="s">
        <v>395</v>
      </c>
      <c r="O974" s="354">
        <v>0</v>
      </c>
      <c r="P974" s="374"/>
      <c r="Q974" s="354">
        <v>0</v>
      </c>
      <c r="R974" s="354">
        <v>0</v>
      </c>
      <c r="S974" s="354">
        <v>0</v>
      </c>
      <c r="T974" s="354">
        <v>0</v>
      </c>
      <c r="U974" s="374"/>
      <c r="V974" s="354">
        <v>0</v>
      </c>
      <c r="W974" s="354">
        <v>0</v>
      </c>
      <c r="X974" s="354">
        <v>0</v>
      </c>
      <c r="Y974" s="374"/>
      <c r="Z974" s="354">
        <v>0</v>
      </c>
      <c r="AA974" s="354">
        <v>0</v>
      </c>
      <c r="AB974" s="374"/>
      <c r="AC974" s="376">
        <v>0</v>
      </c>
      <c r="AD974" s="376">
        <v>0</v>
      </c>
      <c r="AE974" s="376">
        <v>0</v>
      </c>
      <c r="AF974" s="374"/>
      <c r="AG974" s="376">
        <v>0</v>
      </c>
      <c r="AH974" s="376">
        <v>0</v>
      </c>
      <c r="AI974" s="376">
        <v>0</v>
      </c>
      <c r="AJ974" s="376">
        <v>0</v>
      </c>
      <c r="AK974" s="374"/>
      <c r="AL974" s="376">
        <v>0</v>
      </c>
      <c r="AM974" s="376">
        <v>0</v>
      </c>
      <c r="AN974" s="376">
        <v>0</v>
      </c>
      <c r="AO974" s="374"/>
      <c r="AP974" s="376">
        <v>0</v>
      </c>
      <c r="AQ974" s="376">
        <v>0</v>
      </c>
      <c r="AR974" s="374"/>
      <c r="AS974" s="376">
        <v>0</v>
      </c>
      <c r="AT974" s="376">
        <v>0</v>
      </c>
      <c r="AU974" s="355" t="s">
        <v>396</v>
      </c>
      <c r="AV974" s="354" t="s">
        <v>345</v>
      </c>
      <c r="AW974" s="355">
        <v>0</v>
      </c>
      <c r="AX974" s="355">
        <v>0</v>
      </c>
      <c r="AY974" s="355">
        <v>0</v>
      </c>
      <c r="AZ974" s="355">
        <v>0</v>
      </c>
      <c r="BA974" s="355">
        <v>0</v>
      </c>
      <c r="BB974" s="355">
        <v>0</v>
      </c>
    </row>
    <row r="975" spans="1:54" x14ac:dyDescent="0.25">
      <c r="A975" s="348" t="s">
        <v>1257</v>
      </c>
      <c r="B975" s="349">
        <v>82</v>
      </c>
      <c r="C975" s="350" t="s">
        <v>1137</v>
      </c>
      <c r="D975" s="351" t="s">
        <v>1245</v>
      </c>
      <c r="E975" s="352">
        <v>6345</v>
      </c>
      <c r="F975" s="352">
        <v>6</v>
      </c>
      <c r="G975" s="351" t="s">
        <v>1208</v>
      </c>
      <c r="H975" s="350" t="s">
        <v>1262</v>
      </c>
      <c r="I975" s="350" t="s">
        <v>393</v>
      </c>
      <c r="J975" s="560">
        <v>60000</v>
      </c>
      <c r="K975" s="350" t="s">
        <v>394</v>
      </c>
      <c r="L975" s="353">
        <v>2801.6</v>
      </c>
      <c r="M975" s="560">
        <f t="shared" si="890"/>
        <v>21.416333523700743</v>
      </c>
      <c r="N975" s="354" t="s">
        <v>395</v>
      </c>
      <c r="O975" s="354">
        <v>0</v>
      </c>
      <c r="P975" s="374"/>
      <c r="Q975" s="354">
        <v>0</v>
      </c>
      <c r="R975" s="354">
        <v>0</v>
      </c>
      <c r="S975" s="354">
        <v>0</v>
      </c>
      <c r="T975" s="354">
        <v>0</v>
      </c>
      <c r="U975" s="374"/>
      <c r="V975" s="354">
        <v>0</v>
      </c>
      <c r="W975" s="354">
        <v>0</v>
      </c>
      <c r="X975" s="354">
        <v>0</v>
      </c>
      <c r="Y975" s="374"/>
      <c r="Z975" s="354">
        <v>0</v>
      </c>
      <c r="AA975" s="354">
        <v>0</v>
      </c>
      <c r="AB975" s="374"/>
      <c r="AC975" s="376">
        <v>0</v>
      </c>
      <c r="AD975" s="376">
        <v>0</v>
      </c>
      <c r="AE975" s="376">
        <v>0</v>
      </c>
      <c r="AF975" s="374"/>
      <c r="AG975" s="376">
        <v>0</v>
      </c>
      <c r="AH975" s="376">
        <v>0</v>
      </c>
      <c r="AI975" s="376">
        <v>0</v>
      </c>
      <c r="AJ975" s="376">
        <v>0</v>
      </c>
      <c r="AK975" s="374"/>
      <c r="AL975" s="376">
        <v>0</v>
      </c>
      <c r="AM975" s="376">
        <v>0</v>
      </c>
      <c r="AN975" s="376">
        <v>0</v>
      </c>
      <c r="AO975" s="374"/>
      <c r="AP975" s="376">
        <v>0</v>
      </c>
      <c r="AQ975" s="376">
        <v>0</v>
      </c>
      <c r="AR975" s="374"/>
      <c r="AS975" s="376">
        <v>0</v>
      </c>
      <c r="AT975" s="376">
        <v>0</v>
      </c>
      <c r="AU975" s="355" t="s">
        <v>396</v>
      </c>
      <c r="AV975" s="354" t="s">
        <v>345</v>
      </c>
      <c r="AW975" s="355">
        <v>0</v>
      </c>
      <c r="AX975" s="355">
        <v>0</v>
      </c>
      <c r="AY975" s="355">
        <v>0</v>
      </c>
      <c r="AZ975" s="355">
        <v>0</v>
      </c>
      <c r="BA975" s="355">
        <v>0</v>
      </c>
      <c r="BB975" s="355">
        <v>0</v>
      </c>
    </row>
    <row r="976" spans="1:54" x14ac:dyDescent="0.25">
      <c r="A976" s="348" t="s">
        <v>1263</v>
      </c>
      <c r="B976" s="349">
        <v>73</v>
      </c>
      <c r="C976" s="350" t="s">
        <v>1137</v>
      </c>
      <c r="D976" s="351" t="s">
        <v>1264</v>
      </c>
      <c r="E976" s="352">
        <v>6345</v>
      </c>
      <c r="F976" s="352">
        <v>6</v>
      </c>
      <c r="G976" s="351" t="s">
        <v>1208</v>
      </c>
      <c r="H976" s="350" t="s">
        <v>1232</v>
      </c>
      <c r="I976" s="350" t="s">
        <v>393</v>
      </c>
      <c r="J976" s="560">
        <v>150000</v>
      </c>
      <c r="K976" s="350" t="s">
        <v>394</v>
      </c>
      <c r="L976" s="353">
        <v>2801.6</v>
      </c>
      <c r="M976" s="560">
        <f t="shared" si="890"/>
        <v>53.540833809251858</v>
      </c>
      <c r="N976" s="354" t="s">
        <v>395</v>
      </c>
      <c r="O976" s="354">
        <v>0</v>
      </c>
      <c r="P976" s="374"/>
      <c r="Q976" s="354">
        <v>0</v>
      </c>
      <c r="R976" s="354">
        <v>0</v>
      </c>
      <c r="S976" s="354">
        <v>0</v>
      </c>
      <c r="T976" s="354">
        <v>0</v>
      </c>
      <c r="U976" s="374"/>
      <c r="V976" s="354">
        <v>0</v>
      </c>
      <c r="W976" s="354">
        <v>0</v>
      </c>
      <c r="X976" s="354">
        <v>0</v>
      </c>
      <c r="Y976" s="374"/>
      <c r="Z976" s="354">
        <v>0</v>
      </c>
      <c r="AA976" s="354">
        <v>0</v>
      </c>
      <c r="AB976" s="374"/>
      <c r="AC976" s="376">
        <v>0</v>
      </c>
      <c r="AD976" s="376">
        <v>0</v>
      </c>
      <c r="AE976" s="376">
        <v>0</v>
      </c>
      <c r="AF976" s="374"/>
      <c r="AG976" s="376">
        <v>0</v>
      </c>
      <c r="AH976" s="376">
        <v>0</v>
      </c>
      <c r="AI976" s="376">
        <v>0</v>
      </c>
      <c r="AJ976" s="376">
        <v>0</v>
      </c>
      <c r="AK976" s="374"/>
      <c r="AL976" s="376">
        <v>0</v>
      </c>
      <c r="AM976" s="376">
        <v>0</v>
      </c>
      <c r="AN976" s="376">
        <v>0</v>
      </c>
      <c r="AO976" s="374"/>
      <c r="AP976" s="376">
        <v>0</v>
      </c>
      <c r="AQ976" s="376">
        <v>0</v>
      </c>
      <c r="AR976" s="374"/>
      <c r="AS976" s="376">
        <v>0</v>
      </c>
      <c r="AT976" s="376">
        <v>0</v>
      </c>
      <c r="AU976" s="355" t="s">
        <v>396</v>
      </c>
      <c r="AV976" s="354" t="s">
        <v>345</v>
      </c>
      <c r="AW976" s="355">
        <v>0</v>
      </c>
      <c r="AX976" s="355">
        <v>0</v>
      </c>
      <c r="AY976" s="355">
        <v>0</v>
      </c>
      <c r="AZ976" s="355">
        <v>0</v>
      </c>
      <c r="BA976" s="355">
        <v>0</v>
      </c>
      <c r="BB976" s="355">
        <v>0</v>
      </c>
    </row>
    <row r="977" spans="1:54" x14ac:dyDescent="0.25">
      <c r="A977" s="348" t="s">
        <v>1263</v>
      </c>
      <c r="B977" s="349">
        <v>73</v>
      </c>
      <c r="C977" s="350" t="s">
        <v>1137</v>
      </c>
      <c r="D977" s="351" t="s">
        <v>1264</v>
      </c>
      <c r="E977" s="352">
        <v>6345</v>
      </c>
      <c r="F977" s="352">
        <v>6</v>
      </c>
      <c r="G977" s="351" t="s">
        <v>1208</v>
      </c>
      <c r="H977" s="350" t="s">
        <v>1233</v>
      </c>
      <c r="I977" s="350" t="s">
        <v>393</v>
      </c>
      <c r="J977" s="560">
        <v>124000</v>
      </c>
      <c r="K977" s="350" t="s">
        <v>394</v>
      </c>
      <c r="L977" s="353">
        <v>2801.6</v>
      </c>
      <c r="M977" s="560">
        <f t="shared" si="890"/>
        <v>44.260422615648203</v>
      </c>
      <c r="N977" s="354" t="s">
        <v>395</v>
      </c>
      <c r="O977" s="354">
        <v>0</v>
      </c>
      <c r="P977" s="374"/>
      <c r="Q977" s="354">
        <v>0</v>
      </c>
      <c r="R977" s="354">
        <v>0</v>
      </c>
      <c r="S977" s="354">
        <v>0</v>
      </c>
      <c r="T977" s="354">
        <v>0</v>
      </c>
      <c r="U977" s="374"/>
      <c r="V977" s="354">
        <v>0</v>
      </c>
      <c r="W977" s="354">
        <v>0</v>
      </c>
      <c r="X977" s="354">
        <v>0</v>
      </c>
      <c r="Y977" s="374"/>
      <c r="Z977" s="354">
        <v>0</v>
      </c>
      <c r="AA977" s="354">
        <v>0</v>
      </c>
      <c r="AB977" s="374"/>
      <c r="AC977" s="376">
        <v>0</v>
      </c>
      <c r="AD977" s="376">
        <v>0</v>
      </c>
      <c r="AE977" s="376">
        <v>0</v>
      </c>
      <c r="AF977" s="374"/>
      <c r="AG977" s="376">
        <v>0</v>
      </c>
      <c r="AH977" s="376">
        <v>0</v>
      </c>
      <c r="AI977" s="376">
        <v>0</v>
      </c>
      <c r="AJ977" s="376">
        <v>0</v>
      </c>
      <c r="AK977" s="374"/>
      <c r="AL977" s="376">
        <v>0</v>
      </c>
      <c r="AM977" s="376">
        <v>0</v>
      </c>
      <c r="AN977" s="376">
        <v>0</v>
      </c>
      <c r="AO977" s="374"/>
      <c r="AP977" s="376">
        <v>0</v>
      </c>
      <c r="AQ977" s="376">
        <v>0</v>
      </c>
      <c r="AR977" s="374"/>
      <c r="AS977" s="376">
        <v>0</v>
      </c>
      <c r="AT977" s="376">
        <v>0</v>
      </c>
      <c r="AU977" s="355" t="s">
        <v>396</v>
      </c>
      <c r="AV977" s="354" t="s">
        <v>345</v>
      </c>
      <c r="AW977" s="355">
        <v>0</v>
      </c>
      <c r="AX977" s="355">
        <v>0</v>
      </c>
      <c r="AY977" s="355">
        <v>0</v>
      </c>
      <c r="AZ977" s="355">
        <v>0</v>
      </c>
      <c r="BA977" s="355">
        <v>0</v>
      </c>
      <c r="BB977" s="355">
        <v>0</v>
      </c>
    </row>
    <row r="978" spans="1:54" x14ac:dyDescent="0.25">
      <c r="A978" s="348" t="s">
        <v>1263</v>
      </c>
      <c r="B978" s="349">
        <v>73</v>
      </c>
      <c r="C978" s="350" t="s">
        <v>1137</v>
      </c>
      <c r="D978" s="351" t="s">
        <v>1264</v>
      </c>
      <c r="E978" s="352">
        <v>6345</v>
      </c>
      <c r="F978" s="352">
        <v>6</v>
      </c>
      <c r="G978" s="351" t="s">
        <v>1208</v>
      </c>
      <c r="H978" s="350" t="s">
        <v>1016</v>
      </c>
      <c r="I978" s="350" t="s">
        <v>393</v>
      </c>
      <c r="J978" s="560">
        <v>620000</v>
      </c>
      <c r="K978" s="350" t="s">
        <v>394</v>
      </c>
      <c r="L978" s="353">
        <v>2801.6</v>
      </c>
      <c r="M978" s="560">
        <f t="shared" si="890"/>
        <v>221.30211307824101</v>
      </c>
      <c r="N978" s="354" t="s">
        <v>395</v>
      </c>
      <c r="O978" s="354">
        <v>0</v>
      </c>
      <c r="P978" s="374"/>
      <c r="Q978" s="354">
        <v>0</v>
      </c>
      <c r="R978" s="354">
        <v>0</v>
      </c>
      <c r="S978" s="354">
        <v>0</v>
      </c>
      <c r="T978" s="354">
        <v>0</v>
      </c>
      <c r="U978" s="374"/>
      <c r="V978" s="354">
        <v>0</v>
      </c>
      <c r="W978" s="354">
        <v>0</v>
      </c>
      <c r="X978" s="354">
        <v>0</v>
      </c>
      <c r="Y978" s="374"/>
      <c r="Z978" s="354">
        <v>0</v>
      </c>
      <c r="AA978" s="354">
        <v>0</v>
      </c>
      <c r="AB978" s="374"/>
      <c r="AC978" s="376">
        <v>0</v>
      </c>
      <c r="AD978" s="376">
        <v>0</v>
      </c>
      <c r="AE978" s="376">
        <v>0</v>
      </c>
      <c r="AF978" s="374"/>
      <c r="AG978" s="376">
        <v>0</v>
      </c>
      <c r="AH978" s="376">
        <v>0</v>
      </c>
      <c r="AI978" s="376">
        <v>0</v>
      </c>
      <c r="AJ978" s="376">
        <v>0</v>
      </c>
      <c r="AK978" s="374"/>
      <c r="AL978" s="376">
        <v>0</v>
      </c>
      <c r="AM978" s="376">
        <v>0</v>
      </c>
      <c r="AN978" s="376">
        <v>0</v>
      </c>
      <c r="AO978" s="374"/>
      <c r="AP978" s="376">
        <v>0</v>
      </c>
      <c r="AQ978" s="376">
        <v>0</v>
      </c>
      <c r="AR978" s="374"/>
      <c r="AS978" s="376">
        <v>0</v>
      </c>
      <c r="AT978" s="376">
        <v>0</v>
      </c>
      <c r="AU978" s="355" t="s">
        <v>396</v>
      </c>
      <c r="AV978" s="354" t="s">
        <v>345</v>
      </c>
      <c r="AW978" s="355">
        <v>0</v>
      </c>
      <c r="AX978" s="355">
        <v>0</v>
      </c>
      <c r="AY978" s="355">
        <v>0</v>
      </c>
      <c r="AZ978" s="355">
        <v>0</v>
      </c>
      <c r="BA978" s="355">
        <v>0</v>
      </c>
      <c r="BB978" s="355">
        <v>0</v>
      </c>
    </row>
    <row r="979" spans="1:54" x14ac:dyDescent="0.25">
      <c r="A979" s="348" t="s">
        <v>1263</v>
      </c>
      <c r="B979" s="349">
        <v>73</v>
      </c>
      <c r="C979" s="350" t="s">
        <v>1137</v>
      </c>
      <c r="D979" s="351" t="s">
        <v>1264</v>
      </c>
      <c r="E979" s="352">
        <v>6345</v>
      </c>
      <c r="F979" s="352">
        <v>6</v>
      </c>
      <c r="G979" s="351" t="s">
        <v>1208</v>
      </c>
      <c r="H979" s="350" t="s">
        <v>1234</v>
      </c>
      <c r="I979" s="350" t="s">
        <v>393</v>
      </c>
      <c r="J979" s="560">
        <v>1736000</v>
      </c>
      <c r="K979" s="350" t="s">
        <v>394</v>
      </c>
      <c r="L979" s="353">
        <v>2801.6</v>
      </c>
      <c r="M979" s="560">
        <f t="shared" si="890"/>
        <v>619.6459166190748</v>
      </c>
      <c r="N979" s="354" t="s">
        <v>395</v>
      </c>
      <c r="O979" s="354">
        <v>0</v>
      </c>
      <c r="P979" s="374"/>
      <c r="Q979" s="354">
        <v>0</v>
      </c>
      <c r="R979" s="354">
        <v>0</v>
      </c>
      <c r="S979" s="354">
        <v>0</v>
      </c>
      <c r="T979" s="354">
        <v>0</v>
      </c>
      <c r="U979" s="374"/>
      <c r="V979" s="354">
        <v>0</v>
      </c>
      <c r="W979" s="354">
        <v>0</v>
      </c>
      <c r="X979" s="354">
        <v>0</v>
      </c>
      <c r="Y979" s="374"/>
      <c r="Z979" s="354">
        <v>0</v>
      </c>
      <c r="AA979" s="354">
        <v>0</v>
      </c>
      <c r="AB979" s="374"/>
      <c r="AC979" s="376">
        <v>0</v>
      </c>
      <c r="AD979" s="376">
        <v>0</v>
      </c>
      <c r="AE979" s="376">
        <v>0</v>
      </c>
      <c r="AF979" s="374"/>
      <c r="AG979" s="376">
        <v>0</v>
      </c>
      <c r="AH979" s="376">
        <v>0</v>
      </c>
      <c r="AI979" s="376">
        <v>0</v>
      </c>
      <c r="AJ979" s="376">
        <v>0</v>
      </c>
      <c r="AK979" s="374"/>
      <c r="AL979" s="376">
        <v>0</v>
      </c>
      <c r="AM979" s="376">
        <v>0</v>
      </c>
      <c r="AN979" s="376">
        <v>0</v>
      </c>
      <c r="AO979" s="374"/>
      <c r="AP979" s="376">
        <v>0</v>
      </c>
      <c r="AQ979" s="376">
        <v>0</v>
      </c>
      <c r="AR979" s="374"/>
      <c r="AS979" s="376">
        <v>0</v>
      </c>
      <c r="AT979" s="376">
        <v>0</v>
      </c>
      <c r="AU979" s="355" t="s">
        <v>396</v>
      </c>
      <c r="AV979" s="354" t="s">
        <v>345</v>
      </c>
      <c r="AW979" s="355">
        <v>0</v>
      </c>
      <c r="AX979" s="355">
        <v>0</v>
      </c>
      <c r="AY979" s="355">
        <v>0</v>
      </c>
      <c r="AZ979" s="355">
        <v>0</v>
      </c>
      <c r="BA979" s="355">
        <v>0</v>
      </c>
      <c r="BB979" s="355">
        <v>0</v>
      </c>
    </row>
    <row r="980" spans="1:54" x14ac:dyDescent="0.25">
      <c r="A980" s="348" t="s">
        <v>1265</v>
      </c>
      <c r="B980" s="349">
        <v>62</v>
      </c>
      <c r="C980" s="350" t="s">
        <v>1137</v>
      </c>
      <c r="D980" s="351" t="s">
        <v>1266</v>
      </c>
      <c r="E980" s="352">
        <v>6311</v>
      </c>
      <c r="F980" s="352">
        <v>6</v>
      </c>
      <c r="G980" s="351" t="s">
        <v>1208</v>
      </c>
      <c r="H980" s="350" t="s">
        <v>1232</v>
      </c>
      <c r="I980" s="350" t="s">
        <v>393</v>
      </c>
      <c r="J980" s="560">
        <v>150000</v>
      </c>
      <c r="K980" s="350" t="s">
        <v>394</v>
      </c>
      <c r="L980" s="353">
        <v>2801.6</v>
      </c>
      <c r="M980" s="560">
        <f t="shared" si="890"/>
        <v>53.540833809251858</v>
      </c>
      <c r="N980" s="354" t="s">
        <v>395</v>
      </c>
      <c r="O980" s="354">
        <v>0</v>
      </c>
      <c r="P980" s="374"/>
      <c r="Q980" s="354">
        <v>0</v>
      </c>
      <c r="R980" s="354">
        <v>0</v>
      </c>
      <c r="S980" s="354">
        <v>0</v>
      </c>
      <c r="T980" s="354">
        <v>0</v>
      </c>
      <c r="U980" s="374"/>
      <c r="V980" s="354">
        <v>0</v>
      </c>
      <c r="W980" s="354">
        <v>0</v>
      </c>
      <c r="X980" s="354">
        <v>0</v>
      </c>
      <c r="Y980" s="374"/>
      <c r="Z980" s="354">
        <v>0</v>
      </c>
      <c r="AA980" s="354">
        <v>0</v>
      </c>
      <c r="AB980" s="374"/>
      <c r="AC980" s="376">
        <v>0</v>
      </c>
      <c r="AD980" s="376">
        <v>0</v>
      </c>
      <c r="AE980" s="376">
        <v>0</v>
      </c>
      <c r="AF980" s="374"/>
      <c r="AG980" s="376">
        <v>0</v>
      </c>
      <c r="AH980" s="376">
        <v>0</v>
      </c>
      <c r="AI980" s="376">
        <v>0</v>
      </c>
      <c r="AJ980" s="376">
        <v>0</v>
      </c>
      <c r="AK980" s="374"/>
      <c r="AL980" s="376">
        <v>0</v>
      </c>
      <c r="AM980" s="376">
        <v>0</v>
      </c>
      <c r="AN980" s="376">
        <v>0</v>
      </c>
      <c r="AO980" s="374"/>
      <c r="AP980" s="376">
        <v>0</v>
      </c>
      <c r="AQ980" s="376">
        <v>0</v>
      </c>
      <c r="AR980" s="374"/>
      <c r="AS980" s="376">
        <v>0</v>
      </c>
      <c r="AT980" s="376">
        <v>0</v>
      </c>
      <c r="AU980" s="355" t="s">
        <v>396</v>
      </c>
      <c r="AV980" s="354" t="s">
        <v>345</v>
      </c>
      <c r="AW980" s="355">
        <v>0</v>
      </c>
      <c r="AX980" s="355">
        <v>0</v>
      </c>
      <c r="AY980" s="355">
        <v>0</v>
      </c>
      <c r="AZ980" s="355">
        <v>0</v>
      </c>
      <c r="BA980" s="355">
        <v>0</v>
      </c>
      <c r="BB980" s="355">
        <v>0</v>
      </c>
    </row>
    <row r="981" spans="1:54" x14ac:dyDescent="0.25">
      <c r="A981" s="348" t="s">
        <v>1265</v>
      </c>
      <c r="B981" s="349">
        <v>62</v>
      </c>
      <c r="C981" s="350" t="s">
        <v>1137</v>
      </c>
      <c r="D981" s="351" t="s">
        <v>1266</v>
      </c>
      <c r="E981" s="352">
        <v>6349</v>
      </c>
      <c r="F981" s="352">
        <v>6</v>
      </c>
      <c r="G981" s="351" t="s">
        <v>1208</v>
      </c>
      <c r="H981" s="350" t="s">
        <v>1233</v>
      </c>
      <c r="I981" s="350" t="s">
        <v>393</v>
      </c>
      <c r="J981" s="560">
        <v>124000</v>
      </c>
      <c r="K981" s="350" t="s">
        <v>394</v>
      </c>
      <c r="L981" s="353">
        <v>2801.6</v>
      </c>
      <c r="M981" s="560">
        <f t="shared" si="890"/>
        <v>44.260422615648203</v>
      </c>
      <c r="N981" s="354" t="s">
        <v>395</v>
      </c>
      <c r="O981" s="354">
        <v>0</v>
      </c>
      <c r="P981" s="374"/>
      <c r="Q981" s="354">
        <v>0</v>
      </c>
      <c r="R981" s="354">
        <v>0</v>
      </c>
      <c r="S981" s="354">
        <v>0</v>
      </c>
      <c r="T981" s="354">
        <v>0</v>
      </c>
      <c r="U981" s="374"/>
      <c r="V981" s="354">
        <v>0</v>
      </c>
      <c r="W981" s="354">
        <v>0</v>
      </c>
      <c r="X981" s="354">
        <v>0</v>
      </c>
      <c r="Y981" s="374"/>
      <c r="Z981" s="354">
        <v>0</v>
      </c>
      <c r="AA981" s="354">
        <v>0</v>
      </c>
      <c r="AB981" s="374"/>
      <c r="AC981" s="376">
        <v>0</v>
      </c>
      <c r="AD981" s="376">
        <v>0</v>
      </c>
      <c r="AE981" s="376">
        <v>0</v>
      </c>
      <c r="AF981" s="374"/>
      <c r="AG981" s="376">
        <v>0</v>
      </c>
      <c r="AH981" s="376">
        <v>0</v>
      </c>
      <c r="AI981" s="376">
        <v>0</v>
      </c>
      <c r="AJ981" s="376">
        <v>0</v>
      </c>
      <c r="AK981" s="374"/>
      <c r="AL981" s="376">
        <v>0</v>
      </c>
      <c r="AM981" s="376">
        <v>0</v>
      </c>
      <c r="AN981" s="376">
        <v>0</v>
      </c>
      <c r="AO981" s="374"/>
      <c r="AP981" s="376">
        <v>0</v>
      </c>
      <c r="AQ981" s="376">
        <v>0</v>
      </c>
      <c r="AR981" s="374"/>
      <c r="AS981" s="376">
        <v>0</v>
      </c>
      <c r="AT981" s="376">
        <v>0</v>
      </c>
      <c r="AU981" s="355" t="s">
        <v>396</v>
      </c>
      <c r="AV981" s="354" t="s">
        <v>345</v>
      </c>
      <c r="AW981" s="355">
        <v>0</v>
      </c>
      <c r="AX981" s="355">
        <v>0</v>
      </c>
      <c r="AY981" s="355">
        <v>0</v>
      </c>
      <c r="AZ981" s="355">
        <v>0</v>
      </c>
      <c r="BA981" s="355">
        <v>0</v>
      </c>
      <c r="BB981" s="355">
        <v>0</v>
      </c>
    </row>
    <row r="982" spans="1:54" x14ac:dyDescent="0.25">
      <c r="A982" s="348" t="s">
        <v>1265</v>
      </c>
      <c r="B982" s="349">
        <v>62</v>
      </c>
      <c r="C982" s="350" t="s">
        <v>1137</v>
      </c>
      <c r="D982" s="351" t="s">
        <v>1266</v>
      </c>
      <c r="E982" s="352">
        <v>6349</v>
      </c>
      <c r="F982" s="352">
        <v>6</v>
      </c>
      <c r="G982" s="351" t="s">
        <v>1208</v>
      </c>
      <c r="H982" s="350" t="s">
        <v>1016</v>
      </c>
      <c r="I982" s="350" t="s">
        <v>393</v>
      </c>
      <c r="J982" s="560">
        <v>620000</v>
      </c>
      <c r="K982" s="350" t="s">
        <v>394</v>
      </c>
      <c r="L982" s="353">
        <v>2801.6</v>
      </c>
      <c r="M982" s="560">
        <f t="shared" si="890"/>
        <v>221.30211307824101</v>
      </c>
      <c r="N982" s="354" t="s">
        <v>395</v>
      </c>
      <c r="O982" s="354">
        <v>0</v>
      </c>
      <c r="P982" s="374"/>
      <c r="Q982" s="354">
        <v>0</v>
      </c>
      <c r="R982" s="354">
        <v>0</v>
      </c>
      <c r="S982" s="354">
        <v>0</v>
      </c>
      <c r="T982" s="354">
        <v>0</v>
      </c>
      <c r="U982" s="374"/>
      <c r="V982" s="354">
        <v>0</v>
      </c>
      <c r="W982" s="354">
        <v>0</v>
      </c>
      <c r="X982" s="354">
        <v>0</v>
      </c>
      <c r="Y982" s="374"/>
      <c r="Z982" s="354">
        <v>0</v>
      </c>
      <c r="AA982" s="354">
        <v>0</v>
      </c>
      <c r="AB982" s="374"/>
      <c r="AC982" s="376">
        <v>0</v>
      </c>
      <c r="AD982" s="376">
        <v>0</v>
      </c>
      <c r="AE982" s="376">
        <v>0</v>
      </c>
      <c r="AF982" s="374"/>
      <c r="AG982" s="376">
        <v>0</v>
      </c>
      <c r="AH982" s="376">
        <v>0</v>
      </c>
      <c r="AI982" s="376">
        <v>0</v>
      </c>
      <c r="AJ982" s="376">
        <v>0</v>
      </c>
      <c r="AK982" s="374"/>
      <c r="AL982" s="376">
        <v>0</v>
      </c>
      <c r="AM982" s="376">
        <v>0</v>
      </c>
      <c r="AN982" s="376">
        <v>0</v>
      </c>
      <c r="AO982" s="374"/>
      <c r="AP982" s="376">
        <v>0</v>
      </c>
      <c r="AQ982" s="376">
        <v>0</v>
      </c>
      <c r="AR982" s="374"/>
      <c r="AS982" s="376">
        <v>0</v>
      </c>
      <c r="AT982" s="376">
        <v>0</v>
      </c>
      <c r="AU982" s="355" t="s">
        <v>396</v>
      </c>
      <c r="AV982" s="354" t="s">
        <v>345</v>
      </c>
      <c r="AW982" s="355">
        <v>0</v>
      </c>
      <c r="AX982" s="355">
        <v>0</v>
      </c>
      <c r="AY982" s="355">
        <v>0</v>
      </c>
      <c r="AZ982" s="355">
        <v>0</v>
      </c>
      <c r="BA982" s="355">
        <v>0</v>
      </c>
      <c r="BB982" s="355">
        <v>0</v>
      </c>
    </row>
    <row r="983" spans="1:54" x14ac:dyDescent="0.25">
      <c r="A983" s="348" t="s">
        <v>1265</v>
      </c>
      <c r="B983" s="349">
        <v>62</v>
      </c>
      <c r="C983" s="350" t="s">
        <v>1137</v>
      </c>
      <c r="D983" s="351" t="s">
        <v>1266</v>
      </c>
      <c r="E983" s="352">
        <v>6349</v>
      </c>
      <c r="F983" s="352">
        <v>6</v>
      </c>
      <c r="G983" s="351" t="s">
        <v>1208</v>
      </c>
      <c r="H983" s="350" t="s">
        <v>1234</v>
      </c>
      <c r="I983" s="350" t="s">
        <v>393</v>
      </c>
      <c r="J983" s="560">
        <v>1860000</v>
      </c>
      <c r="K983" s="350" t="s">
        <v>394</v>
      </c>
      <c r="L983" s="353">
        <v>2801.6</v>
      </c>
      <c r="M983" s="560">
        <f t="shared" si="890"/>
        <v>663.90633923472308</v>
      </c>
      <c r="N983" s="354" t="s">
        <v>395</v>
      </c>
      <c r="O983" s="354">
        <v>0</v>
      </c>
      <c r="P983" s="374"/>
      <c r="Q983" s="354">
        <v>0</v>
      </c>
      <c r="R983" s="354">
        <v>0</v>
      </c>
      <c r="S983" s="354">
        <v>0</v>
      </c>
      <c r="T983" s="354">
        <v>0</v>
      </c>
      <c r="U983" s="374"/>
      <c r="V983" s="354">
        <v>0</v>
      </c>
      <c r="W983" s="354">
        <v>0</v>
      </c>
      <c r="X983" s="354">
        <v>0</v>
      </c>
      <c r="Y983" s="374"/>
      <c r="Z983" s="354">
        <v>0</v>
      </c>
      <c r="AA983" s="354">
        <v>0</v>
      </c>
      <c r="AB983" s="374"/>
      <c r="AC983" s="376">
        <v>0</v>
      </c>
      <c r="AD983" s="376">
        <v>0</v>
      </c>
      <c r="AE983" s="376">
        <v>0</v>
      </c>
      <c r="AF983" s="374"/>
      <c r="AG983" s="376">
        <v>0</v>
      </c>
      <c r="AH983" s="376">
        <v>0</v>
      </c>
      <c r="AI983" s="376">
        <v>0</v>
      </c>
      <c r="AJ983" s="376">
        <v>0</v>
      </c>
      <c r="AK983" s="374"/>
      <c r="AL983" s="376">
        <v>0</v>
      </c>
      <c r="AM983" s="376">
        <v>0</v>
      </c>
      <c r="AN983" s="376">
        <v>0</v>
      </c>
      <c r="AO983" s="374"/>
      <c r="AP983" s="376">
        <v>0</v>
      </c>
      <c r="AQ983" s="376">
        <v>0</v>
      </c>
      <c r="AR983" s="374"/>
      <c r="AS983" s="376">
        <v>0</v>
      </c>
      <c r="AT983" s="376">
        <v>0</v>
      </c>
      <c r="AU983" s="355" t="s">
        <v>396</v>
      </c>
      <c r="AV983" s="354" t="s">
        <v>345</v>
      </c>
      <c r="AW983" s="355">
        <v>0</v>
      </c>
      <c r="AX983" s="355">
        <v>0</v>
      </c>
      <c r="AY983" s="355">
        <v>0</v>
      </c>
      <c r="AZ983" s="355">
        <v>0</v>
      </c>
      <c r="BA983" s="355">
        <v>0</v>
      </c>
      <c r="BB983" s="355">
        <v>0</v>
      </c>
    </row>
    <row r="984" spans="1:54" x14ac:dyDescent="0.25">
      <c r="A984" s="348" t="s">
        <v>1267</v>
      </c>
      <c r="B984" s="349">
        <v>61</v>
      </c>
      <c r="C984" s="350" t="s">
        <v>1137</v>
      </c>
      <c r="D984" s="351" t="s">
        <v>1268</v>
      </c>
      <c r="E984" s="352">
        <v>6345</v>
      </c>
      <c r="F984" s="352">
        <v>6</v>
      </c>
      <c r="G984" s="351" t="s">
        <v>1208</v>
      </c>
      <c r="H984" s="350" t="s">
        <v>1243</v>
      </c>
      <c r="I984" s="350" t="s">
        <v>393</v>
      </c>
      <c r="J984" s="560">
        <v>1080000</v>
      </c>
      <c r="K984" s="350" t="s">
        <v>394</v>
      </c>
      <c r="L984" s="353">
        <v>2801.6</v>
      </c>
      <c r="M984" s="560">
        <f t="shared" si="890"/>
        <v>385.4940034266134</v>
      </c>
      <c r="N984" s="354" t="s">
        <v>395</v>
      </c>
      <c r="O984" s="354">
        <v>0</v>
      </c>
      <c r="P984" s="374"/>
      <c r="Q984" s="354">
        <v>0</v>
      </c>
      <c r="R984" s="354">
        <v>0</v>
      </c>
      <c r="S984" s="354">
        <v>0</v>
      </c>
      <c r="T984" s="354">
        <v>0</v>
      </c>
      <c r="U984" s="374"/>
      <c r="V984" s="354">
        <v>0</v>
      </c>
      <c r="W984" s="354">
        <v>0</v>
      </c>
      <c r="X984" s="354">
        <v>0</v>
      </c>
      <c r="Y984" s="374"/>
      <c r="Z984" s="354">
        <v>0</v>
      </c>
      <c r="AA984" s="354">
        <v>0</v>
      </c>
      <c r="AB984" s="374"/>
      <c r="AC984" s="376">
        <v>0</v>
      </c>
      <c r="AD984" s="376">
        <v>0</v>
      </c>
      <c r="AE984" s="376">
        <v>0</v>
      </c>
      <c r="AF984" s="374"/>
      <c r="AG984" s="376">
        <v>0</v>
      </c>
      <c r="AH984" s="376">
        <v>0</v>
      </c>
      <c r="AI984" s="376">
        <v>0</v>
      </c>
      <c r="AJ984" s="376">
        <v>0</v>
      </c>
      <c r="AK984" s="374"/>
      <c r="AL984" s="376">
        <v>0</v>
      </c>
      <c r="AM984" s="376">
        <v>0</v>
      </c>
      <c r="AN984" s="376">
        <v>0</v>
      </c>
      <c r="AO984" s="374"/>
      <c r="AP984" s="376">
        <v>0</v>
      </c>
      <c r="AQ984" s="376">
        <v>0</v>
      </c>
      <c r="AR984" s="374"/>
      <c r="AS984" s="376">
        <v>0</v>
      </c>
      <c r="AT984" s="376">
        <v>0</v>
      </c>
      <c r="AU984" s="355" t="s">
        <v>396</v>
      </c>
      <c r="AV984" s="354" t="s">
        <v>345</v>
      </c>
      <c r="AW984" s="355">
        <v>0</v>
      </c>
      <c r="AX984" s="355">
        <v>0</v>
      </c>
      <c r="AY984" s="355">
        <v>0</v>
      </c>
      <c r="AZ984" s="355">
        <v>0</v>
      </c>
      <c r="BA984" s="355">
        <v>0</v>
      </c>
      <c r="BB984" s="355">
        <v>0</v>
      </c>
    </row>
    <row r="985" spans="1:54" x14ac:dyDescent="0.25">
      <c r="A985" s="348" t="s">
        <v>1387</v>
      </c>
      <c r="B985" s="349">
        <v>99</v>
      </c>
      <c r="C985" s="350" t="s">
        <v>1330</v>
      </c>
      <c r="D985" s="351">
        <v>45176</v>
      </c>
      <c r="E985" s="352"/>
      <c r="F985" s="352">
        <v>6</v>
      </c>
      <c r="G985" s="350" t="s">
        <v>1208</v>
      </c>
      <c r="H985" s="350" t="s">
        <v>1388</v>
      </c>
      <c r="I985" s="350" t="s">
        <v>393</v>
      </c>
      <c r="J985" s="375">
        <v>2520000</v>
      </c>
      <c r="K985" s="350" t="s">
        <v>394</v>
      </c>
      <c r="L985" s="354">
        <v>2802.3999950000002</v>
      </c>
      <c r="M985" s="375">
        <f t="shared" ref="M985:M1045" si="891">J985/L985</f>
        <v>899.22923369117393</v>
      </c>
      <c r="N985" s="354" t="s">
        <v>395</v>
      </c>
      <c r="O985" s="354">
        <v>0</v>
      </c>
      <c r="P985" s="374"/>
      <c r="Q985" s="354">
        <v>0</v>
      </c>
      <c r="R985" s="354">
        <v>0</v>
      </c>
      <c r="S985" s="354">
        <v>0</v>
      </c>
      <c r="T985" s="354">
        <v>0</v>
      </c>
      <c r="U985" s="374"/>
      <c r="V985" s="354">
        <v>0</v>
      </c>
      <c r="W985" s="354">
        <v>0</v>
      </c>
      <c r="X985" s="354">
        <v>0</v>
      </c>
      <c r="Y985" s="374"/>
      <c r="Z985" s="354">
        <v>0</v>
      </c>
      <c r="AA985" s="354">
        <v>0</v>
      </c>
      <c r="AB985" s="374"/>
      <c r="AC985" s="376">
        <v>0</v>
      </c>
      <c r="AD985" s="376">
        <v>0</v>
      </c>
      <c r="AE985" s="376">
        <v>0</v>
      </c>
      <c r="AF985" s="374"/>
      <c r="AG985" s="376">
        <v>0</v>
      </c>
      <c r="AH985" s="376">
        <v>0</v>
      </c>
      <c r="AI985" s="376">
        <v>0</v>
      </c>
      <c r="AJ985" s="376">
        <v>0</v>
      </c>
      <c r="AK985" s="374"/>
      <c r="AL985" s="376">
        <v>0</v>
      </c>
      <c r="AM985" s="376">
        <v>0</v>
      </c>
      <c r="AN985" s="376">
        <v>0</v>
      </c>
      <c r="AO985" s="374"/>
      <c r="AP985" s="376">
        <v>0</v>
      </c>
      <c r="AQ985" s="376">
        <v>0</v>
      </c>
      <c r="AR985" s="374"/>
      <c r="AS985" s="376">
        <v>0</v>
      </c>
      <c r="AT985" s="376">
        <v>0</v>
      </c>
      <c r="AU985" s="355" t="s">
        <v>396</v>
      </c>
      <c r="AV985" s="354" t="s">
        <v>397</v>
      </c>
      <c r="AW985" s="353">
        <v>0</v>
      </c>
      <c r="AX985" s="353">
        <v>0</v>
      </c>
      <c r="AY985" s="353">
        <v>0</v>
      </c>
      <c r="AZ985" s="353">
        <v>0</v>
      </c>
      <c r="BA985" s="353">
        <v>0</v>
      </c>
      <c r="BB985" s="353">
        <v>0</v>
      </c>
    </row>
    <row r="986" spans="1:54" x14ac:dyDescent="0.25">
      <c r="A986" s="348" t="s">
        <v>1389</v>
      </c>
      <c r="B986" s="349">
        <v>99</v>
      </c>
      <c r="C986" s="350" t="s">
        <v>1330</v>
      </c>
      <c r="D986" s="351">
        <v>45202</v>
      </c>
      <c r="E986" s="352"/>
      <c r="F986" s="352">
        <v>6</v>
      </c>
      <c r="G986" s="350" t="s">
        <v>1208</v>
      </c>
      <c r="H986" s="350" t="s">
        <v>1388</v>
      </c>
      <c r="I986" s="350" t="s">
        <v>393</v>
      </c>
      <c r="J986" s="375">
        <v>3780000</v>
      </c>
      <c r="K986" s="350" t="s">
        <v>394</v>
      </c>
      <c r="L986" s="354">
        <v>2802.3999950000002</v>
      </c>
      <c r="M986" s="375">
        <f>J986/L986</f>
        <v>1348.843850536761</v>
      </c>
      <c r="N986" s="354" t="s">
        <v>395</v>
      </c>
      <c r="O986" s="354">
        <v>0</v>
      </c>
      <c r="P986" s="374"/>
      <c r="Q986" s="354">
        <v>0</v>
      </c>
      <c r="R986" s="354">
        <v>0</v>
      </c>
      <c r="S986" s="354">
        <v>0</v>
      </c>
      <c r="T986" s="354">
        <v>0</v>
      </c>
      <c r="U986" s="374"/>
      <c r="V986" s="354">
        <v>0</v>
      </c>
      <c r="W986" s="354">
        <v>0</v>
      </c>
      <c r="X986" s="354">
        <v>0</v>
      </c>
      <c r="Y986" s="374"/>
      <c r="Z986" s="354">
        <v>0</v>
      </c>
      <c r="AA986" s="354">
        <v>0</v>
      </c>
      <c r="AB986" s="374"/>
      <c r="AC986" s="376">
        <v>0</v>
      </c>
      <c r="AD986" s="376">
        <v>0</v>
      </c>
      <c r="AE986" s="376">
        <v>0</v>
      </c>
      <c r="AF986" s="374"/>
      <c r="AG986" s="376">
        <v>0</v>
      </c>
      <c r="AH986" s="376">
        <v>0</v>
      </c>
      <c r="AI986" s="376">
        <v>0</v>
      </c>
      <c r="AJ986" s="376">
        <v>0</v>
      </c>
      <c r="AK986" s="374"/>
      <c r="AL986" s="376">
        <v>0</v>
      </c>
      <c r="AM986" s="376">
        <v>0</v>
      </c>
      <c r="AN986" s="376">
        <v>0</v>
      </c>
      <c r="AO986" s="374"/>
      <c r="AP986" s="376">
        <v>0</v>
      </c>
      <c r="AQ986" s="376">
        <v>0</v>
      </c>
      <c r="AR986" s="374"/>
      <c r="AS986" s="376">
        <v>0</v>
      </c>
      <c r="AT986" s="376">
        <v>0</v>
      </c>
      <c r="AU986" s="355" t="s">
        <v>396</v>
      </c>
      <c r="AV986" s="354" t="s">
        <v>397</v>
      </c>
      <c r="AW986" s="353">
        <v>0</v>
      </c>
      <c r="AX986" s="353">
        <v>0</v>
      </c>
      <c r="AY986" s="353">
        <v>0</v>
      </c>
      <c r="AZ986" s="353">
        <v>0</v>
      </c>
      <c r="BA986" s="353">
        <v>0</v>
      </c>
      <c r="BB986" s="353">
        <v>0</v>
      </c>
    </row>
    <row r="987" spans="1:54" x14ac:dyDescent="0.25">
      <c r="A987" s="348" t="s">
        <v>1390</v>
      </c>
      <c r="B987" s="349">
        <v>100</v>
      </c>
      <c r="C987" s="350" t="s">
        <v>1330</v>
      </c>
      <c r="D987" s="351">
        <v>45175</v>
      </c>
      <c r="E987" s="352"/>
      <c r="F987" s="352">
        <v>6</v>
      </c>
      <c r="G987" s="350" t="s">
        <v>1208</v>
      </c>
      <c r="H987" s="350" t="s">
        <v>1354</v>
      </c>
      <c r="I987" s="350" t="s">
        <v>393</v>
      </c>
      <c r="J987" s="375">
        <v>70000</v>
      </c>
      <c r="K987" s="350" t="s">
        <v>394</v>
      </c>
      <c r="L987" s="354">
        <v>2802.3999950000002</v>
      </c>
      <c r="M987" s="375">
        <f t="shared" si="891"/>
        <v>24.978589824754835</v>
      </c>
      <c r="N987" s="354" t="s">
        <v>395</v>
      </c>
      <c r="O987" s="354">
        <v>0</v>
      </c>
      <c r="P987" s="374"/>
      <c r="Q987" s="354">
        <v>0</v>
      </c>
      <c r="R987" s="354">
        <v>0</v>
      </c>
      <c r="S987" s="354">
        <v>0</v>
      </c>
      <c r="T987" s="354">
        <v>0</v>
      </c>
      <c r="U987" s="374"/>
      <c r="V987" s="354">
        <v>0</v>
      </c>
      <c r="W987" s="354">
        <v>0</v>
      </c>
      <c r="X987" s="354">
        <v>0</v>
      </c>
      <c r="Y987" s="374"/>
      <c r="Z987" s="354">
        <v>0</v>
      </c>
      <c r="AA987" s="354">
        <v>0</v>
      </c>
      <c r="AB987" s="374"/>
      <c r="AC987" s="376">
        <v>0</v>
      </c>
      <c r="AD987" s="376">
        <v>0</v>
      </c>
      <c r="AE987" s="376">
        <v>0</v>
      </c>
      <c r="AF987" s="374"/>
      <c r="AG987" s="376">
        <v>0</v>
      </c>
      <c r="AH987" s="376">
        <v>0</v>
      </c>
      <c r="AI987" s="376">
        <v>0</v>
      </c>
      <c r="AJ987" s="376">
        <v>0</v>
      </c>
      <c r="AK987" s="374"/>
      <c r="AL987" s="376">
        <v>0</v>
      </c>
      <c r="AM987" s="376">
        <v>0</v>
      </c>
      <c r="AN987" s="376">
        <v>0</v>
      </c>
      <c r="AO987" s="374"/>
      <c r="AP987" s="376">
        <v>0</v>
      </c>
      <c r="AQ987" s="376">
        <v>0</v>
      </c>
      <c r="AR987" s="374"/>
      <c r="AS987" s="376">
        <v>0</v>
      </c>
      <c r="AT987" s="376">
        <v>0</v>
      </c>
      <c r="AU987" s="355" t="s">
        <v>396</v>
      </c>
      <c r="AV987" s="354" t="s">
        <v>397</v>
      </c>
      <c r="AW987" s="353">
        <v>0</v>
      </c>
      <c r="AX987" s="353">
        <v>0</v>
      </c>
      <c r="AY987" s="353">
        <v>0</v>
      </c>
      <c r="AZ987" s="353">
        <v>0</v>
      </c>
      <c r="BA987" s="353">
        <v>0</v>
      </c>
      <c r="BB987" s="353">
        <v>0</v>
      </c>
    </row>
    <row r="988" spans="1:54" x14ac:dyDescent="0.25">
      <c r="A988" s="348" t="s">
        <v>1390</v>
      </c>
      <c r="B988" s="349">
        <v>101</v>
      </c>
      <c r="C988" s="350" t="s">
        <v>1330</v>
      </c>
      <c r="D988" s="351">
        <v>45175</v>
      </c>
      <c r="E988" s="352"/>
      <c r="F988" s="352">
        <v>6</v>
      </c>
      <c r="G988" s="350" t="s">
        <v>1208</v>
      </c>
      <c r="H988" s="350" t="s">
        <v>1354</v>
      </c>
      <c r="I988" s="350" t="s">
        <v>393</v>
      </c>
      <c r="J988" s="375">
        <v>10000</v>
      </c>
      <c r="K988" s="350" t="s">
        <v>394</v>
      </c>
      <c r="L988" s="354">
        <v>2802.3999950000002</v>
      </c>
      <c r="M988" s="375">
        <f t="shared" si="891"/>
        <v>3.568369974964976</v>
      </c>
      <c r="N988" s="354" t="s">
        <v>395</v>
      </c>
      <c r="O988" s="354">
        <v>0</v>
      </c>
      <c r="P988" s="374"/>
      <c r="Q988" s="354">
        <v>0</v>
      </c>
      <c r="R988" s="354">
        <v>0</v>
      </c>
      <c r="S988" s="354">
        <v>0</v>
      </c>
      <c r="T988" s="354">
        <v>0</v>
      </c>
      <c r="U988" s="374"/>
      <c r="V988" s="354">
        <v>0</v>
      </c>
      <c r="W988" s="354">
        <v>0</v>
      </c>
      <c r="X988" s="354">
        <v>0</v>
      </c>
      <c r="Y988" s="374"/>
      <c r="Z988" s="354">
        <v>0</v>
      </c>
      <c r="AA988" s="354">
        <v>0</v>
      </c>
      <c r="AB988" s="374"/>
      <c r="AC988" s="376">
        <v>0</v>
      </c>
      <c r="AD988" s="376">
        <v>0</v>
      </c>
      <c r="AE988" s="376">
        <v>0</v>
      </c>
      <c r="AF988" s="374"/>
      <c r="AG988" s="376">
        <v>0</v>
      </c>
      <c r="AH988" s="376">
        <v>0</v>
      </c>
      <c r="AI988" s="376">
        <v>0</v>
      </c>
      <c r="AJ988" s="376">
        <v>0</v>
      </c>
      <c r="AK988" s="374"/>
      <c r="AL988" s="376">
        <v>0</v>
      </c>
      <c r="AM988" s="376">
        <v>0</v>
      </c>
      <c r="AN988" s="376">
        <v>0</v>
      </c>
      <c r="AO988" s="374"/>
      <c r="AP988" s="376">
        <v>0</v>
      </c>
      <c r="AQ988" s="376">
        <v>0</v>
      </c>
      <c r="AR988" s="374"/>
      <c r="AS988" s="376">
        <v>0</v>
      </c>
      <c r="AT988" s="376">
        <v>0</v>
      </c>
      <c r="AU988" s="355" t="s">
        <v>396</v>
      </c>
      <c r="AV988" s="354" t="s">
        <v>397</v>
      </c>
      <c r="AW988" s="353">
        <v>0</v>
      </c>
      <c r="AX988" s="353">
        <v>0</v>
      </c>
      <c r="AY988" s="353">
        <v>0</v>
      </c>
      <c r="AZ988" s="353">
        <v>0</v>
      </c>
      <c r="BA988" s="353">
        <v>0</v>
      </c>
      <c r="BB988" s="353">
        <v>0</v>
      </c>
    </row>
    <row r="989" spans="1:54" x14ac:dyDescent="0.25">
      <c r="A989" s="348" t="s">
        <v>1390</v>
      </c>
      <c r="B989" s="349">
        <v>102</v>
      </c>
      <c r="C989" s="350" t="s">
        <v>1330</v>
      </c>
      <c r="D989" s="351">
        <v>45175</v>
      </c>
      <c r="E989" s="352"/>
      <c r="F989" s="352">
        <v>6</v>
      </c>
      <c r="G989" s="350" t="s">
        <v>1208</v>
      </c>
      <c r="H989" s="350" t="s">
        <v>1164</v>
      </c>
      <c r="I989" s="350" t="s">
        <v>393</v>
      </c>
      <c r="J989" s="375">
        <f>105000+90000+60000+105000+90000</f>
        <v>450000</v>
      </c>
      <c r="K989" s="350" t="s">
        <v>394</v>
      </c>
      <c r="L989" s="354">
        <v>2802.3999950000002</v>
      </c>
      <c r="M989" s="375">
        <f t="shared" si="891"/>
        <v>160.57664887342392</v>
      </c>
      <c r="N989" s="354" t="s">
        <v>395</v>
      </c>
      <c r="O989" s="354">
        <v>0</v>
      </c>
      <c r="P989" s="374"/>
      <c r="Q989" s="354">
        <v>0</v>
      </c>
      <c r="R989" s="354">
        <v>0</v>
      </c>
      <c r="S989" s="354">
        <v>0</v>
      </c>
      <c r="T989" s="354">
        <v>0</v>
      </c>
      <c r="U989" s="374"/>
      <c r="V989" s="354">
        <v>0</v>
      </c>
      <c r="W989" s="354">
        <v>0</v>
      </c>
      <c r="X989" s="354">
        <v>0</v>
      </c>
      <c r="Y989" s="374"/>
      <c r="Z989" s="354">
        <v>0</v>
      </c>
      <c r="AA989" s="354">
        <v>0</v>
      </c>
      <c r="AB989" s="374"/>
      <c r="AC989" s="376">
        <v>0</v>
      </c>
      <c r="AD989" s="376">
        <v>0</v>
      </c>
      <c r="AE989" s="376">
        <v>0</v>
      </c>
      <c r="AF989" s="374"/>
      <c r="AG989" s="376">
        <v>0</v>
      </c>
      <c r="AH989" s="376">
        <v>0</v>
      </c>
      <c r="AI989" s="376">
        <v>0</v>
      </c>
      <c r="AJ989" s="376">
        <v>0</v>
      </c>
      <c r="AK989" s="374"/>
      <c r="AL989" s="376">
        <v>0</v>
      </c>
      <c r="AM989" s="376">
        <v>0</v>
      </c>
      <c r="AN989" s="376">
        <v>0</v>
      </c>
      <c r="AO989" s="374"/>
      <c r="AP989" s="376">
        <v>0</v>
      </c>
      <c r="AQ989" s="376">
        <v>0</v>
      </c>
      <c r="AR989" s="374"/>
      <c r="AS989" s="376">
        <v>0</v>
      </c>
      <c r="AT989" s="376">
        <v>0</v>
      </c>
      <c r="AU989" s="355" t="s">
        <v>396</v>
      </c>
      <c r="AV989" s="354" t="s">
        <v>397</v>
      </c>
      <c r="AW989" s="353">
        <v>0</v>
      </c>
      <c r="AX989" s="353">
        <v>0</v>
      </c>
      <c r="AY989" s="353">
        <v>0</v>
      </c>
      <c r="AZ989" s="353">
        <v>0</v>
      </c>
      <c r="BA989" s="353">
        <v>0</v>
      </c>
      <c r="BB989" s="353">
        <v>0</v>
      </c>
    </row>
    <row r="990" spans="1:54" x14ac:dyDescent="0.25">
      <c r="A990" s="348" t="s">
        <v>1390</v>
      </c>
      <c r="B990" s="349">
        <v>103</v>
      </c>
      <c r="C990" s="350" t="s">
        <v>1330</v>
      </c>
      <c r="D990" s="351">
        <v>45175</v>
      </c>
      <c r="E990" s="352"/>
      <c r="F990" s="352">
        <v>6</v>
      </c>
      <c r="G990" s="350" t="s">
        <v>1208</v>
      </c>
      <c r="H990" s="350" t="s">
        <v>1164</v>
      </c>
      <c r="I990" s="350" t="s">
        <v>393</v>
      </c>
      <c r="J990" s="375">
        <f>90000+90000+60000+105000+105000</f>
        <v>450000</v>
      </c>
      <c r="K990" s="350" t="s">
        <v>394</v>
      </c>
      <c r="L990" s="354">
        <v>2802.3999950000002</v>
      </c>
      <c r="M990" s="375">
        <f t="shared" si="891"/>
        <v>160.57664887342392</v>
      </c>
      <c r="N990" s="354" t="s">
        <v>395</v>
      </c>
      <c r="O990" s="354">
        <v>0</v>
      </c>
      <c r="P990" s="374"/>
      <c r="Q990" s="354">
        <v>0</v>
      </c>
      <c r="R990" s="354">
        <v>0</v>
      </c>
      <c r="S990" s="354">
        <v>0</v>
      </c>
      <c r="T990" s="354">
        <v>0</v>
      </c>
      <c r="U990" s="374"/>
      <c r="V990" s="354">
        <v>0</v>
      </c>
      <c r="W990" s="354">
        <v>0</v>
      </c>
      <c r="X990" s="354">
        <v>0</v>
      </c>
      <c r="Y990" s="374"/>
      <c r="Z990" s="354">
        <v>0</v>
      </c>
      <c r="AA990" s="354">
        <v>0</v>
      </c>
      <c r="AB990" s="374"/>
      <c r="AC990" s="376">
        <v>0</v>
      </c>
      <c r="AD990" s="376">
        <v>0</v>
      </c>
      <c r="AE990" s="376">
        <v>0</v>
      </c>
      <c r="AF990" s="374"/>
      <c r="AG990" s="376">
        <v>0</v>
      </c>
      <c r="AH990" s="376">
        <v>0</v>
      </c>
      <c r="AI990" s="376">
        <v>0</v>
      </c>
      <c r="AJ990" s="376">
        <v>0</v>
      </c>
      <c r="AK990" s="374"/>
      <c r="AL990" s="376">
        <v>0</v>
      </c>
      <c r="AM990" s="376">
        <v>0</v>
      </c>
      <c r="AN990" s="376">
        <v>0</v>
      </c>
      <c r="AO990" s="374"/>
      <c r="AP990" s="376">
        <v>0</v>
      </c>
      <c r="AQ990" s="376">
        <v>0</v>
      </c>
      <c r="AR990" s="374"/>
      <c r="AS990" s="376">
        <v>0</v>
      </c>
      <c r="AT990" s="376">
        <v>0</v>
      </c>
      <c r="AU990" s="355" t="s">
        <v>396</v>
      </c>
      <c r="AV990" s="354" t="s">
        <v>397</v>
      </c>
      <c r="AW990" s="353">
        <v>0</v>
      </c>
      <c r="AX990" s="353">
        <v>0</v>
      </c>
      <c r="AY990" s="353">
        <v>0</v>
      </c>
      <c r="AZ990" s="353">
        <v>0</v>
      </c>
      <c r="BA990" s="353">
        <v>0</v>
      </c>
      <c r="BB990" s="353">
        <v>0</v>
      </c>
    </row>
    <row r="991" spans="1:54" x14ac:dyDescent="0.25">
      <c r="A991" s="348" t="s">
        <v>1390</v>
      </c>
      <c r="B991" s="349">
        <v>104</v>
      </c>
      <c r="C991" s="350" t="s">
        <v>1330</v>
      </c>
      <c r="D991" s="351">
        <v>45175</v>
      </c>
      <c r="E991" s="352"/>
      <c r="F991" s="352">
        <v>6</v>
      </c>
      <c r="G991" s="350" t="s">
        <v>1208</v>
      </c>
      <c r="H991" s="350" t="s">
        <v>1164</v>
      </c>
      <c r="I991" s="350" t="s">
        <v>393</v>
      </c>
      <c r="J991" s="375">
        <f>90000+90000+90000+90000+30000</f>
        <v>390000</v>
      </c>
      <c r="K991" s="350" t="s">
        <v>394</v>
      </c>
      <c r="L991" s="354">
        <v>2802.3999950000002</v>
      </c>
      <c r="M991" s="375">
        <f t="shared" si="891"/>
        <v>139.16642902363407</v>
      </c>
      <c r="N991" s="354" t="s">
        <v>395</v>
      </c>
      <c r="O991" s="354">
        <v>0</v>
      </c>
      <c r="P991" s="374"/>
      <c r="Q991" s="354">
        <v>0</v>
      </c>
      <c r="R991" s="354">
        <v>0</v>
      </c>
      <c r="S991" s="354">
        <v>0</v>
      </c>
      <c r="T991" s="354">
        <v>0</v>
      </c>
      <c r="U991" s="374"/>
      <c r="V991" s="354">
        <v>0</v>
      </c>
      <c r="W991" s="354">
        <v>0</v>
      </c>
      <c r="X991" s="354">
        <v>0</v>
      </c>
      <c r="Y991" s="374"/>
      <c r="Z991" s="354">
        <v>0</v>
      </c>
      <c r="AA991" s="354">
        <v>0</v>
      </c>
      <c r="AB991" s="374"/>
      <c r="AC991" s="376">
        <v>0</v>
      </c>
      <c r="AD991" s="376">
        <v>0</v>
      </c>
      <c r="AE991" s="376">
        <v>0</v>
      </c>
      <c r="AF991" s="374"/>
      <c r="AG991" s="376">
        <v>0</v>
      </c>
      <c r="AH991" s="376">
        <v>0</v>
      </c>
      <c r="AI991" s="376">
        <v>0</v>
      </c>
      <c r="AJ991" s="376">
        <v>0</v>
      </c>
      <c r="AK991" s="374"/>
      <c r="AL991" s="376">
        <v>0</v>
      </c>
      <c r="AM991" s="376">
        <v>0</v>
      </c>
      <c r="AN991" s="376">
        <v>0</v>
      </c>
      <c r="AO991" s="374"/>
      <c r="AP991" s="376">
        <v>0</v>
      </c>
      <c r="AQ991" s="376">
        <v>0</v>
      </c>
      <c r="AR991" s="374"/>
      <c r="AS991" s="376">
        <v>0</v>
      </c>
      <c r="AT991" s="376">
        <v>0</v>
      </c>
      <c r="AU991" s="355" t="s">
        <v>396</v>
      </c>
      <c r="AV991" s="354" t="s">
        <v>397</v>
      </c>
      <c r="AW991" s="353">
        <v>0</v>
      </c>
      <c r="AX991" s="353">
        <v>0</v>
      </c>
      <c r="AY991" s="353">
        <v>0</v>
      </c>
      <c r="AZ991" s="353">
        <v>0</v>
      </c>
      <c r="BA991" s="353">
        <v>0</v>
      </c>
      <c r="BB991" s="353">
        <v>0</v>
      </c>
    </row>
    <row r="992" spans="1:54" x14ac:dyDescent="0.25">
      <c r="A992" s="348" t="s">
        <v>1390</v>
      </c>
      <c r="B992" s="349">
        <v>105</v>
      </c>
      <c r="C992" s="350" t="s">
        <v>1330</v>
      </c>
      <c r="D992" s="351">
        <v>45175</v>
      </c>
      <c r="E992" s="352"/>
      <c r="F992" s="352">
        <v>6</v>
      </c>
      <c r="G992" s="350" t="s">
        <v>1208</v>
      </c>
      <c r="H992" s="350" t="s">
        <v>1164</v>
      </c>
      <c r="I992" s="350" t="s">
        <v>393</v>
      </c>
      <c r="J992" s="375">
        <f>90000+90000+90000+90000+30000</f>
        <v>390000</v>
      </c>
      <c r="K992" s="350" t="s">
        <v>394</v>
      </c>
      <c r="L992" s="354">
        <v>2802.3999950000002</v>
      </c>
      <c r="M992" s="375">
        <f t="shared" si="891"/>
        <v>139.16642902363407</v>
      </c>
      <c r="N992" s="354" t="s">
        <v>395</v>
      </c>
      <c r="O992" s="354">
        <v>0</v>
      </c>
      <c r="P992" s="374"/>
      <c r="Q992" s="354">
        <v>0</v>
      </c>
      <c r="R992" s="354">
        <v>0</v>
      </c>
      <c r="S992" s="354">
        <v>0</v>
      </c>
      <c r="T992" s="354">
        <v>0</v>
      </c>
      <c r="U992" s="374"/>
      <c r="V992" s="354">
        <v>0</v>
      </c>
      <c r="W992" s="354">
        <v>0</v>
      </c>
      <c r="X992" s="354">
        <v>0</v>
      </c>
      <c r="Y992" s="374"/>
      <c r="Z992" s="354">
        <v>0</v>
      </c>
      <c r="AA992" s="354">
        <v>0</v>
      </c>
      <c r="AB992" s="374"/>
      <c r="AC992" s="376">
        <v>0</v>
      </c>
      <c r="AD992" s="376">
        <v>0</v>
      </c>
      <c r="AE992" s="376">
        <v>0</v>
      </c>
      <c r="AF992" s="374"/>
      <c r="AG992" s="376">
        <v>0</v>
      </c>
      <c r="AH992" s="376">
        <v>0</v>
      </c>
      <c r="AI992" s="376">
        <v>0</v>
      </c>
      <c r="AJ992" s="376">
        <v>0</v>
      </c>
      <c r="AK992" s="374"/>
      <c r="AL992" s="376">
        <v>0</v>
      </c>
      <c r="AM992" s="376">
        <v>0</v>
      </c>
      <c r="AN992" s="376">
        <v>0</v>
      </c>
      <c r="AO992" s="374"/>
      <c r="AP992" s="376">
        <v>0</v>
      </c>
      <c r="AQ992" s="376">
        <v>0</v>
      </c>
      <c r="AR992" s="374"/>
      <c r="AS992" s="376">
        <v>0</v>
      </c>
      <c r="AT992" s="376">
        <v>0</v>
      </c>
      <c r="AU992" s="355" t="s">
        <v>396</v>
      </c>
      <c r="AV992" s="354" t="s">
        <v>397</v>
      </c>
      <c r="AW992" s="353">
        <v>0</v>
      </c>
      <c r="AX992" s="353">
        <v>0</v>
      </c>
      <c r="AY992" s="353">
        <v>0</v>
      </c>
      <c r="AZ992" s="353">
        <v>0</v>
      </c>
      <c r="BA992" s="353">
        <v>0</v>
      </c>
      <c r="BB992" s="353">
        <v>0</v>
      </c>
    </row>
    <row r="993" spans="1:54" x14ac:dyDescent="0.25">
      <c r="A993" s="348" t="s">
        <v>1390</v>
      </c>
      <c r="B993" s="349">
        <v>106</v>
      </c>
      <c r="C993" s="350" t="s">
        <v>1330</v>
      </c>
      <c r="D993" s="351">
        <v>45175</v>
      </c>
      <c r="E993" s="352"/>
      <c r="F993" s="352">
        <v>6</v>
      </c>
      <c r="G993" s="350" t="s">
        <v>1208</v>
      </c>
      <c r="H993" s="350" t="s">
        <v>1164</v>
      </c>
      <c r="I993" s="350" t="s">
        <v>393</v>
      </c>
      <c r="J993" s="375">
        <f>90000+90000+90000+60000</f>
        <v>330000</v>
      </c>
      <c r="K993" s="350" t="s">
        <v>394</v>
      </c>
      <c r="L993" s="354">
        <v>2802.3999950000002</v>
      </c>
      <c r="M993" s="375">
        <f t="shared" si="891"/>
        <v>117.75620917384421</v>
      </c>
      <c r="N993" s="354" t="s">
        <v>395</v>
      </c>
      <c r="O993" s="354">
        <v>0</v>
      </c>
      <c r="P993" s="374"/>
      <c r="Q993" s="354">
        <v>0</v>
      </c>
      <c r="R993" s="354">
        <v>0</v>
      </c>
      <c r="S993" s="354">
        <v>0</v>
      </c>
      <c r="T993" s="354">
        <v>0</v>
      </c>
      <c r="U993" s="374"/>
      <c r="V993" s="354">
        <v>0</v>
      </c>
      <c r="W993" s="354">
        <v>0</v>
      </c>
      <c r="X993" s="354">
        <v>0</v>
      </c>
      <c r="Y993" s="374"/>
      <c r="Z993" s="354">
        <v>0</v>
      </c>
      <c r="AA993" s="354">
        <v>0</v>
      </c>
      <c r="AB993" s="374"/>
      <c r="AC993" s="376">
        <v>0</v>
      </c>
      <c r="AD993" s="376">
        <v>0</v>
      </c>
      <c r="AE993" s="376">
        <v>0</v>
      </c>
      <c r="AF993" s="374"/>
      <c r="AG993" s="376">
        <v>0</v>
      </c>
      <c r="AH993" s="376">
        <v>0</v>
      </c>
      <c r="AI993" s="376">
        <v>0</v>
      </c>
      <c r="AJ993" s="376">
        <v>0</v>
      </c>
      <c r="AK993" s="374"/>
      <c r="AL993" s="376">
        <v>0</v>
      </c>
      <c r="AM993" s="376">
        <v>0</v>
      </c>
      <c r="AN993" s="376">
        <v>0</v>
      </c>
      <c r="AO993" s="374"/>
      <c r="AP993" s="376">
        <v>0</v>
      </c>
      <c r="AQ993" s="376">
        <v>0</v>
      </c>
      <c r="AR993" s="374"/>
      <c r="AS993" s="376">
        <v>0</v>
      </c>
      <c r="AT993" s="376">
        <v>0</v>
      </c>
      <c r="AU993" s="355" t="s">
        <v>396</v>
      </c>
      <c r="AV993" s="354" t="s">
        <v>397</v>
      </c>
      <c r="AW993" s="353">
        <v>0</v>
      </c>
      <c r="AX993" s="353">
        <v>0</v>
      </c>
      <c r="AY993" s="353">
        <v>0</v>
      </c>
      <c r="AZ993" s="353">
        <v>0</v>
      </c>
      <c r="BA993" s="353">
        <v>0</v>
      </c>
      <c r="BB993" s="353">
        <v>0</v>
      </c>
    </row>
    <row r="994" spans="1:54" x14ac:dyDescent="0.25">
      <c r="A994" s="348" t="s">
        <v>1390</v>
      </c>
      <c r="B994" s="349">
        <v>107</v>
      </c>
      <c r="C994" s="350" t="s">
        <v>1330</v>
      </c>
      <c r="D994" s="351">
        <v>45175</v>
      </c>
      <c r="E994" s="352"/>
      <c r="F994" s="352">
        <v>6</v>
      </c>
      <c r="G994" s="350" t="s">
        <v>1208</v>
      </c>
      <c r="H994" s="350" t="s">
        <v>1164</v>
      </c>
      <c r="I994" s="350" t="s">
        <v>393</v>
      </c>
      <c r="J994" s="375">
        <f>90000+90000+90000+60000</f>
        <v>330000</v>
      </c>
      <c r="K994" s="350" t="s">
        <v>394</v>
      </c>
      <c r="L994" s="354">
        <v>2802.3999950000002</v>
      </c>
      <c r="M994" s="375">
        <f t="shared" si="891"/>
        <v>117.75620917384421</v>
      </c>
      <c r="N994" s="354" t="s">
        <v>395</v>
      </c>
      <c r="O994" s="354">
        <v>0</v>
      </c>
      <c r="P994" s="374"/>
      <c r="Q994" s="354">
        <v>0</v>
      </c>
      <c r="R994" s="354">
        <v>0</v>
      </c>
      <c r="S994" s="354">
        <v>0</v>
      </c>
      <c r="T994" s="354">
        <v>0</v>
      </c>
      <c r="U994" s="374"/>
      <c r="V994" s="354">
        <v>0</v>
      </c>
      <c r="W994" s="354">
        <v>0</v>
      </c>
      <c r="X994" s="354">
        <v>0</v>
      </c>
      <c r="Y994" s="374"/>
      <c r="Z994" s="354">
        <v>0</v>
      </c>
      <c r="AA994" s="354">
        <v>0</v>
      </c>
      <c r="AB994" s="374"/>
      <c r="AC994" s="376">
        <v>0</v>
      </c>
      <c r="AD994" s="376">
        <v>0</v>
      </c>
      <c r="AE994" s="376">
        <v>0</v>
      </c>
      <c r="AF994" s="374"/>
      <c r="AG994" s="376">
        <v>0</v>
      </c>
      <c r="AH994" s="376">
        <v>0</v>
      </c>
      <c r="AI994" s="376">
        <v>0</v>
      </c>
      <c r="AJ994" s="376">
        <v>0</v>
      </c>
      <c r="AK994" s="374"/>
      <c r="AL994" s="376">
        <v>0</v>
      </c>
      <c r="AM994" s="376">
        <v>0</v>
      </c>
      <c r="AN994" s="376">
        <v>0</v>
      </c>
      <c r="AO994" s="374"/>
      <c r="AP994" s="376">
        <v>0</v>
      </c>
      <c r="AQ994" s="376">
        <v>0</v>
      </c>
      <c r="AR994" s="374"/>
      <c r="AS994" s="376">
        <v>0</v>
      </c>
      <c r="AT994" s="376">
        <v>0</v>
      </c>
      <c r="AU994" s="355" t="s">
        <v>396</v>
      </c>
      <c r="AV994" s="354" t="s">
        <v>397</v>
      </c>
      <c r="AW994" s="353">
        <v>0</v>
      </c>
      <c r="AX994" s="353">
        <v>0</v>
      </c>
      <c r="AY994" s="353">
        <v>0</v>
      </c>
      <c r="AZ994" s="353">
        <v>0</v>
      </c>
      <c r="BA994" s="353">
        <v>0</v>
      </c>
      <c r="BB994" s="353">
        <v>0</v>
      </c>
    </row>
    <row r="995" spans="1:54" x14ac:dyDescent="0.25">
      <c r="A995" s="348" t="s">
        <v>1390</v>
      </c>
      <c r="B995" s="349">
        <v>108</v>
      </c>
      <c r="C995" s="350" t="s">
        <v>1330</v>
      </c>
      <c r="D995" s="351">
        <v>45175</v>
      </c>
      <c r="E995" s="352"/>
      <c r="F995" s="352">
        <v>6</v>
      </c>
      <c r="G995" s="350" t="s">
        <v>1208</v>
      </c>
      <c r="H995" s="350" t="s">
        <v>1164</v>
      </c>
      <c r="I995" s="350" t="s">
        <v>393</v>
      </c>
      <c r="J995" s="375">
        <f>30000+105000+105000+105000+105000</f>
        <v>450000</v>
      </c>
      <c r="K995" s="350" t="s">
        <v>394</v>
      </c>
      <c r="L995" s="354">
        <v>2802.3999950000002</v>
      </c>
      <c r="M995" s="375">
        <f t="shared" si="891"/>
        <v>160.57664887342392</v>
      </c>
      <c r="N995" s="354" t="s">
        <v>395</v>
      </c>
      <c r="O995" s="354">
        <v>0</v>
      </c>
      <c r="P995" s="374"/>
      <c r="Q995" s="354">
        <v>0</v>
      </c>
      <c r="R995" s="354">
        <v>0</v>
      </c>
      <c r="S995" s="354">
        <v>0</v>
      </c>
      <c r="T995" s="354">
        <v>0</v>
      </c>
      <c r="U995" s="374"/>
      <c r="V995" s="354">
        <v>0</v>
      </c>
      <c r="W995" s="354">
        <v>0</v>
      </c>
      <c r="X995" s="354">
        <v>0</v>
      </c>
      <c r="Y995" s="374"/>
      <c r="Z995" s="354">
        <v>0</v>
      </c>
      <c r="AA995" s="354">
        <v>0</v>
      </c>
      <c r="AB995" s="374"/>
      <c r="AC995" s="376">
        <v>0</v>
      </c>
      <c r="AD995" s="376">
        <v>0</v>
      </c>
      <c r="AE995" s="376">
        <v>0</v>
      </c>
      <c r="AF995" s="374"/>
      <c r="AG995" s="376">
        <v>0</v>
      </c>
      <c r="AH995" s="376">
        <v>0</v>
      </c>
      <c r="AI995" s="376">
        <v>0</v>
      </c>
      <c r="AJ995" s="376">
        <v>0</v>
      </c>
      <c r="AK995" s="374"/>
      <c r="AL995" s="376">
        <v>0</v>
      </c>
      <c r="AM995" s="376">
        <v>0</v>
      </c>
      <c r="AN995" s="376">
        <v>0</v>
      </c>
      <c r="AO995" s="374"/>
      <c r="AP995" s="376">
        <v>0</v>
      </c>
      <c r="AQ995" s="376">
        <v>0</v>
      </c>
      <c r="AR995" s="374"/>
      <c r="AS995" s="376">
        <v>0</v>
      </c>
      <c r="AT995" s="376">
        <v>0</v>
      </c>
      <c r="AU995" s="355" t="s">
        <v>396</v>
      </c>
      <c r="AV995" s="354" t="s">
        <v>397</v>
      </c>
      <c r="AW995" s="353">
        <v>0</v>
      </c>
      <c r="AX995" s="353">
        <v>0</v>
      </c>
      <c r="AY995" s="353">
        <v>0</v>
      </c>
      <c r="AZ995" s="353">
        <v>0</v>
      </c>
      <c r="BA995" s="353">
        <v>0</v>
      </c>
      <c r="BB995" s="353">
        <v>0</v>
      </c>
    </row>
    <row r="996" spans="1:54" x14ac:dyDescent="0.25">
      <c r="A996" s="348" t="s">
        <v>1390</v>
      </c>
      <c r="B996" s="349">
        <v>109</v>
      </c>
      <c r="C996" s="350" t="s">
        <v>1330</v>
      </c>
      <c r="D996" s="351">
        <v>45175</v>
      </c>
      <c r="E996" s="352"/>
      <c r="F996" s="352">
        <v>6</v>
      </c>
      <c r="G996" s="350" t="s">
        <v>1208</v>
      </c>
      <c r="H996" s="350" t="s">
        <v>1164</v>
      </c>
      <c r="I996" s="350" t="s">
        <v>393</v>
      </c>
      <c r="J996" s="375">
        <f>90000+105000+105000+90000+60000</f>
        <v>450000</v>
      </c>
      <c r="K996" s="350" t="s">
        <v>394</v>
      </c>
      <c r="L996" s="354">
        <v>2802.3999950000002</v>
      </c>
      <c r="M996" s="375">
        <f t="shared" si="891"/>
        <v>160.57664887342392</v>
      </c>
      <c r="N996" s="354" t="s">
        <v>395</v>
      </c>
      <c r="O996" s="354">
        <v>0</v>
      </c>
      <c r="P996" s="374"/>
      <c r="Q996" s="354">
        <v>0</v>
      </c>
      <c r="R996" s="354">
        <v>0</v>
      </c>
      <c r="S996" s="354">
        <v>0</v>
      </c>
      <c r="T996" s="354">
        <v>0</v>
      </c>
      <c r="U996" s="374"/>
      <c r="V996" s="354">
        <v>0</v>
      </c>
      <c r="W996" s="354">
        <v>0</v>
      </c>
      <c r="X996" s="354">
        <v>0</v>
      </c>
      <c r="Y996" s="374"/>
      <c r="Z996" s="354">
        <v>0</v>
      </c>
      <c r="AA996" s="354">
        <v>0</v>
      </c>
      <c r="AB996" s="374"/>
      <c r="AC996" s="376">
        <v>0</v>
      </c>
      <c r="AD996" s="376">
        <v>0</v>
      </c>
      <c r="AE996" s="376">
        <v>0</v>
      </c>
      <c r="AF996" s="374"/>
      <c r="AG996" s="376">
        <v>0</v>
      </c>
      <c r="AH996" s="376">
        <v>0</v>
      </c>
      <c r="AI996" s="376">
        <v>0</v>
      </c>
      <c r="AJ996" s="376">
        <v>0</v>
      </c>
      <c r="AK996" s="374"/>
      <c r="AL996" s="376">
        <v>0</v>
      </c>
      <c r="AM996" s="376">
        <v>0</v>
      </c>
      <c r="AN996" s="376">
        <v>0</v>
      </c>
      <c r="AO996" s="374"/>
      <c r="AP996" s="376">
        <v>0</v>
      </c>
      <c r="AQ996" s="376">
        <v>0</v>
      </c>
      <c r="AR996" s="374"/>
      <c r="AS996" s="376">
        <v>0</v>
      </c>
      <c r="AT996" s="376">
        <v>0</v>
      </c>
      <c r="AU996" s="355" t="s">
        <v>396</v>
      </c>
      <c r="AV996" s="354" t="s">
        <v>397</v>
      </c>
      <c r="AW996" s="353">
        <v>0</v>
      </c>
      <c r="AX996" s="353">
        <v>0</v>
      </c>
      <c r="AY996" s="353">
        <v>0</v>
      </c>
      <c r="AZ996" s="353">
        <v>0</v>
      </c>
      <c r="BA996" s="353">
        <v>0</v>
      </c>
      <c r="BB996" s="353">
        <v>0</v>
      </c>
    </row>
    <row r="997" spans="1:54" x14ac:dyDescent="0.25">
      <c r="A997" s="348" t="s">
        <v>1390</v>
      </c>
      <c r="B997" s="349">
        <v>110</v>
      </c>
      <c r="C997" s="350" t="s">
        <v>1330</v>
      </c>
      <c r="D997" s="351">
        <v>45175</v>
      </c>
      <c r="E997" s="352"/>
      <c r="F997" s="352">
        <v>6</v>
      </c>
      <c r="G997" s="350" t="s">
        <v>1208</v>
      </c>
      <c r="H997" s="350" t="s">
        <v>1164</v>
      </c>
      <c r="I997" s="350" t="s">
        <v>393</v>
      </c>
      <c r="J997" s="375">
        <f>90000+90000+90000+90000+90000</f>
        <v>450000</v>
      </c>
      <c r="K997" s="350" t="s">
        <v>394</v>
      </c>
      <c r="L997" s="354">
        <v>2802.3999950000002</v>
      </c>
      <c r="M997" s="375">
        <f t="shared" si="891"/>
        <v>160.57664887342392</v>
      </c>
      <c r="N997" s="354" t="s">
        <v>395</v>
      </c>
      <c r="O997" s="354">
        <v>0</v>
      </c>
      <c r="P997" s="374"/>
      <c r="Q997" s="354">
        <v>0</v>
      </c>
      <c r="R997" s="354">
        <v>0</v>
      </c>
      <c r="S997" s="354">
        <v>0</v>
      </c>
      <c r="T997" s="354">
        <v>0</v>
      </c>
      <c r="U997" s="374"/>
      <c r="V997" s="354">
        <v>0</v>
      </c>
      <c r="W997" s="354">
        <v>0</v>
      </c>
      <c r="X997" s="354">
        <v>0</v>
      </c>
      <c r="Y997" s="374"/>
      <c r="Z997" s="354">
        <v>0</v>
      </c>
      <c r="AA997" s="354">
        <v>0</v>
      </c>
      <c r="AB997" s="374"/>
      <c r="AC997" s="376">
        <v>0</v>
      </c>
      <c r="AD997" s="376">
        <v>0</v>
      </c>
      <c r="AE997" s="376">
        <v>0</v>
      </c>
      <c r="AF997" s="374"/>
      <c r="AG997" s="376">
        <v>0</v>
      </c>
      <c r="AH997" s="376">
        <v>0</v>
      </c>
      <c r="AI997" s="376">
        <v>0</v>
      </c>
      <c r="AJ997" s="376">
        <v>0</v>
      </c>
      <c r="AK997" s="374"/>
      <c r="AL997" s="376">
        <v>0</v>
      </c>
      <c r="AM997" s="376">
        <v>0</v>
      </c>
      <c r="AN997" s="376">
        <v>0</v>
      </c>
      <c r="AO997" s="374"/>
      <c r="AP997" s="376">
        <v>0</v>
      </c>
      <c r="AQ997" s="376">
        <v>0</v>
      </c>
      <c r="AR997" s="374"/>
      <c r="AS997" s="376">
        <v>0</v>
      </c>
      <c r="AT997" s="376">
        <v>0</v>
      </c>
      <c r="AU997" s="355" t="s">
        <v>396</v>
      </c>
      <c r="AV997" s="354" t="s">
        <v>397</v>
      </c>
      <c r="AW997" s="353">
        <v>0</v>
      </c>
      <c r="AX997" s="353">
        <v>0</v>
      </c>
      <c r="AY997" s="353">
        <v>0</v>
      </c>
      <c r="AZ997" s="353">
        <v>0</v>
      </c>
      <c r="BA997" s="353">
        <v>0</v>
      </c>
      <c r="BB997" s="353">
        <v>0</v>
      </c>
    </row>
    <row r="998" spans="1:54" x14ac:dyDescent="0.25">
      <c r="A998" s="348" t="s">
        <v>1390</v>
      </c>
      <c r="B998" s="349">
        <v>111</v>
      </c>
      <c r="C998" s="350" t="s">
        <v>1330</v>
      </c>
      <c r="D998" s="351">
        <v>45175</v>
      </c>
      <c r="E998" s="352"/>
      <c r="F998" s="352">
        <v>6</v>
      </c>
      <c r="G998" s="350" t="s">
        <v>1208</v>
      </c>
      <c r="H998" s="350" t="s">
        <v>1164</v>
      </c>
      <c r="I998" s="350" t="s">
        <v>393</v>
      </c>
      <c r="J998" s="375">
        <f>90000+90000+90000+90000+90000</f>
        <v>450000</v>
      </c>
      <c r="K998" s="350" t="s">
        <v>394</v>
      </c>
      <c r="L998" s="354">
        <v>2802.3999950000002</v>
      </c>
      <c r="M998" s="375">
        <f t="shared" si="891"/>
        <v>160.57664887342392</v>
      </c>
      <c r="N998" s="354" t="s">
        <v>395</v>
      </c>
      <c r="O998" s="354">
        <v>0</v>
      </c>
      <c r="P998" s="374"/>
      <c r="Q998" s="354">
        <v>0</v>
      </c>
      <c r="R998" s="354">
        <v>0</v>
      </c>
      <c r="S998" s="354">
        <v>0</v>
      </c>
      <c r="T998" s="354">
        <v>0</v>
      </c>
      <c r="U998" s="374"/>
      <c r="V998" s="354">
        <v>0</v>
      </c>
      <c r="W998" s="354">
        <v>0</v>
      </c>
      <c r="X998" s="354">
        <v>0</v>
      </c>
      <c r="Y998" s="374"/>
      <c r="Z998" s="354">
        <v>0</v>
      </c>
      <c r="AA998" s="354">
        <v>0</v>
      </c>
      <c r="AB998" s="374"/>
      <c r="AC998" s="376">
        <v>0</v>
      </c>
      <c r="AD998" s="376">
        <v>0</v>
      </c>
      <c r="AE998" s="376">
        <v>0</v>
      </c>
      <c r="AF998" s="374"/>
      <c r="AG998" s="376">
        <v>0</v>
      </c>
      <c r="AH998" s="376">
        <v>0</v>
      </c>
      <c r="AI998" s="376">
        <v>0</v>
      </c>
      <c r="AJ998" s="376">
        <v>0</v>
      </c>
      <c r="AK998" s="374"/>
      <c r="AL998" s="376">
        <v>0</v>
      </c>
      <c r="AM998" s="376">
        <v>0</v>
      </c>
      <c r="AN998" s="376">
        <v>0</v>
      </c>
      <c r="AO998" s="374"/>
      <c r="AP998" s="376">
        <v>0</v>
      </c>
      <c r="AQ998" s="376">
        <v>0</v>
      </c>
      <c r="AR998" s="374"/>
      <c r="AS998" s="376">
        <v>0</v>
      </c>
      <c r="AT998" s="376">
        <v>0</v>
      </c>
      <c r="AU998" s="355" t="s">
        <v>396</v>
      </c>
      <c r="AV998" s="354" t="s">
        <v>397</v>
      </c>
      <c r="AW998" s="353">
        <v>0</v>
      </c>
      <c r="AX998" s="353">
        <v>0</v>
      </c>
      <c r="AY998" s="353">
        <v>0</v>
      </c>
      <c r="AZ998" s="353">
        <v>0</v>
      </c>
      <c r="BA998" s="353">
        <v>0</v>
      </c>
      <c r="BB998" s="353">
        <v>0</v>
      </c>
    </row>
    <row r="999" spans="1:54" x14ac:dyDescent="0.25">
      <c r="A999" s="348" t="s">
        <v>1390</v>
      </c>
      <c r="B999" s="349">
        <v>112</v>
      </c>
      <c r="C999" s="350" t="s">
        <v>1330</v>
      </c>
      <c r="D999" s="351">
        <v>45175</v>
      </c>
      <c r="E999" s="352"/>
      <c r="F999" s="352">
        <v>6</v>
      </c>
      <c r="G999" s="350" t="s">
        <v>1208</v>
      </c>
      <c r="H999" s="350" t="s">
        <v>1164</v>
      </c>
      <c r="I999" s="350" t="s">
        <v>393</v>
      </c>
      <c r="J999" s="375">
        <f>90000+90000+90000+90000+90000</f>
        <v>450000</v>
      </c>
      <c r="K999" s="350" t="s">
        <v>394</v>
      </c>
      <c r="L999" s="354">
        <v>2802.3999950000002</v>
      </c>
      <c r="M999" s="375">
        <f t="shared" si="891"/>
        <v>160.57664887342392</v>
      </c>
      <c r="N999" s="354" t="s">
        <v>395</v>
      </c>
      <c r="O999" s="354">
        <v>0</v>
      </c>
      <c r="P999" s="374"/>
      <c r="Q999" s="354">
        <v>0</v>
      </c>
      <c r="R999" s="354">
        <v>0</v>
      </c>
      <c r="S999" s="354">
        <v>0</v>
      </c>
      <c r="T999" s="354">
        <v>0</v>
      </c>
      <c r="U999" s="374"/>
      <c r="V999" s="354">
        <v>0</v>
      </c>
      <c r="W999" s="354">
        <v>0</v>
      </c>
      <c r="X999" s="354">
        <v>0</v>
      </c>
      <c r="Y999" s="374"/>
      <c r="Z999" s="354">
        <v>0</v>
      </c>
      <c r="AA999" s="354">
        <v>0</v>
      </c>
      <c r="AB999" s="374"/>
      <c r="AC999" s="376">
        <v>0</v>
      </c>
      <c r="AD999" s="376">
        <v>0</v>
      </c>
      <c r="AE999" s="376">
        <v>0</v>
      </c>
      <c r="AF999" s="374"/>
      <c r="AG999" s="376">
        <v>0</v>
      </c>
      <c r="AH999" s="376">
        <v>0</v>
      </c>
      <c r="AI999" s="376">
        <v>0</v>
      </c>
      <c r="AJ999" s="376">
        <v>0</v>
      </c>
      <c r="AK999" s="374"/>
      <c r="AL999" s="376">
        <v>0</v>
      </c>
      <c r="AM999" s="376">
        <v>0</v>
      </c>
      <c r="AN999" s="376">
        <v>0</v>
      </c>
      <c r="AO999" s="374"/>
      <c r="AP999" s="376">
        <v>0</v>
      </c>
      <c r="AQ999" s="376">
        <v>0</v>
      </c>
      <c r="AR999" s="374"/>
      <c r="AS999" s="376">
        <v>0</v>
      </c>
      <c r="AT999" s="376">
        <v>0</v>
      </c>
      <c r="AU999" s="355" t="s">
        <v>396</v>
      </c>
      <c r="AV999" s="354" t="s">
        <v>397</v>
      </c>
      <c r="AW999" s="353">
        <v>0</v>
      </c>
      <c r="AX999" s="353">
        <v>0</v>
      </c>
      <c r="AY999" s="353">
        <v>0</v>
      </c>
      <c r="AZ999" s="353">
        <v>0</v>
      </c>
      <c r="BA999" s="353">
        <v>0</v>
      </c>
      <c r="BB999" s="353">
        <v>0</v>
      </c>
    </row>
    <row r="1000" spans="1:54" x14ac:dyDescent="0.25">
      <c r="A1000" s="348" t="s">
        <v>1390</v>
      </c>
      <c r="B1000" s="349">
        <v>113</v>
      </c>
      <c r="C1000" s="350" t="s">
        <v>1330</v>
      </c>
      <c r="D1000" s="351">
        <v>45175</v>
      </c>
      <c r="E1000" s="352"/>
      <c r="F1000" s="352">
        <v>6</v>
      </c>
      <c r="G1000" s="350" t="s">
        <v>1208</v>
      </c>
      <c r="H1000" s="350" t="s">
        <v>1164</v>
      </c>
      <c r="I1000" s="350" t="s">
        <v>393</v>
      </c>
      <c r="J1000" s="375">
        <f>90000+90000+90000+90000+90000</f>
        <v>450000</v>
      </c>
      <c r="K1000" s="350" t="s">
        <v>394</v>
      </c>
      <c r="L1000" s="354">
        <v>2802.3999950000002</v>
      </c>
      <c r="M1000" s="375">
        <f t="shared" si="891"/>
        <v>160.57664887342392</v>
      </c>
      <c r="N1000" s="354" t="s">
        <v>395</v>
      </c>
      <c r="O1000" s="354">
        <v>0</v>
      </c>
      <c r="P1000" s="374"/>
      <c r="Q1000" s="354">
        <v>0</v>
      </c>
      <c r="R1000" s="354">
        <v>0</v>
      </c>
      <c r="S1000" s="354">
        <v>0</v>
      </c>
      <c r="T1000" s="354">
        <v>0</v>
      </c>
      <c r="U1000" s="374"/>
      <c r="V1000" s="354">
        <v>0</v>
      </c>
      <c r="W1000" s="354">
        <v>0</v>
      </c>
      <c r="X1000" s="354">
        <v>0</v>
      </c>
      <c r="Y1000" s="374"/>
      <c r="Z1000" s="354">
        <v>0</v>
      </c>
      <c r="AA1000" s="354">
        <v>0</v>
      </c>
      <c r="AB1000" s="374"/>
      <c r="AC1000" s="376">
        <v>0</v>
      </c>
      <c r="AD1000" s="376">
        <v>0</v>
      </c>
      <c r="AE1000" s="376">
        <v>0</v>
      </c>
      <c r="AF1000" s="374"/>
      <c r="AG1000" s="376">
        <v>0</v>
      </c>
      <c r="AH1000" s="376">
        <v>0</v>
      </c>
      <c r="AI1000" s="376">
        <v>0</v>
      </c>
      <c r="AJ1000" s="376">
        <v>0</v>
      </c>
      <c r="AK1000" s="374"/>
      <c r="AL1000" s="376">
        <v>0</v>
      </c>
      <c r="AM1000" s="376">
        <v>0</v>
      </c>
      <c r="AN1000" s="376">
        <v>0</v>
      </c>
      <c r="AO1000" s="374"/>
      <c r="AP1000" s="376">
        <v>0</v>
      </c>
      <c r="AQ1000" s="376">
        <v>0</v>
      </c>
      <c r="AR1000" s="374"/>
      <c r="AS1000" s="376">
        <v>0</v>
      </c>
      <c r="AT1000" s="376">
        <v>0</v>
      </c>
      <c r="AU1000" s="355" t="s">
        <v>396</v>
      </c>
      <c r="AV1000" s="354" t="s">
        <v>397</v>
      </c>
      <c r="AW1000" s="353">
        <v>0</v>
      </c>
      <c r="AX1000" s="353">
        <v>0</v>
      </c>
      <c r="AY1000" s="353">
        <v>0</v>
      </c>
      <c r="AZ1000" s="353">
        <v>0</v>
      </c>
      <c r="BA1000" s="353">
        <v>0</v>
      </c>
      <c r="BB1000" s="353">
        <v>0</v>
      </c>
    </row>
    <row r="1001" spans="1:54" x14ac:dyDescent="0.25">
      <c r="A1001" s="348" t="s">
        <v>1390</v>
      </c>
      <c r="B1001" s="349">
        <v>114</v>
      </c>
      <c r="C1001" s="350" t="s">
        <v>1330</v>
      </c>
      <c r="D1001" s="351">
        <v>45175</v>
      </c>
      <c r="E1001" s="352"/>
      <c r="F1001" s="352">
        <v>6</v>
      </c>
      <c r="G1001" s="350" t="s">
        <v>1208</v>
      </c>
      <c r="H1001" s="350" t="s">
        <v>1164</v>
      </c>
      <c r="I1001" s="350" t="s">
        <v>393</v>
      </c>
      <c r="J1001" s="375">
        <f>105000+105000+105000+105000+30000</f>
        <v>450000</v>
      </c>
      <c r="K1001" s="350" t="s">
        <v>394</v>
      </c>
      <c r="L1001" s="354">
        <v>2802.3999950000002</v>
      </c>
      <c r="M1001" s="375">
        <f t="shared" si="891"/>
        <v>160.57664887342392</v>
      </c>
      <c r="N1001" s="354" t="s">
        <v>395</v>
      </c>
      <c r="O1001" s="354">
        <v>0</v>
      </c>
      <c r="P1001" s="374"/>
      <c r="Q1001" s="354">
        <v>0</v>
      </c>
      <c r="R1001" s="354">
        <v>0</v>
      </c>
      <c r="S1001" s="354">
        <v>0</v>
      </c>
      <c r="T1001" s="354">
        <v>0</v>
      </c>
      <c r="U1001" s="374"/>
      <c r="V1001" s="354">
        <v>0</v>
      </c>
      <c r="W1001" s="354">
        <v>0</v>
      </c>
      <c r="X1001" s="354">
        <v>0</v>
      </c>
      <c r="Y1001" s="374"/>
      <c r="Z1001" s="354">
        <v>0</v>
      </c>
      <c r="AA1001" s="354">
        <v>0</v>
      </c>
      <c r="AB1001" s="374"/>
      <c r="AC1001" s="376">
        <v>0</v>
      </c>
      <c r="AD1001" s="376">
        <v>0</v>
      </c>
      <c r="AE1001" s="376">
        <v>0</v>
      </c>
      <c r="AF1001" s="374"/>
      <c r="AG1001" s="376">
        <v>0</v>
      </c>
      <c r="AH1001" s="376">
        <v>0</v>
      </c>
      <c r="AI1001" s="376">
        <v>0</v>
      </c>
      <c r="AJ1001" s="376">
        <v>0</v>
      </c>
      <c r="AK1001" s="374"/>
      <c r="AL1001" s="376">
        <v>0</v>
      </c>
      <c r="AM1001" s="376">
        <v>0</v>
      </c>
      <c r="AN1001" s="376">
        <v>0</v>
      </c>
      <c r="AO1001" s="374"/>
      <c r="AP1001" s="376">
        <v>0</v>
      </c>
      <c r="AQ1001" s="376">
        <v>0</v>
      </c>
      <c r="AR1001" s="374"/>
      <c r="AS1001" s="376">
        <v>0</v>
      </c>
      <c r="AT1001" s="376">
        <v>0</v>
      </c>
      <c r="AU1001" s="355" t="s">
        <v>396</v>
      </c>
      <c r="AV1001" s="354" t="s">
        <v>397</v>
      </c>
      <c r="AW1001" s="353">
        <v>0</v>
      </c>
      <c r="AX1001" s="353">
        <v>0</v>
      </c>
      <c r="AY1001" s="353">
        <v>0</v>
      </c>
      <c r="AZ1001" s="353">
        <v>0</v>
      </c>
      <c r="BA1001" s="353">
        <v>0</v>
      </c>
      <c r="BB1001" s="353">
        <v>0</v>
      </c>
    </row>
    <row r="1002" spans="1:54" x14ac:dyDescent="0.25">
      <c r="A1002" s="348" t="s">
        <v>1390</v>
      </c>
      <c r="B1002" s="349">
        <v>115</v>
      </c>
      <c r="C1002" s="350" t="s">
        <v>1330</v>
      </c>
      <c r="D1002" s="351">
        <v>45175</v>
      </c>
      <c r="E1002" s="352"/>
      <c r="F1002" s="352">
        <v>6</v>
      </c>
      <c r="G1002" s="350" t="s">
        <v>1208</v>
      </c>
      <c r="H1002" s="350" t="s">
        <v>1164</v>
      </c>
      <c r="I1002" s="350" t="s">
        <v>393</v>
      </c>
      <c r="J1002" s="375">
        <f>105000+105000+105000+105000+30000</f>
        <v>450000</v>
      </c>
      <c r="K1002" s="350" t="s">
        <v>394</v>
      </c>
      <c r="L1002" s="354">
        <v>2802.3999950000002</v>
      </c>
      <c r="M1002" s="375">
        <f t="shared" si="891"/>
        <v>160.57664887342392</v>
      </c>
      <c r="N1002" s="354" t="s">
        <v>395</v>
      </c>
      <c r="O1002" s="354">
        <v>0</v>
      </c>
      <c r="P1002" s="374"/>
      <c r="Q1002" s="354">
        <v>0</v>
      </c>
      <c r="R1002" s="354">
        <v>0</v>
      </c>
      <c r="S1002" s="354">
        <v>0</v>
      </c>
      <c r="T1002" s="354">
        <v>0</v>
      </c>
      <c r="U1002" s="374"/>
      <c r="V1002" s="354">
        <v>0</v>
      </c>
      <c r="W1002" s="354">
        <v>0</v>
      </c>
      <c r="X1002" s="354">
        <v>0</v>
      </c>
      <c r="Y1002" s="374"/>
      <c r="Z1002" s="354">
        <v>0</v>
      </c>
      <c r="AA1002" s="354">
        <v>0</v>
      </c>
      <c r="AB1002" s="374"/>
      <c r="AC1002" s="376">
        <v>0</v>
      </c>
      <c r="AD1002" s="376">
        <v>0</v>
      </c>
      <c r="AE1002" s="376">
        <v>0</v>
      </c>
      <c r="AF1002" s="374"/>
      <c r="AG1002" s="376">
        <v>0</v>
      </c>
      <c r="AH1002" s="376">
        <v>0</v>
      </c>
      <c r="AI1002" s="376">
        <v>0</v>
      </c>
      <c r="AJ1002" s="376">
        <v>0</v>
      </c>
      <c r="AK1002" s="374"/>
      <c r="AL1002" s="376">
        <v>0</v>
      </c>
      <c r="AM1002" s="376">
        <v>0</v>
      </c>
      <c r="AN1002" s="376">
        <v>0</v>
      </c>
      <c r="AO1002" s="374"/>
      <c r="AP1002" s="376">
        <v>0</v>
      </c>
      <c r="AQ1002" s="376">
        <v>0</v>
      </c>
      <c r="AR1002" s="374"/>
      <c r="AS1002" s="376">
        <v>0</v>
      </c>
      <c r="AT1002" s="376">
        <v>0</v>
      </c>
      <c r="AU1002" s="355" t="s">
        <v>396</v>
      </c>
      <c r="AV1002" s="354" t="s">
        <v>397</v>
      </c>
      <c r="AW1002" s="353">
        <v>0</v>
      </c>
      <c r="AX1002" s="353">
        <v>0</v>
      </c>
      <c r="AY1002" s="353">
        <v>0</v>
      </c>
      <c r="AZ1002" s="353">
        <v>0</v>
      </c>
      <c r="BA1002" s="353">
        <v>0</v>
      </c>
      <c r="BB1002" s="353">
        <v>0</v>
      </c>
    </row>
    <row r="1003" spans="1:54" x14ac:dyDescent="0.25">
      <c r="A1003" s="348" t="s">
        <v>1390</v>
      </c>
      <c r="B1003" s="349">
        <v>116</v>
      </c>
      <c r="C1003" s="350" t="s">
        <v>1330</v>
      </c>
      <c r="D1003" s="351">
        <v>45175</v>
      </c>
      <c r="E1003" s="352"/>
      <c r="F1003" s="352">
        <v>6</v>
      </c>
      <c r="G1003" s="350" t="s">
        <v>1208</v>
      </c>
      <c r="H1003" s="350" t="s">
        <v>352</v>
      </c>
      <c r="I1003" s="350" t="s">
        <v>393</v>
      </c>
      <c r="J1003" s="375">
        <f>30000+30000+30000+30000+30000+30000+30000</f>
        <v>210000</v>
      </c>
      <c r="K1003" s="350" t="s">
        <v>394</v>
      </c>
      <c r="L1003" s="354">
        <v>2802.3999950000002</v>
      </c>
      <c r="M1003" s="375">
        <f t="shared" si="891"/>
        <v>74.935769474264504</v>
      </c>
      <c r="N1003" s="354" t="s">
        <v>395</v>
      </c>
      <c r="O1003" s="354">
        <v>0</v>
      </c>
      <c r="P1003" s="374"/>
      <c r="Q1003" s="354">
        <v>0</v>
      </c>
      <c r="R1003" s="354">
        <v>0</v>
      </c>
      <c r="S1003" s="354">
        <v>0</v>
      </c>
      <c r="T1003" s="354">
        <v>0</v>
      </c>
      <c r="U1003" s="374"/>
      <c r="V1003" s="354">
        <v>0</v>
      </c>
      <c r="W1003" s="354">
        <v>0</v>
      </c>
      <c r="X1003" s="354">
        <v>0</v>
      </c>
      <c r="Y1003" s="374"/>
      <c r="Z1003" s="354">
        <v>0</v>
      </c>
      <c r="AA1003" s="354">
        <v>0</v>
      </c>
      <c r="AB1003" s="374"/>
      <c r="AC1003" s="376">
        <v>0</v>
      </c>
      <c r="AD1003" s="376">
        <v>0</v>
      </c>
      <c r="AE1003" s="376">
        <v>0</v>
      </c>
      <c r="AF1003" s="374"/>
      <c r="AG1003" s="376">
        <v>0</v>
      </c>
      <c r="AH1003" s="376">
        <v>0</v>
      </c>
      <c r="AI1003" s="376">
        <v>0</v>
      </c>
      <c r="AJ1003" s="376">
        <v>0</v>
      </c>
      <c r="AK1003" s="374"/>
      <c r="AL1003" s="376">
        <v>0</v>
      </c>
      <c r="AM1003" s="376">
        <v>0</v>
      </c>
      <c r="AN1003" s="376">
        <v>0</v>
      </c>
      <c r="AO1003" s="374"/>
      <c r="AP1003" s="376">
        <v>0</v>
      </c>
      <c r="AQ1003" s="376">
        <v>0</v>
      </c>
      <c r="AR1003" s="374"/>
      <c r="AS1003" s="376">
        <v>0</v>
      </c>
      <c r="AT1003" s="376">
        <v>0</v>
      </c>
      <c r="AU1003" s="355" t="s">
        <v>396</v>
      </c>
      <c r="AV1003" s="354" t="s">
        <v>397</v>
      </c>
      <c r="AW1003" s="353">
        <v>0</v>
      </c>
      <c r="AX1003" s="353">
        <v>0</v>
      </c>
      <c r="AY1003" s="353">
        <v>0</v>
      </c>
      <c r="AZ1003" s="353">
        <v>0</v>
      </c>
      <c r="BA1003" s="353">
        <v>0</v>
      </c>
      <c r="BB1003" s="353">
        <v>0</v>
      </c>
    </row>
    <row r="1004" spans="1:54" x14ac:dyDescent="0.25">
      <c r="A1004" s="348" t="s">
        <v>1390</v>
      </c>
      <c r="B1004" s="349">
        <v>117</v>
      </c>
      <c r="C1004" s="350" t="s">
        <v>1330</v>
      </c>
      <c r="D1004" s="351">
        <v>45175</v>
      </c>
      <c r="E1004" s="352"/>
      <c r="F1004" s="352">
        <v>6</v>
      </c>
      <c r="G1004" s="350" t="s">
        <v>1208</v>
      </c>
      <c r="H1004" s="350" t="s">
        <v>1379</v>
      </c>
      <c r="I1004" s="350" t="s">
        <v>393</v>
      </c>
      <c r="J1004" s="375">
        <f>30000+30000+30000+30000+30000+30000+30000+30000</f>
        <v>240000</v>
      </c>
      <c r="K1004" s="350" t="s">
        <v>394</v>
      </c>
      <c r="L1004" s="354">
        <v>2802.3999950000002</v>
      </c>
      <c r="M1004" s="375">
        <f t="shared" si="891"/>
        <v>85.640879399159431</v>
      </c>
      <c r="N1004" s="354" t="s">
        <v>395</v>
      </c>
      <c r="O1004" s="354">
        <v>0</v>
      </c>
      <c r="P1004" s="374"/>
      <c r="Q1004" s="354">
        <v>0</v>
      </c>
      <c r="R1004" s="354">
        <v>0</v>
      </c>
      <c r="S1004" s="354">
        <v>0</v>
      </c>
      <c r="T1004" s="354">
        <v>0</v>
      </c>
      <c r="U1004" s="374"/>
      <c r="V1004" s="354">
        <v>0</v>
      </c>
      <c r="W1004" s="354">
        <v>0</v>
      </c>
      <c r="X1004" s="354">
        <v>0</v>
      </c>
      <c r="Y1004" s="374"/>
      <c r="Z1004" s="354">
        <v>0</v>
      </c>
      <c r="AA1004" s="354">
        <v>0</v>
      </c>
      <c r="AB1004" s="374"/>
      <c r="AC1004" s="376">
        <v>0</v>
      </c>
      <c r="AD1004" s="376">
        <v>0</v>
      </c>
      <c r="AE1004" s="376">
        <v>0</v>
      </c>
      <c r="AF1004" s="374"/>
      <c r="AG1004" s="376">
        <v>0</v>
      </c>
      <c r="AH1004" s="376">
        <v>0</v>
      </c>
      <c r="AI1004" s="376">
        <v>0</v>
      </c>
      <c r="AJ1004" s="376">
        <v>0</v>
      </c>
      <c r="AK1004" s="374"/>
      <c r="AL1004" s="376">
        <v>0</v>
      </c>
      <c r="AM1004" s="376">
        <v>0</v>
      </c>
      <c r="AN1004" s="376">
        <v>0</v>
      </c>
      <c r="AO1004" s="374"/>
      <c r="AP1004" s="376">
        <v>0</v>
      </c>
      <c r="AQ1004" s="376">
        <v>0</v>
      </c>
      <c r="AR1004" s="374"/>
      <c r="AS1004" s="376">
        <v>0</v>
      </c>
      <c r="AT1004" s="376">
        <v>0</v>
      </c>
      <c r="AU1004" s="355" t="s">
        <v>396</v>
      </c>
      <c r="AV1004" s="354" t="s">
        <v>397</v>
      </c>
      <c r="AW1004" s="353">
        <v>0</v>
      </c>
      <c r="AX1004" s="353">
        <v>0</v>
      </c>
      <c r="AY1004" s="353">
        <v>0</v>
      </c>
      <c r="AZ1004" s="353">
        <v>0</v>
      </c>
      <c r="BA1004" s="353">
        <v>0</v>
      </c>
      <c r="BB1004" s="353">
        <v>0</v>
      </c>
    </row>
    <row r="1005" spans="1:54" x14ac:dyDescent="0.25">
      <c r="A1005" s="348" t="s">
        <v>1390</v>
      </c>
      <c r="B1005" s="349">
        <v>118</v>
      </c>
      <c r="C1005" s="350" t="s">
        <v>1330</v>
      </c>
      <c r="D1005" s="351">
        <v>45175</v>
      </c>
      <c r="E1005" s="352"/>
      <c r="F1005" s="352">
        <v>6</v>
      </c>
      <c r="G1005" s="350" t="s">
        <v>1208</v>
      </c>
      <c r="H1005" s="350" t="s">
        <v>1391</v>
      </c>
      <c r="I1005" s="350" t="s">
        <v>393</v>
      </c>
      <c r="J1005" s="375">
        <f>150000+150000+150000+150000+150000</f>
        <v>750000</v>
      </c>
      <c r="K1005" s="350" t="s">
        <v>394</v>
      </c>
      <c r="L1005" s="354">
        <v>2802.3999950000002</v>
      </c>
      <c r="M1005" s="375">
        <f t="shared" si="891"/>
        <v>267.62774812237319</v>
      </c>
      <c r="N1005" s="354" t="s">
        <v>395</v>
      </c>
      <c r="O1005" s="354">
        <v>0</v>
      </c>
      <c r="P1005" s="374"/>
      <c r="Q1005" s="354">
        <v>0</v>
      </c>
      <c r="R1005" s="354">
        <v>0</v>
      </c>
      <c r="S1005" s="354">
        <v>0</v>
      </c>
      <c r="T1005" s="354">
        <v>0</v>
      </c>
      <c r="U1005" s="374"/>
      <c r="V1005" s="354">
        <v>0</v>
      </c>
      <c r="W1005" s="354">
        <v>0</v>
      </c>
      <c r="X1005" s="354">
        <v>0</v>
      </c>
      <c r="Y1005" s="374"/>
      <c r="Z1005" s="354">
        <v>0</v>
      </c>
      <c r="AA1005" s="354">
        <v>0</v>
      </c>
      <c r="AB1005" s="374"/>
      <c r="AC1005" s="376">
        <v>0</v>
      </c>
      <c r="AD1005" s="376">
        <v>0</v>
      </c>
      <c r="AE1005" s="376">
        <v>0</v>
      </c>
      <c r="AF1005" s="374"/>
      <c r="AG1005" s="376">
        <v>0</v>
      </c>
      <c r="AH1005" s="376">
        <v>0</v>
      </c>
      <c r="AI1005" s="376">
        <v>0</v>
      </c>
      <c r="AJ1005" s="376">
        <v>0</v>
      </c>
      <c r="AK1005" s="374"/>
      <c r="AL1005" s="376">
        <v>0</v>
      </c>
      <c r="AM1005" s="376">
        <v>0</v>
      </c>
      <c r="AN1005" s="376">
        <v>0</v>
      </c>
      <c r="AO1005" s="374"/>
      <c r="AP1005" s="376">
        <v>0</v>
      </c>
      <c r="AQ1005" s="376">
        <v>0</v>
      </c>
      <c r="AR1005" s="374"/>
      <c r="AS1005" s="376">
        <v>0</v>
      </c>
      <c r="AT1005" s="376">
        <v>0</v>
      </c>
      <c r="AU1005" s="355" t="s">
        <v>396</v>
      </c>
      <c r="AV1005" s="354" t="s">
        <v>397</v>
      </c>
      <c r="AW1005" s="353">
        <v>0</v>
      </c>
      <c r="AX1005" s="353">
        <v>0</v>
      </c>
      <c r="AY1005" s="353">
        <v>0</v>
      </c>
      <c r="AZ1005" s="353">
        <v>0</v>
      </c>
      <c r="BA1005" s="353">
        <v>0</v>
      </c>
      <c r="BB1005" s="353">
        <v>0</v>
      </c>
    </row>
    <row r="1006" spans="1:54" x14ac:dyDescent="0.25">
      <c r="A1006" s="348" t="s">
        <v>1390</v>
      </c>
      <c r="B1006" s="349">
        <v>119</v>
      </c>
      <c r="C1006" s="350" t="s">
        <v>1330</v>
      </c>
      <c r="D1006" s="351">
        <v>45175</v>
      </c>
      <c r="E1006" s="352"/>
      <c r="F1006" s="352">
        <v>6</v>
      </c>
      <c r="G1006" s="350" t="s">
        <v>1208</v>
      </c>
      <c r="H1006" s="350" t="s">
        <v>1168</v>
      </c>
      <c r="I1006" s="350" t="s">
        <v>393</v>
      </c>
      <c r="J1006" s="375">
        <f>136678+184095+201996+186994+208462+159921+103500+84495+108500+134107</f>
        <v>1508748</v>
      </c>
      <c r="K1006" s="350" t="s">
        <v>394</v>
      </c>
      <c r="L1006" s="354">
        <v>2802.3999950000002</v>
      </c>
      <c r="M1006" s="375">
        <f t="shared" si="891"/>
        <v>538.37710629884577</v>
      </c>
      <c r="N1006" s="354" t="s">
        <v>395</v>
      </c>
      <c r="O1006" s="354">
        <v>0</v>
      </c>
      <c r="P1006" s="374"/>
      <c r="Q1006" s="354">
        <v>0</v>
      </c>
      <c r="R1006" s="354">
        <v>0</v>
      </c>
      <c r="S1006" s="354">
        <v>0</v>
      </c>
      <c r="T1006" s="354">
        <v>0</v>
      </c>
      <c r="U1006" s="374"/>
      <c r="V1006" s="354">
        <v>0</v>
      </c>
      <c r="W1006" s="354">
        <v>0</v>
      </c>
      <c r="X1006" s="354">
        <v>0</v>
      </c>
      <c r="Y1006" s="374"/>
      <c r="Z1006" s="354">
        <v>0</v>
      </c>
      <c r="AA1006" s="354">
        <v>0</v>
      </c>
      <c r="AB1006" s="374"/>
      <c r="AC1006" s="376">
        <v>0</v>
      </c>
      <c r="AD1006" s="376">
        <v>0</v>
      </c>
      <c r="AE1006" s="376">
        <v>0</v>
      </c>
      <c r="AF1006" s="374"/>
      <c r="AG1006" s="376">
        <v>0</v>
      </c>
      <c r="AH1006" s="376">
        <v>0</v>
      </c>
      <c r="AI1006" s="376">
        <v>0</v>
      </c>
      <c r="AJ1006" s="376">
        <v>0</v>
      </c>
      <c r="AK1006" s="374"/>
      <c r="AL1006" s="376">
        <v>0</v>
      </c>
      <c r="AM1006" s="376">
        <v>0</v>
      </c>
      <c r="AN1006" s="376">
        <v>0</v>
      </c>
      <c r="AO1006" s="374"/>
      <c r="AP1006" s="376">
        <v>0</v>
      </c>
      <c r="AQ1006" s="376">
        <v>0</v>
      </c>
      <c r="AR1006" s="374"/>
      <c r="AS1006" s="376">
        <v>0</v>
      </c>
      <c r="AT1006" s="376">
        <v>0</v>
      </c>
      <c r="AU1006" s="355" t="s">
        <v>396</v>
      </c>
      <c r="AV1006" s="354" t="s">
        <v>397</v>
      </c>
      <c r="AW1006" s="353">
        <v>0</v>
      </c>
      <c r="AX1006" s="353">
        <v>0</v>
      </c>
      <c r="AY1006" s="353">
        <v>0</v>
      </c>
      <c r="AZ1006" s="353">
        <v>0</v>
      </c>
      <c r="BA1006" s="353">
        <v>0</v>
      </c>
      <c r="BB1006" s="353">
        <v>0</v>
      </c>
    </row>
    <row r="1007" spans="1:54" x14ac:dyDescent="0.25">
      <c r="A1007" s="348" t="s">
        <v>1390</v>
      </c>
      <c r="B1007" s="349">
        <v>120</v>
      </c>
      <c r="C1007" s="350" t="s">
        <v>1330</v>
      </c>
      <c r="D1007" s="351">
        <v>45175</v>
      </c>
      <c r="E1007" s="352"/>
      <c r="F1007" s="352">
        <v>6</v>
      </c>
      <c r="G1007" s="350" t="s">
        <v>1208</v>
      </c>
      <c r="H1007" s="350" t="s">
        <v>1392</v>
      </c>
      <c r="I1007" s="350" t="s">
        <v>393</v>
      </c>
      <c r="J1007" s="375">
        <f>3000+13000+4000+3000</f>
        <v>23000</v>
      </c>
      <c r="K1007" s="350" t="s">
        <v>394</v>
      </c>
      <c r="L1007" s="354">
        <v>2802.3999950000002</v>
      </c>
      <c r="M1007" s="375">
        <f t="shared" si="891"/>
        <v>8.2072509424194457</v>
      </c>
      <c r="N1007" s="354" t="s">
        <v>395</v>
      </c>
      <c r="O1007" s="354">
        <v>0</v>
      </c>
      <c r="P1007" s="374"/>
      <c r="Q1007" s="354">
        <v>0</v>
      </c>
      <c r="R1007" s="354">
        <v>0</v>
      </c>
      <c r="S1007" s="354">
        <v>0</v>
      </c>
      <c r="T1007" s="354">
        <v>0</v>
      </c>
      <c r="U1007" s="374"/>
      <c r="V1007" s="354">
        <v>0</v>
      </c>
      <c r="W1007" s="354">
        <v>0</v>
      </c>
      <c r="X1007" s="354">
        <v>0</v>
      </c>
      <c r="Y1007" s="374"/>
      <c r="Z1007" s="354">
        <v>0</v>
      </c>
      <c r="AA1007" s="354">
        <v>0</v>
      </c>
      <c r="AB1007" s="374"/>
      <c r="AC1007" s="376">
        <v>0</v>
      </c>
      <c r="AD1007" s="376">
        <v>0</v>
      </c>
      <c r="AE1007" s="376">
        <v>0</v>
      </c>
      <c r="AF1007" s="374"/>
      <c r="AG1007" s="376">
        <v>0</v>
      </c>
      <c r="AH1007" s="376">
        <v>0</v>
      </c>
      <c r="AI1007" s="376">
        <v>0</v>
      </c>
      <c r="AJ1007" s="376">
        <v>0</v>
      </c>
      <c r="AK1007" s="374"/>
      <c r="AL1007" s="376">
        <v>0</v>
      </c>
      <c r="AM1007" s="376">
        <v>0</v>
      </c>
      <c r="AN1007" s="376">
        <v>0</v>
      </c>
      <c r="AO1007" s="374"/>
      <c r="AP1007" s="376">
        <v>0</v>
      </c>
      <c r="AQ1007" s="376">
        <v>0</v>
      </c>
      <c r="AR1007" s="374"/>
      <c r="AS1007" s="376">
        <v>0</v>
      </c>
      <c r="AT1007" s="376">
        <v>0</v>
      </c>
      <c r="AU1007" s="355" t="s">
        <v>396</v>
      </c>
      <c r="AV1007" s="354" t="s">
        <v>397</v>
      </c>
      <c r="AW1007" s="353">
        <v>0</v>
      </c>
      <c r="AX1007" s="353">
        <v>0</v>
      </c>
      <c r="AY1007" s="353">
        <v>0</v>
      </c>
      <c r="AZ1007" s="353">
        <v>0</v>
      </c>
      <c r="BA1007" s="353">
        <v>0</v>
      </c>
      <c r="BB1007" s="353">
        <v>0</v>
      </c>
    </row>
    <row r="1008" spans="1:54" x14ac:dyDescent="0.25">
      <c r="A1008" s="348" t="s">
        <v>1393</v>
      </c>
      <c r="B1008" s="349">
        <v>121</v>
      </c>
      <c r="C1008" s="350" t="s">
        <v>1330</v>
      </c>
      <c r="D1008" s="351">
        <v>45188</v>
      </c>
      <c r="E1008" s="352"/>
      <c r="F1008" s="352">
        <v>6</v>
      </c>
      <c r="G1008" s="350" t="s">
        <v>1208</v>
      </c>
      <c r="H1008" s="350" t="s">
        <v>351</v>
      </c>
      <c r="I1008" s="350" t="s">
        <v>393</v>
      </c>
      <c r="J1008" s="375">
        <v>2400000</v>
      </c>
      <c r="K1008" s="350" t="s">
        <v>394</v>
      </c>
      <c r="L1008" s="354">
        <v>2802.3999950000002</v>
      </c>
      <c r="M1008" s="375">
        <f t="shared" si="891"/>
        <v>856.40879399159428</v>
      </c>
      <c r="N1008" s="354" t="s">
        <v>395</v>
      </c>
      <c r="O1008" s="354">
        <v>0</v>
      </c>
      <c r="P1008" s="374"/>
      <c r="Q1008" s="354">
        <v>0</v>
      </c>
      <c r="R1008" s="354">
        <v>0</v>
      </c>
      <c r="S1008" s="354">
        <v>0</v>
      </c>
      <c r="T1008" s="354">
        <v>0</v>
      </c>
      <c r="U1008" s="374"/>
      <c r="V1008" s="354">
        <v>0</v>
      </c>
      <c r="W1008" s="354">
        <v>0</v>
      </c>
      <c r="X1008" s="354">
        <v>0</v>
      </c>
      <c r="Y1008" s="374"/>
      <c r="Z1008" s="354">
        <v>0</v>
      </c>
      <c r="AA1008" s="354">
        <v>0</v>
      </c>
      <c r="AB1008" s="374"/>
      <c r="AC1008" s="376">
        <v>0</v>
      </c>
      <c r="AD1008" s="376">
        <v>0</v>
      </c>
      <c r="AE1008" s="376">
        <v>0</v>
      </c>
      <c r="AF1008" s="374"/>
      <c r="AG1008" s="376">
        <v>0</v>
      </c>
      <c r="AH1008" s="376">
        <v>0</v>
      </c>
      <c r="AI1008" s="376">
        <v>0</v>
      </c>
      <c r="AJ1008" s="376">
        <v>0</v>
      </c>
      <c r="AK1008" s="374"/>
      <c r="AL1008" s="376">
        <v>0</v>
      </c>
      <c r="AM1008" s="376">
        <v>0</v>
      </c>
      <c r="AN1008" s="376">
        <v>0</v>
      </c>
      <c r="AO1008" s="374"/>
      <c r="AP1008" s="376">
        <v>0</v>
      </c>
      <c r="AQ1008" s="376">
        <v>0</v>
      </c>
      <c r="AR1008" s="374"/>
      <c r="AS1008" s="376">
        <v>0</v>
      </c>
      <c r="AT1008" s="376">
        <v>0</v>
      </c>
      <c r="AU1008" s="355" t="s">
        <v>396</v>
      </c>
      <c r="AV1008" s="354" t="s">
        <v>397</v>
      </c>
      <c r="AW1008" s="353">
        <v>0</v>
      </c>
      <c r="AX1008" s="353">
        <v>0</v>
      </c>
      <c r="AY1008" s="353">
        <v>0</v>
      </c>
      <c r="AZ1008" s="353">
        <v>0</v>
      </c>
      <c r="BA1008" s="353">
        <v>0</v>
      </c>
      <c r="BB1008" s="353">
        <v>0</v>
      </c>
    </row>
    <row r="1009" spans="1:54" x14ac:dyDescent="0.25">
      <c r="A1009" s="348" t="s">
        <v>1394</v>
      </c>
      <c r="B1009" s="349">
        <v>122</v>
      </c>
      <c r="C1009" s="350" t="s">
        <v>1330</v>
      </c>
      <c r="D1009" s="351">
        <v>45188</v>
      </c>
      <c r="E1009" s="352"/>
      <c r="F1009" s="352">
        <v>6</v>
      </c>
      <c r="G1009" s="350" t="s">
        <v>1208</v>
      </c>
      <c r="H1009" s="350" t="s">
        <v>1395</v>
      </c>
      <c r="I1009" s="350" t="s">
        <v>393</v>
      </c>
      <c r="J1009" s="375">
        <v>8580000</v>
      </c>
      <c r="K1009" s="350" t="s">
        <v>394</v>
      </c>
      <c r="L1009" s="354">
        <v>2802.3999950000002</v>
      </c>
      <c r="M1009" s="375">
        <f t="shared" si="891"/>
        <v>3061.6614385199496</v>
      </c>
      <c r="N1009" s="354" t="s">
        <v>395</v>
      </c>
      <c r="O1009" s="354">
        <v>0</v>
      </c>
      <c r="P1009" s="374"/>
      <c r="Q1009" s="354">
        <v>0</v>
      </c>
      <c r="R1009" s="354">
        <v>0</v>
      </c>
      <c r="S1009" s="354">
        <v>0</v>
      </c>
      <c r="T1009" s="354">
        <v>0</v>
      </c>
      <c r="U1009" s="374"/>
      <c r="V1009" s="354">
        <v>0</v>
      </c>
      <c r="W1009" s="354">
        <v>0</v>
      </c>
      <c r="X1009" s="354">
        <v>0</v>
      </c>
      <c r="Y1009" s="374"/>
      <c r="Z1009" s="354">
        <v>0</v>
      </c>
      <c r="AA1009" s="354">
        <v>0</v>
      </c>
      <c r="AB1009" s="374"/>
      <c r="AC1009" s="376">
        <v>0</v>
      </c>
      <c r="AD1009" s="376">
        <v>0</v>
      </c>
      <c r="AE1009" s="376">
        <v>0</v>
      </c>
      <c r="AF1009" s="374"/>
      <c r="AG1009" s="376">
        <v>0</v>
      </c>
      <c r="AH1009" s="376">
        <v>0</v>
      </c>
      <c r="AI1009" s="376">
        <v>0</v>
      </c>
      <c r="AJ1009" s="376">
        <v>0</v>
      </c>
      <c r="AK1009" s="374"/>
      <c r="AL1009" s="376">
        <v>0</v>
      </c>
      <c r="AM1009" s="376">
        <v>0</v>
      </c>
      <c r="AN1009" s="376">
        <v>0</v>
      </c>
      <c r="AO1009" s="374"/>
      <c r="AP1009" s="376">
        <v>0</v>
      </c>
      <c r="AQ1009" s="376">
        <v>0</v>
      </c>
      <c r="AR1009" s="374"/>
      <c r="AS1009" s="376">
        <v>0</v>
      </c>
      <c r="AT1009" s="376">
        <v>0</v>
      </c>
      <c r="AU1009" s="355" t="s">
        <v>396</v>
      </c>
      <c r="AV1009" s="354" t="s">
        <v>397</v>
      </c>
      <c r="AW1009" s="353">
        <v>0</v>
      </c>
      <c r="AX1009" s="353">
        <v>0</v>
      </c>
      <c r="AY1009" s="353">
        <v>0</v>
      </c>
      <c r="AZ1009" s="353">
        <v>0</v>
      </c>
      <c r="BA1009" s="353">
        <v>0</v>
      </c>
      <c r="BB1009" s="353">
        <v>0</v>
      </c>
    </row>
    <row r="1010" spans="1:54" x14ac:dyDescent="0.25">
      <c r="A1010" s="348" t="s">
        <v>1396</v>
      </c>
      <c r="B1010" s="349">
        <v>123</v>
      </c>
      <c r="C1010" s="350" t="s">
        <v>1330</v>
      </c>
      <c r="D1010" s="351">
        <v>45179</v>
      </c>
      <c r="E1010" s="352"/>
      <c r="F1010" s="352">
        <v>6</v>
      </c>
      <c r="G1010" s="350" t="s">
        <v>1208</v>
      </c>
      <c r="H1010" s="350" t="s">
        <v>1368</v>
      </c>
      <c r="I1010" s="350" t="s">
        <v>393</v>
      </c>
      <c r="J1010" s="375">
        <v>252000</v>
      </c>
      <c r="K1010" s="350" t="s">
        <v>394</v>
      </c>
      <c r="L1010" s="354">
        <v>2802.3999950000002</v>
      </c>
      <c r="M1010" s="375">
        <f t="shared" si="891"/>
        <v>89.922923369117399</v>
      </c>
      <c r="N1010" s="354" t="s">
        <v>395</v>
      </c>
      <c r="O1010" s="354">
        <v>0</v>
      </c>
      <c r="P1010" s="374"/>
      <c r="Q1010" s="354">
        <v>0</v>
      </c>
      <c r="R1010" s="354">
        <v>0</v>
      </c>
      <c r="S1010" s="354">
        <v>0</v>
      </c>
      <c r="T1010" s="354">
        <v>0</v>
      </c>
      <c r="U1010" s="374"/>
      <c r="V1010" s="354">
        <v>0</v>
      </c>
      <c r="W1010" s="354">
        <v>0</v>
      </c>
      <c r="X1010" s="354">
        <v>0</v>
      </c>
      <c r="Y1010" s="374"/>
      <c r="Z1010" s="354">
        <v>0</v>
      </c>
      <c r="AA1010" s="354">
        <v>0</v>
      </c>
      <c r="AB1010" s="374"/>
      <c r="AC1010" s="376">
        <v>0</v>
      </c>
      <c r="AD1010" s="376">
        <v>0</v>
      </c>
      <c r="AE1010" s="376">
        <v>0</v>
      </c>
      <c r="AF1010" s="374"/>
      <c r="AG1010" s="376">
        <v>0</v>
      </c>
      <c r="AH1010" s="376">
        <v>0</v>
      </c>
      <c r="AI1010" s="376">
        <v>0</v>
      </c>
      <c r="AJ1010" s="376">
        <v>0</v>
      </c>
      <c r="AK1010" s="374"/>
      <c r="AL1010" s="376">
        <v>0</v>
      </c>
      <c r="AM1010" s="376">
        <v>0</v>
      </c>
      <c r="AN1010" s="376">
        <v>0</v>
      </c>
      <c r="AO1010" s="374"/>
      <c r="AP1010" s="376">
        <v>0</v>
      </c>
      <c r="AQ1010" s="376">
        <v>0</v>
      </c>
      <c r="AR1010" s="374"/>
      <c r="AS1010" s="376">
        <v>0</v>
      </c>
      <c r="AT1010" s="376">
        <v>0</v>
      </c>
      <c r="AU1010" s="355" t="s">
        <v>396</v>
      </c>
      <c r="AV1010" s="354" t="s">
        <v>397</v>
      </c>
      <c r="AW1010" s="353">
        <v>0</v>
      </c>
      <c r="AX1010" s="353">
        <v>0</v>
      </c>
      <c r="AY1010" s="353">
        <v>0</v>
      </c>
      <c r="AZ1010" s="353">
        <v>0</v>
      </c>
      <c r="BA1010" s="353">
        <v>0</v>
      </c>
      <c r="BB1010" s="353">
        <v>0</v>
      </c>
    </row>
    <row r="1011" spans="1:54" x14ac:dyDescent="0.25">
      <c r="A1011" s="348" t="s">
        <v>1396</v>
      </c>
      <c r="B1011" s="349">
        <v>123</v>
      </c>
      <c r="C1011" s="350" t="s">
        <v>1330</v>
      </c>
      <c r="D1011" s="351">
        <v>45179</v>
      </c>
      <c r="E1011" s="352"/>
      <c r="F1011" s="352">
        <v>6</v>
      </c>
      <c r="G1011" s="350" t="s">
        <v>1208</v>
      </c>
      <c r="H1011" s="350" t="s">
        <v>1225</v>
      </c>
      <c r="I1011" s="350" t="s">
        <v>393</v>
      </c>
      <c r="J1011" s="375">
        <v>125000</v>
      </c>
      <c r="K1011" s="350" t="s">
        <v>394</v>
      </c>
      <c r="L1011" s="354">
        <v>2802.3999950000002</v>
      </c>
      <c r="M1011" s="375">
        <f t="shared" si="891"/>
        <v>44.604624687062199</v>
      </c>
      <c r="N1011" s="354" t="s">
        <v>395</v>
      </c>
      <c r="O1011" s="354">
        <v>0</v>
      </c>
      <c r="P1011" s="374"/>
      <c r="Q1011" s="354">
        <v>0</v>
      </c>
      <c r="R1011" s="354">
        <v>0</v>
      </c>
      <c r="S1011" s="354">
        <v>0</v>
      </c>
      <c r="T1011" s="354">
        <v>0</v>
      </c>
      <c r="U1011" s="374"/>
      <c r="V1011" s="354">
        <v>0</v>
      </c>
      <c r="W1011" s="354">
        <v>0</v>
      </c>
      <c r="X1011" s="354">
        <v>0</v>
      </c>
      <c r="Y1011" s="374"/>
      <c r="Z1011" s="354">
        <v>0</v>
      </c>
      <c r="AA1011" s="354">
        <v>0</v>
      </c>
      <c r="AB1011" s="374"/>
      <c r="AC1011" s="376">
        <v>0</v>
      </c>
      <c r="AD1011" s="376">
        <v>0</v>
      </c>
      <c r="AE1011" s="376">
        <v>0</v>
      </c>
      <c r="AF1011" s="374"/>
      <c r="AG1011" s="376">
        <v>0</v>
      </c>
      <c r="AH1011" s="376">
        <v>0</v>
      </c>
      <c r="AI1011" s="376">
        <v>0</v>
      </c>
      <c r="AJ1011" s="376">
        <v>0</v>
      </c>
      <c r="AK1011" s="374"/>
      <c r="AL1011" s="376">
        <v>0</v>
      </c>
      <c r="AM1011" s="376">
        <v>0</v>
      </c>
      <c r="AN1011" s="376">
        <v>0</v>
      </c>
      <c r="AO1011" s="374"/>
      <c r="AP1011" s="376">
        <v>0</v>
      </c>
      <c r="AQ1011" s="376">
        <v>0</v>
      </c>
      <c r="AR1011" s="374"/>
      <c r="AS1011" s="376">
        <v>0</v>
      </c>
      <c r="AT1011" s="376">
        <v>0</v>
      </c>
      <c r="AU1011" s="355" t="s">
        <v>396</v>
      </c>
      <c r="AV1011" s="354" t="s">
        <v>397</v>
      </c>
      <c r="AW1011" s="353">
        <v>0</v>
      </c>
      <c r="AX1011" s="353">
        <v>0</v>
      </c>
      <c r="AY1011" s="353">
        <v>0</v>
      </c>
      <c r="AZ1011" s="353">
        <v>0</v>
      </c>
      <c r="BA1011" s="353">
        <v>0</v>
      </c>
      <c r="BB1011" s="353">
        <v>0</v>
      </c>
    </row>
    <row r="1012" spans="1:54" x14ac:dyDescent="0.25">
      <c r="A1012" s="348" t="s">
        <v>1396</v>
      </c>
      <c r="B1012" s="349">
        <v>123</v>
      </c>
      <c r="C1012" s="350" t="s">
        <v>1330</v>
      </c>
      <c r="D1012" s="351">
        <v>45179</v>
      </c>
      <c r="E1012" s="352"/>
      <c r="F1012" s="352">
        <v>6</v>
      </c>
      <c r="G1012" s="350" t="s">
        <v>1208</v>
      </c>
      <c r="H1012" s="350" t="s">
        <v>1227</v>
      </c>
      <c r="I1012" s="350" t="s">
        <v>393</v>
      </c>
      <c r="J1012" s="375">
        <v>24500</v>
      </c>
      <c r="K1012" s="350" t="s">
        <v>394</v>
      </c>
      <c r="L1012" s="354">
        <v>2802.3999950000002</v>
      </c>
      <c r="M1012" s="375">
        <f t="shared" si="891"/>
        <v>8.7425064386641917</v>
      </c>
      <c r="N1012" s="354" t="s">
        <v>395</v>
      </c>
      <c r="O1012" s="354">
        <v>0</v>
      </c>
      <c r="P1012" s="374"/>
      <c r="Q1012" s="354">
        <v>0</v>
      </c>
      <c r="R1012" s="354">
        <v>0</v>
      </c>
      <c r="S1012" s="354">
        <v>0</v>
      </c>
      <c r="T1012" s="354">
        <v>0</v>
      </c>
      <c r="U1012" s="374"/>
      <c r="V1012" s="354">
        <v>0</v>
      </c>
      <c r="W1012" s="354">
        <v>0</v>
      </c>
      <c r="X1012" s="354">
        <v>0</v>
      </c>
      <c r="Y1012" s="374"/>
      <c r="Z1012" s="354">
        <v>0</v>
      </c>
      <c r="AA1012" s="354">
        <v>0</v>
      </c>
      <c r="AB1012" s="374"/>
      <c r="AC1012" s="376">
        <v>0</v>
      </c>
      <c r="AD1012" s="376">
        <v>0</v>
      </c>
      <c r="AE1012" s="376">
        <v>0</v>
      </c>
      <c r="AF1012" s="374"/>
      <c r="AG1012" s="376">
        <v>0</v>
      </c>
      <c r="AH1012" s="376">
        <v>0</v>
      </c>
      <c r="AI1012" s="376">
        <v>0</v>
      </c>
      <c r="AJ1012" s="376">
        <v>0</v>
      </c>
      <c r="AK1012" s="374"/>
      <c r="AL1012" s="376">
        <v>0</v>
      </c>
      <c r="AM1012" s="376">
        <v>0</v>
      </c>
      <c r="AN1012" s="376">
        <v>0</v>
      </c>
      <c r="AO1012" s="374"/>
      <c r="AP1012" s="376">
        <v>0</v>
      </c>
      <c r="AQ1012" s="376">
        <v>0</v>
      </c>
      <c r="AR1012" s="374"/>
      <c r="AS1012" s="376">
        <v>0</v>
      </c>
      <c r="AT1012" s="376">
        <v>0</v>
      </c>
      <c r="AU1012" s="355" t="s">
        <v>396</v>
      </c>
      <c r="AV1012" s="354" t="s">
        <v>397</v>
      </c>
      <c r="AW1012" s="353">
        <v>0</v>
      </c>
      <c r="AX1012" s="353">
        <v>0</v>
      </c>
      <c r="AY1012" s="353">
        <v>0</v>
      </c>
      <c r="AZ1012" s="353">
        <v>0</v>
      </c>
      <c r="BA1012" s="353">
        <v>0</v>
      </c>
      <c r="BB1012" s="353">
        <v>0</v>
      </c>
    </row>
    <row r="1013" spans="1:54" x14ac:dyDescent="0.25">
      <c r="A1013" s="348" t="s">
        <v>1396</v>
      </c>
      <c r="B1013" s="349">
        <v>123</v>
      </c>
      <c r="C1013" s="350" t="s">
        <v>1330</v>
      </c>
      <c r="D1013" s="351">
        <v>45179</v>
      </c>
      <c r="E1013" s="352"/>
      <c r="F1013" s="352">
        <v>6</v>
      </c>
      <c r="G1013" s="350" t="s">
        <v>1208</v>
      </c>
      <c r="H1013" s="350" t="s">
        <v>1226</v>
      </c>
      <c r="I1013" s="350" t="s">
        <v>393</v>
      </c>
      <c r="J1013" s="375">
        <v>35000</v>
      </c>
      <c r="K1013" s="350" t="s">
        <v>394</v>
      </c>
      <c r="L1013" s="354">
        <v>2802.3999950000002</v>
      </c>
      <c r="M1013" s="375">
        <f t="shared" si="891"/>
        <v>12.489294912377417</v>
      </c>
      <c r="N1013" s="354" t="s">
        <v>395</v>
      </c>
      <c r="O1013" s="354">
        <v>0</v>
      </c>
      <c r="P1013" s="374"/>
      <c r="Q1013" s="354">
        <v>0</v>
      </c>
      <c r="R1013" s="354">
        <v>0</v>
      </c>
      <c r="S1013" s="354">
        <v>0</v>
      </c>
      <c r="T1013" s="354">
        <v>0</v>
      </c>
      <c r="U1013" s="374"/>
      <c r="V1013" s="354">
        <v>0</v>
      </c>
      <c r="W1013" s="354">
        <v>0</v>
      </c>
      <c r="X1013" s="354">
        <v>0</v>
      </c>
      <c r="Y1013" s="374"/>
      <c r="Z1013" s="354">
        <v>0</v>
      </c>
      <c r="AA1013" s="354">
        <v>0</v>
      </c>
      <c r="AB1013" s="374"/>
      <c r="AC1013" s="376">
        <v>0</v>
      </c>
      <c r="AD1013" s="376">
        <v>0</v>
      </c>
      <c r="AE1013" s="376">
        <v>0</v>
      </c>
      <c r="AF1013" s="374"/>
      <c r="AG1013" s="376">
        <v>0</v>
      </c>
      <c r="AH1013" s="376">
        <v>0</v>
      </c>
      <c r="AI1013" s="376">
        <v>0</v>
      </c>
      <c r="AJ1013" s="376">
        <v>0</v>
      </c>
      <c r="AK1013" s="374"/>
      <c r="AL1013" s="376">
        <v>0</v>
      </c>
      <c r="AM1013" s="376">
        <v>0</v>
      </c>
      <c r="AN1013" s="376">
        <v>0</v>
      </c>
      <c r="AO1013" s="374"/>
      <c r="AP1013" s="376">
        <v>0</v>
      </c>
      <c r="AQ1013" s="376">
        <v>0</v>
      </c>
      <c r="AR1013" s="374"/>
      <c r="AS1013" s="376">
        <v>0</v>
      </c>
      <c r="AT1013" s="376">
        <v>0</v>
      </c>
      <c r="AU1013" s="355" t="s">
        <v>396</v>
      </c>
      <c r="AV1013" s="354" t="s">
        <v>397</v>
      </c>
      <c r="AW1013" s="353">
        <v>0</v>
      </c>
      <c r="AX1013" s="353">
        <v>0</v>
      </c>
      <c r="AY1013" s="353">
        <v>0</v>
      </c>
      <c r="AZ1013" s="353">
        <v>0</v>
      </c>
      <c r="BA1013" s="353">
        <v>0</v>
      </c>
      <c r="BB1013" s="353">
        <v>0</v>
      </c>
    </row>
    <row r="1014" spans="1:54" x14ac:dyDescent="0.25">
      <c r="A1014" s="348" t="s">
        <v>1396</v>
      </c>
      <c r="B1014" s="349">
        <v>123</v>
      </c>
      <c r="C1014" s="350" t="s">
        <v>1330</v>
      </c>
      <c r="D1014" s="351">
        <v>45179</v>
      </c>
      <c r="E1014" s="352"/>
      <c r="F1014" s="352">
        <v>6</v>
      </c>
      <c r="G1014" s="350" t="s">
        <v>1208</v>
      </c>
      <c r="H1014" s="350" t="s">
        <v>1369</v>
      </c>
      <c r="I1014" s="350" t="s">
        <v>393</v>
      </c>
      <c r="J1014" s="375">
        <v>77000</v>
      </c>
      <c r="K1014" s="350" t="s">
        <v>394</v>
      </c>
      <c r="L1014" s="354">
        <v>2802.3999950000002</v>
      </c>
      <c r="M1014" s="375">
        <f t="shared" si="891"/>
        <v>27.476448807230316</v>
      </c>
      <c r="N1014" s="354" t="s">
        <v>395</v>
      </c>
      <c r="O1014" s="354">
        <v>0</v>
      </c>
      <c r="P1014" s="374"/>
      <c r="Q1014" s="354">
        <v>0</v>
      </c>
      <c r="R1014" s="354">
        <v>0</v>
      </c>
      <c r="S1014" s="354">
        <v>0</v>
      </c>
      <c r="T1014" s="354">
        <v>0</v>
      </c>
      <c r="U1014" s="374"/>
      <c r="V1014" s="354">
        <v>0</v>
      </c>
      <c r="W1014" s="354">
        <v>0</v>
      </c>
      <c r="X1014" s="354">
        <v>0</v>
      </c>
      <c r="Y1014" s="374"/>
      <c r="Z1014" s="354">
        <v>0</v>
      </c>
      <c r="AA1014" s="354">
        <v>0</v>
      </c>
      <c r="AB1014" s="374"/>
      <c r="AC1014" s="376">
        <v>0</v>
      </c>
      <c r="AD1014" s="376">
        <v>0</v>
      </c>
      <c r="AE1014" s="376">
        <v>0</v>
      </c>
      <c r="AF1014" s="374"/>
      <c r="AG1014" s="376">
        <v>0</v>
      </c>
      <c r="AH1014" s="376">
        <v>0</v>
      </c>
      <c r="AI1014" s="376">
        <v>0</v>
      </c>
      <c r="AJ1014" s="376">
        <v>0</v>
      </c>
      <c r="AK1014" s="374"/>
      <c r="AL1014" s="376">
        <v>0</v>
      </c>
      <c r="AM1014" s="376">
        <v>0</v>
      </c>
      <c r="AN1014" s="376">
        <v>0</v>
      </c>
      <c r="AO1014" s="374"/>
      <c r="AP1014" s="376">
        <v>0</v>
      </c>
      <c r="AQ1014" s="376">
        <v>0</v>
      </c>
      <c r="AR1014" s="374"/>
      <c r="AS1014" s="376">
        <v>0</v>
      </c>
      <c r="AT1014" s="376">
        <v>0</v>
      </c>
      <c r="AU1014" s="355" t="s">
        <v>396</v>
      </c>
      <c r="AV1014" s="354" t="s">
        <v>397</v>
      </c>
      <c r="AW1014" s="353">
        <v>0</v>
      </c>
      <c r="AX1014" s="353">
        <v>0</v>
      </c>
      <c r="AY1014" s="353">
        <v>0</v>
      </c>
      <c r="AZ1014" s="353">
        <v>0</v>
      </c>
      <c r="BA1014" s="353">
        <v>0</v>
      </c>
      <c r="BB1014" s="353">
        <v>0</v>
      </c>
    </row>
    <row r="1015" spans="1:54" x14ac:dyDescent="0.25">
      <c r="A1015" s="348" t="s">
        <v>1396</v>
      </c>
      <c r="B1015" s="349">
        <v>123</v>
      </c>
      <c r="C1015" s="350" t="s">
        <v>1330</v>
      </c>
      <c r="D1015" s="351">
        <v>45179</v>
      </c>
      <c r="E1015" s="352"/>
      <c r="F1015" s="352">
        <v>6</v>
      </c>
      <c r="G1015" s="350" t="s">
        <v>1208</v>
      </c>
      <c r="H1015" s="350" t="s">
        <v>1229</v>
      </c>
      <c r="I1015" s="350" t="s">
        <v>393</v>
      </c>
      <c r="J1015" s="375">
        <v>22000</v>
      </c>
      <c r="K1015" s="350" t="s">
        <v>394</v>
      </c>
      <c r="L1015" s="354">
        <v>2802.3999950000002</v>
      </c>
      <c r="M1015" s="375">
        <f t="shared" si="891"/>
        <v>7.8504139449229475</v>
      </c>
      <c r="N1015" s="354" t="s">
        <v>395</v>
      </c>
      <c r="O1015" s="354">
        <v>0</v>
      </c>
      <c r="P1015" s="374"/>
      <c r="Q1015" s="354">
        <v>0</v>
      </c>
      <c r="R1015" s="354">
        <v>0</v>
      </c>
      <c r="S1015" s="354">
        <v>0</v>
      </c>
      <c r="T1015" s="354">
        <v>0</v>
      </c>
      <c r="U1015" s="374"/>
      <c r="V1015" s="354">
        <v>0</v>
      </c>
      <c r="W1015" s="354">
        <v>0</v>
      </c>
      <c r="X1015" s="354">
        <v>0</v>
      </c>
      <c r="Y1015" s="374"/>
      <c r="Z1015" s="354">
        <v>0</v>
      </c>
      <c r="AA1015" s="354">
        <v>0</v>
      </c>
      <c r="AB1015" s="374"/>
      <c r="AC1015" s="376">
        <v>0</v>
      </c>
      <c r="AD1015" s="376">
        <v>0</v>
      </c>
      <c r="AE1015" s="376">
        <v>0</v>
      </c>
      <c r="AF1015" s="374"/>
      <c r="AG1015" s="376">
        <v>0</v>
      </c>
      <c r="AH1015" s="376">
        <v>0</v>
      </c>
      <c r="AI1015" s="376">
        <v>0</v>
      </c>
      <c r="AJ1015" s="376">
        <v>0</v>
      </c>
      <c r="AK1015" s="374"/>
      <c r="AL1015" s="376">
        <v>0</v>
      </c>
      <c r="AM1015" s="376">
        <v>0</v>
      </c>
      <c r="AN1015" s="376">
        <v>0</v>
      </c>
      <c r="AO1015" s="374"/>
      <c r="AP1015" s="376">
        <v>0</v>
      </c>
      <c r="AQ1015" s="376">
        <v>0</v>
      </c>
      <c r="AR1015" s="374"/>
      <c r="AS1015" s="376">
        <v>0</v>
      </c>
      <c r="AT1015" s="376">
        <v>0</v>
      </c>
      <c r="AU1015" s="355" t="s">
        <v>396</v>
      </c>
      <c r="AV1015" s="354" t="s">
        <v>397</v>
      </c>
      <c r="AW1015" s="353">
        <v>0</v>
      </c>
      <c r="AX1015" s="353">
        <v>0</v>
      </c>
      <c r="AY1015" s="353">
        <v>0</v>
      </c>
      <c r="AZ1015" s="353">
        <v>0</v>
      </c>
      <c r="BA1015" s="353">
        <v>0</v>
      </c>
      <c r="BB1015" s="353">
        <v>0</v>
      </c>
    </row>
    <row r="1016" spans="1:54" x14ac:dyDescent="0.25">
      <c r="A1016" s="348" t="s">
        <v>1397</v>
      </c>
      <c r="B1016" s="349">
        <v>124</v>
      </c>
      <c r="C1016" s="350" t="s">
        <v>1330</v>
      </c>
      <c r="D1016" s="351">
        <v>45187</v>
      </c>
      <c r="E1016" s="352"/>
      <c r="F1016" s="352">
        <v>6</v>
      </c>
      <c r="G1016" s="350" t="s">
        <v>1208</v>
      </c>
      <c r="H1016" s="350" t="s">
        <v>1392</v>
      </c>
      <c r="I1016" s="350" t="s">
        <v>393</v>
      </c>
      <c r="J1016" s="375">
        <f>7800+800</f>
        <v>8600</v>
      </c>
      <c r="K1016" s="350" t="s">
        <v>394</v>
      </c>
      <c r="L1016" s="354">
        <v>2802.3999950000002</v>
      </c>
      <c r="M1016" s="375">
        <f t="shared" si="891"/>
        <v>3.0687981784698795</v>
      </c>
      <c r="N1016" s="354" t="s">
        <v>395</v>
      </c>
      <c r="O1016" s="354">
        <v>0</v>
      </c>
      <c r="P1016" s="374"/>
      <c r="Q1016" s="354">
        <v>0</v>
      </c>
      <c r="R1016" s="354">
        <v>0</v>
      </c>
      <c r="S1016" s="354">
        <v>0</v>
      </c>
      <c r="T1016" s="354">
        <v>0</v>
      </c>
      <c r="U1016" s="374"/>
      <c r="V1016" s="354">
        <v>0</v>
      </c>
      <c r="W1016" s="354">
        <v>0</v>
      </c>
      <c r="X1016" s="354">
        <v>0</v>
      </c>
      <c r="Y1016" s="374"/>
      <c r="Z1016" s="354">
        <v>0</v>
      </c>
      <c r="AA1016" s="354">
        <v>0</v>
      </c>
      <c r="AB1016" s="374"/>
      <c r="AC1016" s="376">
        <v>0</v>
      </c>
      <c r="AD1016" s="376">
        <v>0</v>
      </c>
      <c r="AE1016" s="376">
        <v>0</v>
      </c>
      <c r="AF1016" s="374"/>
      <c r="AG1016" s="376">
        <v>0</v>
      </c>
      <c r="AH1016" s="376">
        <v>0</v>
      </c>
      <c r="AI1016" s="376">
        <v>0</v>
      </c>
      <c r="AJ1016" s="376">
        <v>0</v>
      </c>
      <c r="AK1016" s="374"/>
      <c r="AL1016" s="376">
        <v>0</v>
      </c>
      <c r="AM1016" s="376">
        <v>0</v>
      </c>
      <c r="AN1016" s="376">
        <v>0</v>
      </c>
      <c r="AO1016" s="374"/>
      <c r="AP1016" s="376">
        <v>0</v>
      </c>
      <c r="AQ1016" s="376">
        <v>0</v>
      </c>
      <c r="AR1016" s="374"/>
      <c r="AS1016" s="376">
        <v>0</v>
      </c>
      <c r="AT1016" s="376">
        <v>0</v>
      </c>
      <c r="AU1016" s="355" t="s">
        <v>396</v>
      </c>
      <c r="AV1016" s="354" t="s">
        <v>397</v>
      </c>
      <c r="AW1016" s="353">
        <v>0</v>
      </c>
      <c r="AX1016" s="353">
        <v>0</v>
      </c>
      <c r="AY1016" s="353">
        <v>0</v>
      </c>
      <c r="AZ1016" s="353">
        <v>0</v>
      </c>
      <c r="BA1016" s="353">
        <v>0</v>
      </c>
      <c r="BB1016" s="353">
        <v>0</v>
      </c>
    </row>
    <row r="1017" spans="1:54" x14ac:dyDescent="0.25">
      <c r="A1017" s="348" t="s">
        <v>1397</v>
      </c>
      <c r="B1017" s="349">
        <v>125</v>
      </c>
      <c r="C1017" s="350" t="s">
        <v>1330</v>
      </c>
      <c r="D1017" s="351">
        <v>45187</v>
      </c>
      <c r="E1017" s="352"/>
      <c r="F1017" s="352">
        <v>6</v>
      </c>
      <c r="G1017" s="350" t="s">
        <v>1208</v>
      </c>
      <c r="H1017" s="350" t="s">
        <v>1354</v>
      </c>
      <c r="I1017" s="350" t="s">
        <v>393</v>
      </c>
      <c r="J1017" s="375">
        <v>45000</v>
      </c>
      <c r="K1017" s="350" t="s">
        <v>394</v>
      </c>
      <c r="L1017" s="354">
        <v>2802.3999950000002</v>
      </c>
      <c r="M1017" s="375">
        <f t="shared" si="891"/>
        <v>16.057664887342394</v>
      </c>
      <c r="N1017" s="354" t="s">
        <v>395</v>
      </c>
      <c r="O1017" s="354">
        <v>0</v>
      </c>
      <c r="P1017" s="374"/>
      <c r="Q1017" s="354">
        <v>0</v>
      </c>
      <c r="R1017" s="354">
        <v>0</v>
      </c>
      <c r="S1017" s="354">
        <v>0</v>
      </c>
      <c r="T1017" s="354">
        <v>0</v>
      </c>
      <c r="U1017" s="374"/>
      <c r="V1017" s="354">
        <v>0</v>
      </c>
      <c r="W1017" s="354">
        <v>0</v>
      </c>
      <c r="X1017" s="354">
        <v>0</v>
      </c>
      <c r="Y1017" s="374"/>
      <c r="Z1017" s="354">
        <v>0</v>
      </c>
      <c r="AA1017" s="354">
        <v>0</v>
      </c>
      <c r="AB1017" s="374"/>
      <c r="AC1017" s="376">
        <v>0</v>
      </c>
      <c r="AD1017" s="376">
        <v>0</v>
      </c>
      <c r="AE1017" s="376">
        <v>0</v>
      </c>
      <c r="AF1017" s="374"/>
      <c r="AG1017" s="376">
        <v>0</v>
      </c>
      <c r="AH1017" s="376">
        <v>0</v>
      </c>
      <c r="AI1017" s="376">
        <v>0</v>
      </c>
      <c r="AJ1017" s="376">
        <v>0</v>
      </c>
      <c r="AK1017" s="374"/>
      <c r="AL1017" s="376">
        <v>0</v>
      </c>
      <c r="AM1017" s="376">
        <v>0</v>
      </c>
      <c r="AN1017" s="376">
        <v>0</v>
      </c>
      <c r="AO1017" s="374"/>
      <c r="AP1017" s="376">
        <v>0</v>
      </c>
      <c r="AQ1017" s="376">
        <v>0</v>
      </c>
      <c r="AR1017" s="374"/>
      <c r="AS1017" s="376">
        <v>0</v>
      </c>
      <c r="AT1017" s="376">
        <v>0</v>
      </c>
      <c r="AU1017" s="355" t="s">
        <v>396</v>
      </c>
      <c r="AV1017" s="354" t="s">
        <v>397</v>
      </c>
      <c r="AW1017" s="353">
        <v>0</v>
      </c>
      <c r="AX1017" s="353">
        <v>0</v>
      </c>
      <c r="AY1017" s="353">
        <v>0</v>
      </c>
      <c r="AZ1017" s="353">
        <v>0</v>
      </c>
      <c r="BA1017" s="353">
        <v>0</v>
      </c>
      <c r="BB1017" s="353">
        <v>0</v>
      </c>
    </row>
    <row r="1018" spans="1:54" x14ac:dyDescent="0.25">
      <c r="A1018" s="348" t="s">
        <v>1397</v>
      </c>
      <c r="B1018" s="349">
        <v>126</v>
      </c>
      <c r="C1018" s="350" t="s">
        <v>1330</v>
      </c>
      <c r="D1018" s="351">
        <v>45187</v>
      </c>
      <c r="E1018" s="352"/>
      <c r="F1018" s="352">
        <v>6</v>
      </c>
      <c r="G1018" s="350" t="s">
        <v>1208</v>
      </c>
      <c r="H1018" s="350" t="s">
        <v>1391</v>
      </c>
      <c r="I1018" s="350" t="s">
        <v>393</v>
      </c>
      <c r="J1018" s="375">
        <f>200000+100000+200000+200000+100000+100000+200000+200000+200000</f>
        <v>1500000</v>
      </c>
      <c r="K1018" s="350" t="s">
        <v>394</v>
      </c>
      <c r="L1018" s="354">
        <v>2802.3999950000002</v>
      </c>
      <c r="M1018" s="375">
        <f t="shared" si="891"/>
        <v>535.25549624474638</v>
      </c>
      <c r="N1018" s="354" t="s">
        <v>395</v>
      </c>
      <c r="O1018" s="354">
        <v>0</v>
      </c>
      <c r="P1018" s="374"/>
      <c r="Q1018" s="354">
        <v>0</v>
      </c>
      <c r="R1018" s="354">
        <v>0</v>
      </c>
      <c r="S1018" s="354">
        <v>0</v>
      </c>
      <c r="T1018" s="354">
        <v>0</v>
      </c>
      <c r="U1018" s="374"/>
      <c r="V1018" s="354">
        <v>0</v>
      </c>
      <c r="W1018" s="354">
        <v>0</v>
      </c>
      <c r="X1018" s="354">
        <v>0</v>
      </c>
      <c r="Y1018" s="374"/>
      <c r="Z1018" s="354">
        <v>0</v>
      </c>
      <c r="AA1018" s="354">
        <v>0</v>
      </c>
      <c r="AB1018" s="374"/>
      <c r="AC1018" s="376">
        <v>0</v>
      </c>
      <c r="AD1018" s="376">
        <v>0</v>
      </c>
      <c r="AE1018" s="376">
        <v>0</v>
      </c>
      <c r="AF1018" s="374"/>
      <c r="AG1018" s="376">
        <v>0</v>
      </c>
      <c r="AH1018" s="376">
        <v>0</v>
      </c>
      <c r="AI1018" s="376">
        <v>0</v>
      </c>
      <c r="AJ1018" s="376">
        <v>0</v>
      </c>
      <c r="AK1018" s="374"/>
      <c r="AL1018" s="376">
        <v>0</v>
      </c>
      <c r="AM1018" s="376">
        <v>0</v>
      </c>
      <c r="AN1018" s="376">
        <v>0</v>
      </c>
      <c r="AO1018" s="374"/>
      <c r="AP1018" s="376">
        <v>0</v>
      </c>
      <c r="AQ1018" s="376">
        <v>0</v>
      </c>
      <c r="AR1018" s="374"/>
      <c r="AS1018" s="376">
        <v>0</v>
      </c>
      <c r="AT1018" s="376">
        <v>0</v>
      </c>
      <c r="AU1018" s="355" t="s">
        <v>396</v>
      </c>
      <c r="AV1018" s="354" t="s">
        <v>397</v>
      </c>
      <c r="AW1018" s="353">
        <v>0</v>
      </c>
      <c r="AX1018" s="353">
        <v>0</v>
      </c>
      <c r="AY1018" s="353">
        <v>0</v>
      </c>
      <c r="AZ1018" s="353">
        <v>0</v>
      </c>
      <c r="BA1018" s="353">
        <v>0</v>
      </c>
      <c r="BB1018" s="353">
        <v>0</v>
      </c>
    </row>
    <row r="1019" spans="1:54" x14ac:dyDescent="0.25">
      <c r="A1019" s="348" t="s">
        <v>1397</v>
      </c>
      <c r="B1019" s="349">
        <v>127</v>
      </c>
      <c r="C1019" s="350" t="s">
        <v>1330</v>
      </c>
      <c r="D1019" s="351">
        <v>45187</v>
      </c>
      <c r="E1019" s="352"/>
      <c r="F1019" s="352">
        <v>6</v>
      </c>
      <c r="G1019" s="350" t="s">
        <v>1208</v>
      </c>
      <c r="H1019" s="350" t="s">
        <v>1164</v>
      </c>
      <c r="I1019" s="350" t="s">
        <v>393</v>
      </c>
      <c r="J1019" s="375">
        <f>90000+90000+90000+90000+90000</f>
        <v>450000</v>
      </c>
      <c r="K1019" s="350" t="s">
        <v>394</v>
      </c>
      <c r="L1019" s="354">
        <v>2802.3999950000002</v>
      </c>
      <c r="M1019" s="375">
        <f t="shared" si="891"/>
        <v>160.57664887342392</v>
      </c>
      <c r="N1019" s="354" t="s">
        <v>395</v>
      </c>
      <c r="O1019" s="354">
        <v>0</v>
      </c>
      <c r="P1019" s="374"/>
      <c r="Q1019" s="354">
        <v>0</v>
      </c>
      <c r="R1019" s="354">
        <v>0</v>
      </c>
      <c r="S1019" s="354">
        <v>0</v>
      </c>
      <c r="T1019" s="354">
        <v>0</v>
      </c>
      <c r="U1019" s="374"/>
      <c r="V1019" s="354">
        <v>0</v>
      </c>
      <c r="W1019" s="354">
        <v>0</v>
      </c>
      <c r="X1019" s="354">
        <v>0</v>
      </c>
      <c r="Y1019" s="374"/>
      <c r="Z1019" s="354">
        <v>0</v>
      </c>
      <c r="AA1019" s="354">
        <v>0</v>
      </c>
      <c r="AB1019" s="374"/>
      <c r="AC1019" s="376">
        <v>0</v>
      </c>
      <c r="AD1019" s="376">
        <v>0</v>
      </c>
      <c r="AE1019" s="376">
        <v>0</v>
      </c>
      <c r="AF1019" s="374"/>
      <c r="AG1019" s="376">
        <v>0</v>
      </c>
      <c r="AH1019" s="376">
        <v>0</v>
      </c>
      <c r="AI1019" s="376">
        <v>0</v>
      </c>
      <c r="AJ1019" s="376">
        <v>0</v>
      </c>
      <c r="AK1019" s="374"/>
      <c r="AL1019" s="376">
        <v>0</v>
      </c>
      <c r="AM1019" s="376">
        <v>0</v>
      </c>
      <c r="AN1019" s="376">
        <v>0</v>
      </c>
      <c r="AO1019" s="374"/>
      <c r="AP1019" s="376">
        <v>0</v>
      </c>
      <c r="AQ1019" s="376">
        <v>0</v>
      </c>
      <c r="AR1019" s="374"/>
      <c r="AS1019" s="376">
        <v>0</v>
      </c>
      <c r="AT1019" s="376">
        <v>0</v>
      </c>
      <c r="AU1019" s="355" t="s">
        <v>396</v>
      </c>
      <c r="AV1019" s="354" t="s">
        <v>397</v>
      </c>
      <c r="AW1019" s="353">
        <v>0</v>
      </c>
      <c r="AX1019" s="353">
        <v>0</v>
      </c>
      <c r="AY1019" s="353">
        <v>0</v>
      </c>
      <c r="AZ1019" s="353">
        <v>0</v>
      </c>
      <c r="BA1019" s="353">
        <v>0</v>
      </c>
      <c r="BB1019" s="353">
        <v>0</v>
      </c>
    </row>
    <row r="1020" spans="1:54" x14ac:dyDescent="0.25">
      <c r="A1020" s="348" t="s">
        <v>1397</v>
      </c>
      <c r="B1020" s="349">
        <v>128</v>
      </c>
      <c r="C1020" s="350" t="s">
        <v>1330</v>
      </c>
      <c r="D1020" s="351">
        <v>45187</v>
      </c>
      <c r="E1020" s="352"/>
      <c r="F1020" s="352">
        <v>6</v>
      </c>
      <c r="G1020" s="350" t="s">
        <v>1208</v>
      </c>
      <c r="H1020" s="350" t="s">
        <v>1164</v>
      </c>
      <c r="I1020" s="350" t="s">
        <v>393</v>
      </c>
      <c r="J1020" s="375">
        <f>90000+90000+90000+90000+90000</f>
        <v>450000</v>
      </c>
      <c r="K1020" s="350" t="s">
        <v>394</v>
      </c>
      <c r="L1020" s="354">
        <v>2802.3999950000002</v>
      </c>
      <c r="M1020" s="375">
        <f t="shared" si="891"/>
        <v>160.57664887342392</v>
      </c>
      <c r="N1020" s="354" t="s">
        <v>395</v>
      </c>
      <c r="O1020" s="354">
        <v>0</v>
      </c>
      <c r="P1020" s="374"/>
      <c r="Q1020" s="354">
        <v>0</v>
      </c>
      <c r="R1020" s="354">
        <v>0</v>
      </c>
      <c r="S1020" s="354">
        <v>0</v>
      </c>
      <c r="T1020" s="354">
        <v>0</v>
      </c>
      <c r="U1020" s="374"/>
      <c r="V1020" s="354">
        <v>0</v>
      </c>
      <c r="W1020" s="354">
        <v>0</v>
      </c>
      <c r="X1020" s="354">
        <v>0</v>
      </c>
      <c r="Y1020" s="374"/>
      <c r="Z1020" s="354">
        <v>0</v>
      </c>
      <c r="AA1020" s="354">
        <v>0</v>
      </c>
      <c r="AB1020" s="374"/>
      <c r="AC1020" s="376">
        <v>0</v>
      </c>
      <c r="AD1020" s="376">
        <v>0</v>
      </c>
      <c r="AE1020" s="376">
        <v>0</v>
      </c>
      <c r="AF1020" s="374"/>
      <c r="AG1020" s="376">
        <v>0</v>
      </c>
      <c r="AH1020" s="376">
        <v>0</v>
      </c>
      <c r="AI1020" s="376">
        <v>0</v>
      </c>
      <c r="AJ1020" s="376">
        <v>0</v>
      </c>
      <c r="AK1020" s="374"/>
      <c r="AL1020" s="376">
        <v>0</v>
      </c>
      <c r="AM1020" s="376">
        <v>0</v>
      </c>
      <c r="AN1020" s="376">
        <v>0</v>
      </c>
      <c r="AO1020" s="374"/>
      <c r="AP1020" s="376">
        <v>0</v>
      </c>
      <c r="AQ1020" s="376">
        <v>0</v>
      </c>
      <c r="AR1020" s="374"/>
      <c r="AS1020" s="376">
        <v>0</v>
      </c>
      <c r="AT1020" s="376">
        <v>0</v>
      </c>
      <c r="AU1020" s="355" t="s">
        <v>396</v>
      </c>
      <c r="AV1020" s="354" t="s">
        <v>397</v>
      </c>
      <c r="AW1020" s="353">
        <v>0</v>
      </c>
      <c r="AX1020" s="353">
        <v>0</v>
      </c>
      <c r="AY1020" s="353">
        <v>0</v>
      </c>
      <c r="AZ1020" s="353">
        <v>0</v>
      </c>
      <c r="BA1020" s="353">
        <v>0</v>
      </c>
      <c r="BB1020" s="353">
        <v>0</v>
      </c>
    </row>
    <row r="1021" spans="1:54" x14ac:dyDescent="0.25">
      <c r="A1021" s="348" t="s">
        <v>1397</v>
      </c>
      <c r="B1021" s="349">
        <v>129</v>
      </c>
      <c r="C1021" s="350" t="s">
        <v>1330</v>
      </c>
      <c r="D1021" s="351">
        <v>45187</v>
      </c>
      <c r="E1021" s="352"/>
      <c r="F1021" s="352">
        <v>6</v>
      </c>
      <c r="G1021" s="350" t="s">
        <v>1208</v>
      </c>
      <c r="H1021" s="350" t="s">
        <v>1164</v>
      </c>
      <c r="I1021" s="350" t="s">
        <v>393</v>
      </c>
      <c r="J1021" s="375">
        <f>105000+105000+105000+105000+105000+15000</f>
        <v>540000</v>
      </c>
      <c r="K1021" s="350" t="s">
        <v>394</v>
      </c>
      <c r="L1021" s="354">
        <v>2802.3999950000002</v>
      </c>
      <c r="M1021" s="375">
        <f t="shared" si="891"/>
        <v>192.69197864810872</v>
      </c>
      <c r="N1021" s="354" t="s">
        <v>395</v>
      </c>
      <c r="O1021" s="354">
        <v>0</v>
      </c>
      <c r="P1021" s="374"/>
      <c r="Q1021" s="354">
        <v>0</v>
      </c>
      <c r="R1021" s="354">
        <v>0</v>
      </c>
      <c r="S1021" s="354">
        <v>0</v>
      </c>
      <c r="T1021" s="354">
        <v>0</v>
      </c>
      <c r="U1021" s="374"/>
      <c r="V1021" s="354">
        <v>0</v>
      </c>
      <c r="W1021" s="354">
        <v>0</v>
      </c>
      <c r="X1021" s="354">
        <v>0</v>
      </c>
      <c r="Y1021" s="374"/>
      <c r="Z1021" s="354">
        <v>0</v>
      </c>
      <c r="AA1021" s="354">
        <v>0</v>
      </c>
      <c r="AB1021" s="374"/>
      <c r="AC1021" s="376">
        <v>0</v>
      </c>
      <c r="AD1021" s="376">
        <v>0</v>
      </c>
      <c r="AE1021" s="376">
        <v>0</v>
      </c>
      <c r="AF1021" s="374"/>
      <c r="AG1021" s="376">
        <v>0</v>
      </c>
      <c r="AH1021" s="376">
        <v>0</v>
      </c>
      <c r="AI1021" s="376">
        <v>0</v>
      </c>
      <c r="AJ1021" s="376">
        <v>0</v>
      </c>
      <c r="AK1021" s="374"/>
      <c r="AL1021" s="376">
        <v>0</v>
      </c>
      <c r="AM1021" s="376">
        <v>0</v>
      </c>
      <c r="AN1021" s="376">
        <v>0</v>
      </c>
      <c r="AO1021" s="374"/>
      <c r="AP1021" s="376">
        <v>0</v>
      </c>
      <c r="AQ1021" s="376">
        <v>0</v>
      </c>
      <c r="AR1021" s="374"/>
      <c r="AS1021" s="376">
        <v>0</v>
      </c>
      <c r="AT1021" s="376">
        <v>0</v>
      </c>
      <c r="AU1021" s="355" t="s">
        <v>396</v>
      </c>
      <c r="AV1021" s="354" t="s">
        <v>397</v>
      </c>
      <c r="AW1021" s="353">
        <v>0</v>
      </c>
      <c r="AX1021" s="353">
        <v>0</v>
      </c>
      <c r="AY1021" s="353">
        <v>0</v>
      </c>
      <c r="AZ1021" s="353">
        <v>0</v>
      </c>
      <c r="BA1021" s="353">
        <v>0</v>
      </c>
      <c r="BB1021" s="353">
        <v>0</v>
      </c>
    </row>
    <row r="1022" spans="1:54" x14ac:dyDescent="0.25">
      <c r="A1022" s="348" t="s">
        <v>1397</v>
      </c>
      <c r="B1022" s="349">
        <v>130</v>
      </c>
      <c r="C1022" s="350" t="s">
        <v>1330</v>
      </c>
      <c r="D1022" s="351">
        <v>45187</v>
      </c>
      <c r="E1022" s="352"/>
      <c r="F1022" s="352">
        <v>6</v>
      </c>
      <c r="G1022" s="350" t="s">
        <v>1208</v>
      </c>
      <c r="H1022" s="350" t="s">
        <v>1164</v>
      </c>
      <c r="I1022" s="350" t="s">
        <v>393</v>
      </c>
      <c r="J1022" s="375">
        <f>105000+105000+105000+105000+105000+15000</f>
        <v>540000</v>
      </c>
      <c r="K1022" s="350" t="s">
        <v>394</v>
      </c>
      <c r="L1022" s="354">
        <v>2802.3999950000002</v>
      </c>
      <c r="M1022" s="375">
        <f t="shared" si="891"/>
        <v>192.69197864810872</v>
      </c>
      <c r="N1022" s="354" t="s">
        <v>395</v>
      </c>
      <c r="O1022" s="354">
        <v>0</v>
      </c>
      <c r="P1022" s="374"/>
      <c r="Q1022" s="354">
        <v>0</v>
      </c>
      <c r="R1022" s="354">
        <v>0</v>
      </c>
      <c r="S1022" s="354">
        <v>0</v>
      </c>
      <c r="T1022" s="354">
        <v>0</v>
      </c>
      <c r="U1022" s="374"/>
      <c r="V1022" s="354">
        <v>0</v>
      </c>
      <c r="W1022" s="354">
        <v>0</v>
      </c>
      <c r="X1022" s="354">
        <v>0</v>
      </c>
      <c r="Y1022" s="374"/>
      <c r="Z1022" s="354">
        <v>0</v>
      </c>
      <c r="AA1022" s="354">
        <v>0</v>
      </c>
      <c r="AB1022" s="374"/>
      <c r="AC1022" s="376">
        <v>0</v>
      </c>
      <c r="AD1022" s="376">
        <v>0</v>
      </c>
      <c r="AE1022" s="376">
        <v>0</v>
      </c>
      <c r="AF1022" s="374"/>
      <c r="AG1022" s="376">
        <v>0</v>
      </c>
      <c r="AH1022" s="376">
        <v>0</v>
      </c>
      <c r="AI1022" s="376">
        <v>0</v>
      </c>
      <c r="AJ1022" s="376">
        <v>0</v>
      </c>
      <c r="AK1022" s="374"/>
      <c r="AL1022" s="376">
        <v>0</v>
      </c>
      <c r="AM1022" s="376">
        <v>0</v>
      </c>
      <c r="AN1022" s="376">
        <v>0</v>
      </c>
      <c r="AO1022" s="374"/>
      <c r="AP1022" s="376">
        <v>0</v>
      </c>
      <c r="AQ1022" s="376">
        <v>0</v>
      </c>
      <c r="AR1022" s="374"/>
      <c r="AS1022" s="376">
        <v>0</v>
      </c>
      <c r="AT1022" s="376">
        <v>0</v>
      </c>
      <c r="AU1022" s="355" t="s">
        <v>396</v>
      </c>
      <c r="AV1022" s="354" t="s">
        <v>397</v>
      </c>
      <c r="AW1022" s="353">
        <v>0</v>
      </c>
      <c r="AX1022" s="353">
        <v>0</v>
      </c>
      <c r="AY1022" s="353">
        <v>0</v>
      </c>
      <c r="AZ1022" s="353">
        <v>0</v>
      </c>
      <c r="BA1022" s="353">
        <v>0</v>
      </c>
      <c r="BB1022" s="353">
        <v>0</v>
      </c>
    </row>
    <row r="1023" spans="1:54" x14ac:dyDescent="0.25">
      <c r="A1023" s="348" t="s">
        <v>1397</v>
      </c>
      <c r="B1023" s="349">
        <v>131</v>
      </c>
      <c r="C1023" s="350" t="s">
        <v>1330</v>
      </c>
      <c r="D1023" s="351">
        <v>45187</v>
      </c>
      <c r="E1023" s="352"/>
      <c r="F1023" s="352">
        <v>6</v>
      </c>
      <c r="G1023" s="350" t="s">
        <v>1208</v>
      </c>
      <c r="H1023" s="350" t="s">
        <v>1164</v>
      </c>
      <c r="I1023" s="350" t="s">
        <v>393</v>
      </c>
      <c r="J1023" s="375">
        <f>105000+105000+105000+105000+30000</f>
        <v>450000</v>
      </c>
      <c r="K1023" s="350" t="s">
        <v>394</v>
      </c>
      <c r="L1023" s="354">
        <v>2802.3999950000002</v>
      </c>
      <c r="M1023" s="375">
        <f t="shared" si="891"/>
        <v>160.57664887342392</v>
      </c>
      <c r="N1023" s="354" t="s">
        <v>395</v>
      </c>
      <c r="O1023" s="354">
        <v>0</v>
      </c>
      <c r="P1023" s="374"/>
      <c r="Q1023" s="354">
        <v>0</v>
      </c>
      <c r="R1023" s="354">
        <v>0</v>
      </c>
      <c r="S1023" s="354">
        <v>0</v>
      </c>
      <c r="T1023" s="354">
        <v>0</v>
      </c>
      <c r="U1023" s="374"/>
      <c r="V1023" s="354">
        <v>0</v>
      </c>
      <c r="W1023" s="354">
        <v>0</v>
      </c>
      <c r="X1023" s="354">
        <v>0</v>
      </c>
      <c r="Y1023" s="374"/>
      <c r="Z1023" s="354">
        <v>0</v>
      </c>
      <c r="AA1023" s="354">
        <v>0</v>
      </c>
      <c r="AB1023" s="374"/>
      <c r="AC1023" s="376">
        <v>0</v>
      </c>
      <c r="AD1023" s="376">
        <v>0</v>
      </c>
      <c r="AE1023" s="376">
        <v>0</v>
      </c>
      <c r="AF1023" s="374"/>
      <c r="AG1023" s="376">
        <v>0</v>
      </c>
      <c r="AH1023" s="376">
        <v>0</v>
      </c>
      <c r="AI1023" s="376">
        <v>0</v>
      </c>
      <c r="AJ1023" s="376">
        <v>0</v>
      </c>
      <c r="AK1023" s="374"/>
      <c r="AL1023" s="376">
        <v>0</v>
      </c>
      <c r="AM1023" s="376">
        <v>0</v>
      </c>
      <c r="AN1023" s="376">
        <v>0</v>
      </c>
      <c r="AO1023" s="374"/>
      <c r="AP1023" s="376">
        <v>0</v>
      </c>
      <c r="AQ1023" s="376">
        <v>0</v>
      </c>
      <c r="AR1023" s="374"/>
      <c r="AS1023" s="376">
        <v>0</v>
      </c>
      <c r="AT1023" s="376">
        <v>0</v>
      </c>
      <c r="AU1023" s="355" t="s">
        <v>396</v>
      </c>
      <c r="AV1023" s="354" t="s">
        <v>397</v>
      </c>
      <c r="AW1023" s="353">
        <v>0</v>
      </c>
      <c r="AX1023" s="353">
        <v>0</v>
      </c>
      <c r="AY1023" s="353">
        <v>0</v>
      </c>
      <c r="AZ1023" s="353">
        <v>0</v>
      </c>
      <c r="BA1023" s="353">
        <v>0</v>
      </c>
      <c r="BB1023" s="353">
        <v>0</v>
      </c>
    </row>
    <row r="1024" spans="1:54" x14ac:dyDescent="0.25">
      <c r="A1024" s="348" t="s">
        <v>1397</v>
      </c>
      <c r="B1024" s="349">
        <v>132</v>
      </c>
      <c r="C1024" s="350" t="s">
        <v>1330</v>
      </c>
      <c r="D1024" s="351">
        <v>45187</v>
      </c>
      <c r="E1024" s="352"/>
      <c r="F1024" s="352">
        <v>6</v>
      </c>
      <c r="G1024" s="350" t="s">
        <v>1208</v>
      </c>
      <c r="H1024" s="350" t="s">
        <v>1164</v>
      </c>
      <c r="I1024" s="350" t="s">
        <v>393</v>
      </c>
      <c r="J1024" s="375">
        <f>105000+105000+105000+105000</f>
        <v>420000</v>
      </c>
      <c r="K1024" s="350" t="s">
        <v>394</v>
      </c>
      <c r="L1024" s="354">
        <v>2802.3999950000002</v>
      </c>
      <c r="M1024" s="375">
        <f t="shared" si="891"/>
        <v>149.87153894852901</v>
      </c>
      <c r="N1024" s="354" t="s">
        <v>395</v>
      </c>
      <c r="O1024" s="354">
        <v>0</v>
      </c>
      <c r="P1024" s="374"/>
      <c r="Q1024" s="354">
        <v>0</v>
      </c>
      <c r="R1024" s="354">
        <v>0</v>
      </c>
      <c r="S1024" s="354">
        <v>0</v>
      </c>
      <c r="T1024" s="354">
        <v>0</v>
      </c>
      <c r="U1024" s="374"/>
      <c r="V1024" s="354">
        <v>0</v>
      </c>
      <c r="W1024" s="354">
        <v>0</v>
      </c>
      <c r="X1024" s="354">
        <v>0</v>
      </c>
      <c r="Y1024" s="374"/>
      <c r="Z1024" s="354">
        <v>0</v>
      </c>
      <c r="AA1024" s="354">
        <v>0</v>
      </c>
      <c r="AB1024" s="374"/>
      <c r="AC1024" s="376">
        <v>0</v>
      </c>
      <c r="AD1024" s="376">
        <v>0</v>
      </c>
      <c r="AE1024" s="376">
        <v>0</v>
      </c>
      <c r="AF1024" s="374"/>
      <c r="AG1024" s="376">
        <v>0</v>
      </c>
      <c r="AH1024" s="376">
        <v>0</v>
      </c>
      <c r="AI1024" s="376">
        <v>0</v>
      </c>
      <c r="AJ1024" s="376">
        <v>0</v>
      </c>
      <c r="AK1024" s="374"/>
      <c r="AL1024" s="376">
        <v>0</v>
      </c>
      <c r="AM1024" s="376">
        <v>0</v>
      </c>
      <c r="AN1024" s="376">
        <v>0</v>
      </c>
      <c r="AO1024" s="374"/>
      <c r="AP1024" s="376">
        <v>0</v>
      </c>
      <c r="AQ1024" s="376">
        <v>0</v>
      </c>
      <c r="AR1024" s="374"/>
      <c r="AS1024" s="376">
        <v>0</v>
      </c>
      <c r="AT1024" s="376">
        <v>0</v>
      </c>
      <c r="AU1024" s="355" t="s">
        <v>396</v>
      </c>
      <c r="AV1024" s="354" t="s">
        <v>397</v>
      </c>
      <c r="AW1024" s="353">
        <v>0</v>
      </c>
      <c r="AX1024" s="353">
        <v>0</v>
      </c>
      <c r="AY1024" s="353">
        <v>0</v>
      </c>
      <c r="AZ1024" s="353">
        <v>0</v>
      </c>
      <c r="BA1024" s="353">
        <v>0</v>
      </c>
      <c r="BB1024" s="353">
        <v>0</v>
      </c>
    </row>
    <row r="1025" spans="1:54" x14ac:dyDescent="0.25">
      <c r="A1025" s="348" t="s">
        <v>1397</v>
      </c>
      <c r="B1025" s="349">
        <v>133</v>
      </c>
      <c r="C1025" s="350" t="s">
        <v>1330</v>
      </c>
      <c r="D1025" s="351">
        <v>45187</v>
      </c>
      <c r="E1025" s="352"/>
      <c r="F1025" s="352">
        <v>6</v>
      </c>
      <c r="G1025" s="350" t="s">
        <v>1208</v>
      </c>
      <c r="H1025" s="350" t="s">
        <v>1164</v>
      </c>
      <c r="I1025" s="350" t="s">
        <v>393</v>
      </c>
      <c r="J1025" s="375">
        <f>105000+105000+105000+105000</f>
        <v>420000</v>
      </c>
      <c r="K1025" s="350" t="s">
        <v>394</v>
      </c>
      <c r="L1025" s="354">
        <v>2802.3999950000002</v>
      </c>
      <c r="M1025" s="375">
        <f t="shared" si="891"/>
        <v>149.87153894852901</v>
      </c>
      <c r="N1025" s="354" t="s">
        <v>395</v>
      </c>
      <c r="O1025" s="354">
        <v>0</v>
      </c>
      <c r="P1025" s="374"/>
      <c r="Q1025" s="354">
        <v>0</v>
      </c>
      <c r="R1025" s="354">
        <v>0</v>
      </c>
      <c r="S1025" s="354">
        <v>0</v>
      </c>
      <c r="T1025" s="354">
        <v>0</v>
      </c>
      <c r="U1025" s="374"/>
      <c r="V1025" s="354">
        <v>0</v>
      </c>
      <c r="W1025" s="354">
        <v>0</v>
      </c>
      <c r="X1025" s="354">
        <v>0</v>
      </c>
      <c r="Y1025" s="374"/>
      <c r="Z1025" s="354">
        <v>0</v>
      </c>
      <c r="AA1025" s="354">
        <v>0</v>
      </c>
      <c r="AB1025" s="374"/>
      <c r="AC1025" s="376">
        <v>0</v>
      </c>
      <c r="AD1025" s="376">
        <v>0</v>
      </c>
      <c r="AE1025" s="376">
        <v>0</v>
      </c>
      <c r="AF1025" s="374"/>
      <c r="AG1025" s="376">
        <v>0</v>
      </c>
      <c r="AH1025" s="376">
        <v>0</v>
      </c>
      <c r="AI1025" s="376">
        <v>0</v>
      </c>
      <c r="AJ1025" s="376">
        <v>0</v>
      </c>
      <c r="AK1025" s="374"/>
      <c r="AL1025" s="376">
        <v>0</v>
      </c>
      <c r="AM1025" s="376">
        <v>0</v>
      </c>
      <c r="AN1025" s="376">
        <v>0</v>
      </c>
      <c r="AO1025" s="374"/>
      <c r="AP1025" s="376">
        <v>0</v>
      </c>
      <c r="AQ1025" s="376">
        <v>0</v>
      </c>
      <c r="AR1025" s="374"/>
      <c r="AS1025" s="376">
        <v>0</v>
      </c>
      <c r="AT1025" s="376">
        <v>0</v>
      </c>
      <c r="AU1025" s="355" t="s">
        <v>396</v>
      </c>
      <c r="AV1025" s="354" t="s">
        <v>397</v>
      </c>
      <c r="AW1025" s="353">
        <v>0</v>
      </c>
      <c r="AX1025" s="353">
        <v>0</v>
      </c>
      <c r="AY1025" s="353">
        <v>0</v>
      </c>
      <c r="AZ1025" s="353">
        <v>0</v>
      </c>
      <c r="BA1025" s="353">
        <v>0</v>
      </c>
      <c r="BB1025" s="353">
        <v>0</v>
      </c>
    </row>
    <row r="1026" spans="1:54" x14ac:dyDescent="0.25">
      <c r="A1026" s="348" t="s">
        <v>1397</v>
      </c>
      <c r="B1026" s="349">
        <v>134</v>
      </c>
      <c r="C1026" s="350" t="s">
        <v>1330</v>
      </c>
      <c r="D1026" s="351">
        <v>45187</v>
      </c>
      <c r="E1026" s="352"/>
      <c r="F1026" s="352">
        <v>6</v>
      </c>
      <c r="G1026" s="350" t="s">
        <v>1208</v>
      </c>
      <c r="H1026" s="350" t="s">
        <v>1164</v>
      </c>
      <c r="I1026" s="350" t="s">
        <v>393</v>
      </c>
      <c r="J1026" s="375">
        <f>105000+105000+105000+105000</f>
        <v>420000</v>
      </c>
      <c r="K1026" s="350" t="s">
        <v>394</v>
      </c>
      <c r="L1026" s="354">
        <v>2802.3999950000002</v>
      </c>
      <c r="M1026" s="375">
        <f t="shared" si="891"/>
        <v>149.87153894852901</v>
      </c>
      <c r="N1026" s="354" t="s">
        <v>395</v>
      </c>
      <c r="O1026" s="354">
        <v>0</v>
      </c>
      <c r="P1026" s="374"/>
      <c r="Q1026" s="354">
        <v>0</v>
      </c>
      <c r="R1026" s="354">
        <v>0</v>
      </c>
      <c r="S1026" s="354">
        <v>0</v>
      </c>
      <c r="T1026" s="354">
        <v>0</v>
      </c>
      <c r="U1026" s="374"/>
      <c r="V1026" s="354">
        <v>0</v>
      </c>
      <c r="W1026" s="354">
        <v>0</v>
      </c>
      <c r="X1026" s="354">
        <v>0</v>
      </c>
      <c r="Y1026" s="374"/>
      <c r="Z1026" s="354">
        <v>0</v>
      </c>
      <c r="AA1026" s="354">
        <v>0</v>
      </c>
      <c r="AB1026" s="374"/>
      <c r="AC1026" s="376">
        <v>0</v>
      </c>
      <c r="AD1026" s="376">
        <v>0</v>
      </c>
      <c r="AE1026" s="376">
        <v>0</v>
      </c>
      <c r="AF1026" s="374"/>
      <c r="AG1026" s="376">
        <v>0</v>
      </c>
      <c r="AH1026" s="376">
        <v>0</v>
      </c>
      <c r="AI1026" s="376">
        <v>0</v>
      </c>
      <c r="AJ1026" s="376">
        <v>0</v>
      </c>
      <c r="AK1026" s="374"/>
      <c r="AL1026" s="376">
        <v>0</v>
      </c>
      <c r="AM1026" s="376">
        <v>0</v>
      </c>
      <c r="AN1026" s="376">
        <v>0</v>
      </c>
      <c r="AO1026" s="374"/>
      <c r="AP1026" s="376">
        <v>0</v>
      </c>
      <c r="AQ1026" s="376">
        <v>0</v>
      </c>
      <c r="AR1026" s="374"/>
      <c r="AS1026" s="376">
        <v>0</v>
      </c>
      <c r="AT1026" s="376">
        <v>0</v>
      </c>
      <c r="AU1026" s="355" t="s">
        <v>396</v>
      </c>
      <c r="AV1026" s="354" t="s">
        <v>397</v>
      </c>
      <c r="AW1026" s="353">
        <v>0</v>
      </c>
      <c r="AX1026" s="353">
        <v>0</v>
      </c>
      <c r="AY1026" s="353">
        <v>0</v>
      </c>
      <c r="AZ1026" s="353">
        <v>0</v>
      </c>
      <c r="BA1026" s="353">
        <v>0</v>
      </c>
      <c r="BB1026" s="353">
        <v>0</v>
      </c>
    </row>
    <row r="1027" spans="1:54" x14ac:dyDescent="0.25">
      <c r="A1027" s="348" t="s">
        <v>1397</v>
      </c>
      <c r="B1027" s="349">
        <v>135</v>
      </c>
      <c r="C1027" s="350" t="s">
        <v>1330</v>
      </c>
      <c r="D1027" s="351">
        <v>45187</v>
      </c>
      <c r="E1027" s="352"/>
      <c r="F1027" s="352">
        <v>6</v>
      </c>
      <c r="G1027" s="350" t="s">
        <v>1208</v>
      </c>
      <c r="H1027" s="350" t="s">
        <v>1164</v>
      </c>
      <c r="I1027" s="350" t="s">
        <v>393</v>
      </c>
      <c r="J1027" s="375">
        <f>90000+105000+105000+105000+105000</f>
        <v>510000</v>
      </c>
      <c r="K1027" s="350" t="s">
        <v>394</v>
      </c>
      <c r="L1027" s="354">
        <v>2802.3999950000002</v>
      </c>
      <c r="M1027" s="375">
        <f t="shared" si="891"/>
        <v>181.98686872321377</v>
      </c>
      <c r="N1027" s="354" t="s">
        <v>395</v>
      </c>
      <c r="O1027" s="354">
        <v>0</v>
      </c>
      <c r="P1027" s="374"/>
      <c r="Q1027" s="354">
        <v>0</v>
      </c>
      <c r="R1027" s="354">
        <v>0</v>
      </c>
      <c r="S1027" s="354">
        <v>0</v>
      </c>
      <c r="T1027" s="354">
        <v>0</v>
      </c>
      <c r="U1027" s="374"/>
      <c r="V1027" s="354">
        <v>0</v>
      </c>
      <c r="W1027" s="354">
        <v>0</v>
      </c>
      <c r="X1027" s="354">
        <v>0</v>
      </c>
      <c r="Y1027" s="374"/>
      <c r="Z1027" s="354">
        <v>0</v>
      </c>
      <c r="AA1027" s="354">
        <v>0</v>
      </c>
      <c r="AB1027" s="374"/>
      <c r="AC1027" s="376">
        <v>0</v>
      </c>
      <c r="AD1027" s="376">
        <v>0</v>
      </c>
      <c r="AE1027" s="376">
        <v>0</v>
      </c>
      <c r="AF1027" s="374"/>
      <c r="AG1027" s="376">
        <v>0</v>
      </c>
      <c r="AH1027" s="376">
        <v>0</v>
      </c>
      <c r="AI1027" s="376">
        <v>0</v>
      </c>
      <c r="AJ1027" s="376">
        <v>0</v>
      </c>
      <c r="AK1027" s="374"/>
      <c r="AL1027" s="376">
        <v>0</v>
      </c>
      <c r="AM1027" s="376">
        <v>0</v>
      </c>
      <c r="AN1027" s="376">
        <v>0</v>
      </c>
      <c r="AO1027" s="374"/>
      <c r="AP1027" s="376">
        <v>0</v>
      </c>
      <c r="AQ1027" s="376">
        <v>0</v>
      </c>
      <c r="AR1027" s="374"/>
      <c r="AS1027" s="376">
        <v>0</v>
      </c>
      <c r="AT1027" s="376">
        <v>0</v>
      </c>
      <c r="AU1027" s="355" t="s">
        <v>396</v>
      </c>
      <c r="AV1027" s="354" t="s">
        <v>397</v>
      </c>
      <c r="AW1027" s="353">
        <v>0</v>
      </c>
      <c r="AX1027" s="353">
        <v>0</v>
      </c>
      <c r="AY1027" s="353">
        <v>0</v>
      </c>
      <c r="AZ1027" s="353">
        <v>0</v>
      </c>
      <c r="BA1027" s="353">
        <v>0</v>
      </c>
      <c r="BB1027" s="353">
        <v>0</v>
      </c>
    </row>
    <row r="1028" spans="1:54" x14ac:dyDescent="0.25">
      <c r="A1028" s="348" t="s">
        <v>1397</v>
      </c>
      <c r="B1028" s="349">
        <v>136</v>
      </c>
      <c r="C1028" s="350" t="s">
        <v>1330</v>
      </c>
      <c r="D1028" s="351">
        <v>45187</v>
      </c>
      <c r="E1028" s="352"/>
      <c r="F1028" s="352">
        <v>6</v>
      </c>
      <c r="G1028" s="350" t="s">
        <v>1208</v>
      </c>
      <c r="H1028" s="350" t="s">
        <v>1164</v>
      </c>
      <c r="I1028" s="350" t="s">
        <v>393</v>
      </c>
      <c r="J1028" s="375">
        <f>105000+105000+90000+105000+105000</f>
        <v>510000</v>
      </c>
      <c r="K1028" s="350" t="s">
        <v>394</v>
      </c>
      <c r="L1028" s="354">
        <v>2802.3999950000002</v>
      </c>
      <c r="M1028" s="375">
        <f t="shared" si="891"/>
        <v>181.98686872321377</v>
      </c>
      <c r="N1028" s="354" t="s">
        <v>395</v>
      </c>
      <c r="O1028" s="354">
        <v>0</v>
      </c>
      <c r="P1028" s="374"/>
      <c r="Q1028" s="354">
        <v>0</v>
      </c>
      <c r="R1028" s="354">
        <v>0</v>
      </c>
      <c r="S1028" s="354">
        <v>0</v>
      </c>
      <c r="T1028" s="354">
        <v>0</v>
      </c>
      <c r="U1028" s="374"/>
      <c r="V1028" s="354">
        <v>0</v>
      </c>
      <c r="W1028" s="354">
        <v>0</v>
      </c>
      <c r="X1028" s="354">
        <v>0</v>
      </c>
      <c r="Y1028" s="374"/>
      <c r="Z1028" s="354">
        <v>0</v>
      </c>
      <c r="AA1028" s="354">
        <v>0</v>
      </c>
      <c r="AB1028" s="374"/>
      <c r="AC1028" s="376">
        <v>0</v>
      </c>
      <c r="AD1028" s="376">
        <v>0</v>
      </c>
      <c r="AE1028" s="376">
        <v>0</v>
      </c>
      <c r="AF1028" s="374"/>
      <c r="AG1028" s="376">
        <v>0</v>
      </c>
      <c r="AH1028" s="376">
        <v>0</v>
      </c>
      <c r="AI1028" s="376">
        <v>0</v>
      </c>
      <c r="AJ1028" s="376">
        <v>0</v>
      </c>
      <c r="AK1028" s="374"/>
      <c r="AL1028" s="376">
        <v>0</v>
      </c>
      <c r="AM1028" s="376">
        <v>0</v>
      </c>
      <c r="AN1028" s="376">
        <v>0</v>
      </c>
      <c r="AO1028" s="374"/>
      <c r="AP1028" s="376">
        <v>0</v>
      </c>
      <c r="AQ1028" s="376">
        <v>0</v>
      </c>
      <c r="AR1028" s="374"/>
      <c r="AS1028" s="376">
        <v>0</v>
      </c>
      <c r="AT1028" s="376">
        <v>0</v>
      </c>
      <c r="AU1028" s="355" t="s">
        <v>396</v>
      </c>
      <c r="AV1028" s="354" t="s">
        <v>397</v>
      </c>
      <c r="AW1028" s="353">
        <v>0</v>
      </c>
      <c r="AX1028" s="353">
        <v>0</v>
      </c>
      <c r="AY1028" s="353">
        <v>0</v>
      </c>
      <c r="AZ1028" s="353">
        <v>0</v>
      </c>
      <c r="BA1028" s="353">
        <v>0</v>
      </c>
      <c r="BB1028" s="353">
        <v>0</v>
      </c>
    </row>
    <row r="1029" spans="1:54" x14ac:dyDescent="0.25">
      <c r="A1029" s="348" t="s">
        <v>1397</v>
      </c>
      <c r="B1029" s="349">
        <v>137</v>
      </c>
      <c r="C1029" s="350" t="s">
        <v>1330</v>
      </c>
      <c r="D1029" s="351">
        <v>45187</v>
      </c>
      <c r="E1029" s="352"/>
      <c r="F1029" s="352">
        <v>6</v>
      </c>
      <c r="G1029" s="350" t="s">
        <v>1208</v>
      </c>
      <c r="H1029" s="350" t="s">
        <v>1164</v>
      </c>
      <c r="I1029" s="350" t="s">
        <v>393</v>
      </c>
      <c r="J1029" s="375">
        <f>105000+105000+105000+75000+60000</f>
        <v>450000</v>
      </c>
      <c r="K1029" s="350" t="s">
        <v>394</v>
      </c>
      <c r="L1029" s="354">
        <v>2802.3999950000002</v>
      </c>
      <c r="M1029" s="375">
        <f t="shared" si="891"/>
        <v>160.57664887342392</v>
      </c>
      <c r="N1029" s="354" t="s">
        <v>395</v>
      </c>
      <c r="O1029" s="354">
        <v>0</v>
      </c>
      <c r="P1029" s="374"/>
      <c r="Q1029" s="354">
        <v>0</v>
      </c>
      <c r="R1029" s="354">
        <v>0</v>
      </c>
      <c r="S1029" s="354">
        <v>0</v>
      </c>
      <c r="T1029" s="354">
        <v>0</v>
      </c>
      <c r="U1029" s="374"/>
      <c r="V1029" s="354">
        <v>0</v>
      </c>
      <c r="W1029" s="354">
        <v>0</v>
      </c>
      <c r="X1029" s="354">
        <v>0</v>
      </c>
      <c r="Y1029" s="374"/>
      <c r="Z1029" s="354">
        <v>0</v>
      </c>
      <c r="AA1029" s="354">
        <v>0</v>
      </c>
      <c r="AB1029" s="374"/>
      <c r="AC1029" s="376">
        <v>0</v>
      </c>
      <c r="AD1029" s="376">
        <v>0</v>
      </c>
      <c r="AE1029" s="376">
        <v>0</v>
      </c>
      <c r="AF1029" s="374"/>
      <c r="AG1029" s="376">
        <v>0</v>
      </c>
      <c r="AH1029" s="376">
        <v>0</v>
      </c>
      <c r="AI1029" s="376">
        <v>0</v>
      </c>
      <c r="AJ1029" s="376">
        <v>0</v>
      </c>
      <c r="AK1029" s="374"/>
      <c r="AL1029" s="376">
        <v>0</v>
      </c>
      <c r="AM1029" s="376">
        <v>0</v>
      </c>
      <c r="AN1029" s="376">
        <v>0</v>
      </c>
      <c r="AO1029" s="374"/>
      <c r="AP1029" s="376">
        <v>0</v>
      </c>
      <c r="AQ1029" s="376">
        <v>0</v>
      </c>
      <c r="AR1029" s="374"/>
      <c r="AS1029" s="376">
        <v>0</v>
      </c>
      <c r="AT1029" s="376">
        <v>0</v>
      </c>
      <c r="AU1029" s="355" t="s">
        <v>396</v>
      </c>
      <c r="AV1029" s="354" t="s">
        <v>397</v>
      </c>
      <c r="AW1029" s="353">
        <v>0</v>
      </c>
      <c r="AX1029" s="353">
        <v>0</v>
      </c>
      <c r="AY1029" s="353">
        <v>0</v>
      </c>
      <c r="AZ1029" s="353">
        <v>0</v>
      </c>
      <c r="BA1029" s="353">
        <v>0</v>
      </c>
      <c r="BB1029" s="353">
        <v>0</v>
      </c>
    </row>
    <row r="1030" spans="1:54" x14ac:dyDescent="0.25">
      <c r="A1030" s="348" t="s">
        <v>1397</v>
      </c>
      <c r="B1030" s="349">
        <v>138</v>
      </c>
      <c r="C1030" s="350" t="s">
        <v>1330</v>
      </c>
      <c r="D1030" s="351">
        <v>45187</v>
      </c>
      <c r="E1030" s="352"/>
      <c r="F1030" s="352">
        <v>6</v>
      </c>
      <c r="G1030" s="350" t="s">
        <v>1208</v>
      </c>
      <c r="H1030" s="350" t="s">
        <v>1164</v>
      </c>
      <c r="I1030" s="350" t="s">
        <v>393</v>
      </c>
      <c r="J1030" s="375">
        <f>105000+105000+105000+105000+30000</f>
        <v>450000</v>
      </c>
      <c r="K1030" s="350" t="s">
        <v>394</v>
      </c>
      <c r="L1030" s="354">
        <v>2802.3999950000002</v>
      </c>
      <c r="M1030" s="375">
        <f t="shared" si="891"/>
        <v>160.57664887342392</v>
      </c>
      <c r="N1030" s="354" t="s">
        <v>395</v>
      </c>
      <c r="O1030" s="354">
        <v>0</v>
      </c>
      <c r="P1030" s="374"/>
      <c r="Q1030" s="354">
        <v>0</v>
      </c>
      <c r="R1030" s="354">
        <v>0</v>
      </c>
      <c r="S1030" s="354">
        <v>0</v>
      </c>
      <c r="T1030" s="354">
        <v>0</v>
      </c>
      <c r="U1030" s="374"/>
      <c r="V1030" s="354">
        <v>0</v>
      </c>
      <c r="W1030" s="354">
        <v>0</v>
      </c>
      <c r="X1030" s="354">
        <v>0</v>
      </c>
      <c r="Y1030" s="374"/>
      <c r="Z1030" s="354">
        <v>0</v>
      </c>
      <c r="AA1030" s="354">
        <v>0</v>
      </c>
      <c r="AB1030" s="374"/>
      <c r="AC1030" s="376">
        <v>0</v>
      </c>
      <c r="AD1030" s="376">
        <v>0</v>
      </c>
      <c r="AE1030" s="376">
        <v>0</v>
      </c>
      <c r="AF1030" s="374"/>
      <c r="AG1030" s="376">
        <v>0</v>
      </c>
      <c r="AH1030" s="376">
        <v>0</v>
      </c>
      <c r="AI1030" s="376">
        <v>0</v>
      </c>
      <c r="AJ1030" s="376">
        <v>0</v>
      </c>
      <c r="AK1030" s="374"/>
      <c r="AL1030" s="376">
        <v>0</v>
      </c>
      <c r="AM1030" s="376">
        <v>0</v>
      </c>
      <c r="AN1030" s="376">
        <v>0</v>
      </c>
      <c r="AO1030" s="374"/>
      <c r="AP1030" s="376">
        <v>0</v>
      </c>
      <c r="AQ1030" s="376">
        <v>0</v>
      </c>
      <c r="AR1030" s="374"/>
      <c r="AS1030" s="376">
        <v>0</v>
      </c>
      <c r="AT1030" s="376">
        <v>0</v>
      </c>
      <c r="AU1030" s="355" t="s">
        <v>396</v>
      </c>
      <c r="AV1030" s="354" t="s">
        <v>397</v>
      </c>
      <c r="AW1030" s="353">
        <v>0</v>
      </c>
      <c r="AX1030" s="353">
        <v>0</v>
      </c>
      <c r="AY1030" s="353">
        <v>0</v>
      </c>
      <c r="AZ1030" s="353">
        <v>0</v>
      </c>
      <c r="BA1030" s="353">
        <v>0</v>
      </c>
      <c r="BB1030" s="353">
        <v>0</v>
      </c>
    </row>
    <row r="1031" spans="1:54" x14ac:dyDescent="0.25">
      <c r="A1031" s="348" t="s">
        <v>1397</v>
      </c>
      <c r="B1031" s="349">
        <v>139</v>
      </c>
      <c r="C1031" s="350" t="s">
        <v>1330</v>
      </c>
      <c r="D1031" s="351">
        <v>45187</v>
      </c>
      <c r="E1031" s="352"/>
      <c r="F1031" s="352">
        <v>6</v>
      </c>
      <c r="G1031" s="350" t="s">
        <v>1208</v>
      </c>
      <c r="H1031" s="350" t="s">
        <v>1164</v>
      </c>
      <c r="I1031" s="350" t="s">
        <v>393</v>
      </c>
      <c r="J1031" s="375">
        <f>105000+105000+105000+105000+30000</f>
        <v>450000</v>
      </c>
      <c r="K1031" s="350" t="s">
        <v>394</v>
      </c>
      <c r="L1031" s="354">
        <v>2802.3999950000002</v>
      </c>
      <c r="M1031" s="375">
        <f t="shared" si="891"/>
        <v>160.57664887342392</v>
      </c>
      <c r="N1031" s="354" t="s">
        <v>395</v>
      </c>
      <c r="O1031" s="354">
        <v>0</v>
      </c>
      <c r="P1031" s="374"/>
      <c r="Q1031" s="354">
        <v>0</v>
      </c>
      <c r="R1031" s="354">
        <v>0</v>
      </c>
      <c r="S1031" s="354">
        <v>0</v>
      </c>
      <c r="T1031" s="354">
        <v>0</v>
      </c>
      <c r="U1031" s="374"/>
      <c r="V1031" s="354">
        <v>0</v>
      </c>
      <c r="W1031" s="354">
        <v>0</v>
      </c>
      <c r="X1031" s="354">
        <v>0</v>
      </c>
      <c r="Y1031" s="374"/>
      <c r="Z1031" s="354">
        <v>0</v>
      </c>
      <c r="AA1031" s="354">
        <v>0</v>
      </c>
      <c r="AB1031" s="374"/>
      <c r="AC1031" s="376">
        <v>0</v>
      </c>
      <c r="AD1031" s="376">
        <v>0</v>
      </c>
      <c r="AE1031" s="376">
        <v>0</v>
      </c>
      <c r="AF1031" s="374"/>
      <c r="AG1031" s="376">
        <v>0</v>
      </c>
      <c r="AH1031" s="376">
        <v>0</v>
      </c>
      <c r="AI1031" s="376">
        <v>0</v>
      </c>
      <c r="AJ1031" s="376">
        <v>0</v>
      </c>
      <c r="AK1031" s="374"/>
      <c r="AL1031" s="376">
        <v>0</v>
      </c>
      <c r="AM1031" s="376">
        <v>0</v>
      </c>
      <c r="AN1031" s="376">
        <v>0</v>
      </c>
      <c r="AO1031" s="374"/>
      <c r="AP1031" s="376">
        <v>0</v>
      </c>
      <c r="AQ1031" s="376">
        <v>0</v>
      </c>
      <c r="AR1031" s="374"/>
      <c r="AS1031" s="376">
        <v>0</v>
      </c>
      <c r="AT1031" s="376">
        <v>0</v>
      </c>
      <c r="AU1031" s="355" t="s">
        <v>396</v>
      </c>
      <c r="AV1031" s="354" t="s">
        <v>397</v>
      </c>
      <c r="AW1031" s="353">
        <v>0</v>
      </c>
      <c r="AX1031" s="353">
        <v>0</v>
      </c>
      <c r="AY1031" s="353">
        <v>0</v>
      </c>
      <c r="AZ1031" s="353">
        <v>0</v>
      </c>
      <c r="BA1031" s="353">
        <v>0</v>
      </c>
      <c r="BB1031" s="353">
        <v>0</v>
      </c>
    </row>
    <row r="1032" spans="1:54" x14ac:dyDescent="0.25">
      <c r="A1032" s="348" t="s">
        <v>1397</v>
      </c>
      <c r="B1032" s="349">
        <v>140</v>
      </c>
      <c r="C1032" s="350" t="s">
        <v>1330</v>
      </c>
      <c r="D1032" s="351">
        <v>45187</v>
      </c>
      <c r="E1032" s="352"/>
      <c r="F1032" s="352">
        <v>6</v>
      </c>
      <c r="G1032" s="350" t="s">
        <v>1208</v>
      </c>
      <c r="H1032" s="350" t="s">
        <v>1164</v>
      </c>
      <c r="I1032" s="350" t="s">
        <v>393</v>
      </c>
      <c r="J1032" s="375">
        <f>105000+105000+105000+105000+30000</f>
        <v>450000</v>
      </c>
      <c r="K1032" s="350" t="s">
        <v>394</v>
      </c>
      <c r="L1032" s="354">
        <v>2802.3999950000002</v>
      </c>
      <c r="M1032" s="375">
        <f t="shared" si="891"/>
        <v>160.57664887342392</v>
      </c>
      <c r="N1032" s="354" t="s">
        <v>395</v>
      </c>
      <c r="O1032" s="354">
        <v>0</v>
      </c>
      <c r="P1032" s="374"/>
      <c r="Q1032" s="354">
        <v>0</v>
      </c>
      <c r="R1032" s="354">
        <v>0</v>
      </c>
      <c r="S1032" s="354">
        <v>0</v>
      </c>
      <c r="T1032" s="354">
        <v>0</v>
      </c>
      <c r="U1032" s="374"/>
      <c r="V1032" s="354">
        <v>0</v>
      </c>
      <c r="W1032" s="354">
        <v>0</v>
      </c>
      <c r="X1032" s="354">
        <v>0</v>
      </c>
      <c r="Y1032" s="374"/>
      <c r="Z1032" s="354">
        <v>0</v>
      </c>
      <c r="AA1032" s="354">
        <v>0</v>
      </c>
      <c r="AB1032" s="374"/>
      <c r="AC1032" s="376">
        <v>0</v>
      </c>
      <c r="AD1032" s="376">
        <v>0</v>
      </c>
      <c r="AE1032" s="376">
        <v>0</v>
      </c>
      <c r="AF1032" s="374"/>
      <c r="AG1032" s="376">
        <v>0</v>
      </c>
      <c r="AH1032" s="376">
        <v>0</v>
      </c>
      <c r="AI1032" s="376">
        <v>0</v>
      </c>
      <c r="AJ1032" s="376">
        <v>0</v>
      </c>
      <c r="AK1032" s="374"/>
      <c r="AL1032" s="376">
        <v>0</v>
      </c>
      <c r="AM1032" s="376">
        <v>0</v>
      </c>
      <c r="AN1032" s="376">
        <v>0</v>
      </c>
      <c r="AO1032" s="374"/>
      <c r="AP1032" s="376">
        <v>0</v>
      </c>
      <c r="AQ1032" s="376">
        <v>0</v>
      </c>
      <c r="AR1032" s="374"/>
      <c r="AS1032" s="376">
        <v>0</v>
      </c>
      <c r="AT1032" s="376">
        <v>0</v>
      </c>
      <c r="AU1032" s="355" t="s">
        <v>396</v>
      </c>
      <c r="AV1032" s="354" t="s">
        <v>397</v>
      </c>
      <c r="AW1032" s="353">
        <v>0</v>
      </c>
      <c r="AX1032" s="353">
        <v>0</v>
      </c>
      <c r="AY1032" s="353">
        <v>0</v>
      </c>
      <c r="AZ1032" s="353">
        <v>0</v>
      </c>
      <c r="BA1032" s="353">
        <v>0</v>
      </c>
      <c r="BB1032" s="353">
        <v>0</v>
      </c>
    </row>
    <row r="1033" spans="1:54" x14ac:dyDescent="0.25">
      <c r="A1033" s="348" t="s">
        <v>1397</v>
      </c>
      <c r="B1033" s="349">
        <v>141</v>
      </c>
      <c r="C1033" s="350" t="s">
        <v>1330</v>
      </c>
      <c r="D1033" s="351">
        <v>45187</v>
      </c>
      <c r="E1033" s="352"/>
      <c r="F1033" s="352">
        <v>6</v>
      </c>
      <c r="G1033" s="350" t="s">
        <v>1208</v>
      </c>
      <c r="H1033" s="350" t="s">
        <v>1398</v>
      </c>
      <c r="I1033" s="350" t="s">
        <v>393</v>
      </c>
      <c r="J1033" s="375">
        <f>352715+74757</f>
        <v>427472</v>
      </c>
      <c r="K1033" s="350" t="s">
        <v>394</v>
      </c>
      <c r="L1033" s="354">
        <v>2802.3999950000002</v>
      </c>
      <c r="M1033" s="375">
        <f t="shared" si="891"/>
        <v>152.53782499382282</v>
      </c>
      <c r="N1033" s="354" t="s">
        <v>395</v>
      </c>
      <c r="O1033" s="354">
        <v>0</v>
      </c>
      <c r="P1033" s="374"/>
      <c r="Q1033" s="354">
        <v>0</v>
      </c>
      <c r="R1033" s="354">
        <v>0</v>
      </c>
      <c r="S1033" s="354">
        <v>0</v>
      </c>
      <c r="T1033" s="354">
        <v>0</v>
      </c>
      <c r="U1033" s="374"/>
      <c r="V1033" s="354">
        <v>0</v>
      </c>
      <c r="W1033" s="354">
        <v>0</v>
      </c>
      <c r="X1033" s="354">
        <v>0</v>
      </c>
      <c r="Y1033" s="374"/>
      <c r="Z1033" s="354">
        <v>0</v>
      </c>
      <c r="AA1033" s="354">
        <v>0</v>
      </c>
      <c r="AB1033" s="374"/>
      <c r="AC1033" s="376">
        <v>0</v>
      </c>
      <c r="AD1033" s="376">
        <v>0</v>
      </c>
      <c r="AE1033" s="376">
        <v>0</v>
      </c>
      <c r="AF1033" s="374"/>
      <c r="AG1033" s="376">
        <v>0</v>
      </c>
      <c r="AH1033" s="376">
        <v>0</v>
      </c>
      <c r="AI1033" s="376">
        <v>0</v>
      </c>
      <c r="AJ1033" s="376">
        <v>0</v>
      </c>
      <c r="AK1033" s="374"/>
      <c r="AL1033" s="376">
        <v>0</v>
      </c>
      <c r="AM1033" s="376">
        <v>0</v>
      </c>
      <c r="AN1033" s="376">
        <v>0</v>
      </c>
      <c r="AO1033" s="374"/>
      <c r="AP1033" s="376">
        <v>0</v>
      </c>
      <c r="AQ1033" s="376">
        <v>0</v>
      </c>
      <c r="AR1033" s="374"/>
      <c r="AS1033" s="376">
        <v>0</v>
      </c>
      <c r="AT1033" s="376">
        <v>0</v>
      </c>
      <c r="AU1033" s="355" t="s">
        <v>396</v>
      </c>
      <c r="AV1033" s="354" t="s">
        <v>397</v>
      </c>
      <c r="AW1033" s="353">
        <v>0</v>
      </c>
      <c r="AX1033" s="353">
        <v>0</v>
      </c>
      <c r="AY1033" s="353">
        <v>0</v>
      </c>
      <c r="AZ1033" s="353">
        <v>0</v>
      </c>
      <c r="BA1033" s="353">
        <v>0</v>
      </c>
      <c r="BB1033" s="353">
        <v>0</v>
      </c>
    </row>
    <row r="1034" spans="1:54" x14ac:dyDescent="0.25">
      <c r="A1034" s="348" t="s">
        <v>1397</v>
      </c>
      <c r="B1034" s="349">
        <v>142</v>
      </c>
      <c r="C1034" s="350" t="s">
        <v>1330</v>
      </c>
      <c r="D1034" s="351">
        <v>45187</v>
      </c>
      <c r="E1034" s="352"/>
      <c r="F1034" s="352">
        <v>6</v>
      </c>
      <c r="G1034" s="350" t="s">
        <v>1208</v>
      </c>
      <c r="H1034" s="350" t="s">
        <v>1399</v>
      </c>
      <c r="I1034" s="350" t="s">
        <v>393</v>
      </c>
      <c r="J1034" s="375">
        <f>240500+68552</f>
        <v>309052</v>
      </c>
      <c r="K1034" s="350" t="s">
        <v>394</v>
      </c>
      <c r="L1034" s="354">
        <v>2802.3999950000002</v>
      </c>
      <c r="M1034" s="375">
        <f t="shared" si="891"/>
        <v>110.28118775028759</v>
      </c>
      <c r="N1034" s="354" t="s">
        <v>395</v>
      </c>
      <c r="O1034" s="354">
        <v>0</v>
      </c>
      <c r="P1034" s="374"/>
      <c r="Q1034" s="354">
        <v>0</v>
      </c>
      <c r="R1034" s="354">
        <v>0</v>
      </c>
      <c r="S1034" s="354">
        <v>0</v>
      </c>
      <c r="T1034" s="354">
        <v>0</v>
      </c>
      <c r="U1034" s="374"/>
      <c r="V1034" s="354">
        <v>0</v>
      </c>
      <c r="W1034" s="354">
        <v>0</v>
      </c>
      <c r="X1034" s="354">
        <v>0</v>
      </c>
      <c r="Y1034" s="374"/>
      <c r="Z1034" s="354">
        <v>0</v>
      </c>
      <c r="AA1034" s="354">
        <v>0</v>
      </c>
      <c r="AB1034" s="374"/>
      <c r="AC1034" s="376">
        <v>0</v>
      </c>
      <c r="AD1034" s="376">
        <v>0</v>
      </c>
      <c r="AE1034" s="376">
        <v>0</v>
      </c>
      <c r="AF1034" s="374"/>
      <c r="AG1034" s="376">
        <v>0</v>
      </c>
      <c r="AH1034" s="376">
        <v>0</v>
      </c>
      <c r="AI1034" s="376">
        <v>0</v>
      </c>
      <c r="AJ1034" s="376">
        <v>0</v>
      </c>
      <c r="AK1034" s="374"/>
      <c r="AL1034" s="376">
        <v>0</v>
      </c>
      <c r="AM1034" s="376">
        <v>0</v>
      </c>
      <c r="AN1034" s="376">
        <v>0</v>
      </c>
      <c r="AO1034" s="374"/>
      <c r="AP1034" s="376">
        <v>0</v>
      </c>
      <c r="AQ1034" s="376">
        <v>0</v>
      </c>
      <c r="AR1034" s="374"/>
      <c r="AS1034" s="376">
        <v>0</v>
      </c>
      <c r="AT1034" s="376">
        <v>0</v>
      </c>
      <c r="AU1034" s="355" t="s">
        <v>396</v>
      </c>
      <c r="AV1034" s="354" t="s">
        <v>397</v>
      </c>
      <c r="AW1034" s="353">
        <v>0</v>
      </c>
      <c r="AX1034" s="353">
        <v>0</v>
      </c>
      <c r="AY1034" s="353">
        <v>0</v>
      </c>
      <c r="AZ1034" s="353">
        <v>0</v>
      </c>
      <c r="BA1034" s="353">
        <v>0</v>
      </c>
      <c r="BB1034" s="353">
        <v>0</v>
      </c>
    </row>
    <row r="1035" spans="1:54" x14ac:dyDescent="0.25">
      <c r="A1035" s="348" t="s">
        <v>1397</v>
      </c>
      <c r="B1035" s="349">
        <v>143</v>
      </c>
      <c r="C1035" s="350" t="s">
        <v>1330</v>
      </c>
      <c r="D1035" s="351">
        <v>45187</v>
      </c>
      <c r="E1035" s="352"/>
      <c r="F1035" s="352">
        <v>6</v>
      </c>
      <c r="G1035" s="350" t="s">
        <v>1208</v>
      </c>
      <c r="H1035" s="350" t="s">
        <v>1400</v>
      </c>
      <c r="I1035" s="350" t="s">
        <v>393</v>
      </c>
      <c r="J1035" s="375">
        <f>240000+85500</f>
        <v>325500</v>
      </c>
      <c r="K1035" s="350" t="s">
        <v>394</v>
      </c>
      <c r="L1035" s="354">
        <v>2802.3999950000002</v>
      </c>
      <c r="M1035" s="375">
        <f t="shared" si="891"/>
        <v>116.15044268510998</v>
      </c>
      <c r="N1035" s="354" t="s">
        <v>395</v>
      </c>
      <c r="O1035" s="354">
        <v>0</v>
      </c>
      <c r="P1035" s="374"/>
      <c r="Q1035" s="354">
        <v>0</v>
      </c>
      <c r="R1035" s="354">
        <v>0</v>
      </c>
      <c r="S1035" s="354">
        <v>0</v>
      </c>
      <c r="T1035" s="354">
        <v>0</v>
      </c>
      <c r="U1035" s="374"/>
      <c r="V1035" s="354">
        <v>0</v>
      </c>
      <c r="W1035" s="354">
        <v>0</v>
      </c>
      <c r="X1035" s="354">
        <v>0</v>
      </c>
      <c r="Y1035" s="374"/>
      <c r="Z1035" s="354">
        <v>0</v>
      </c>
      <c r="AA1035" s="354">
        <v>0</v>
      </c>
      <c r="AB1035" s="374"/>
      <c r="AC1035" s="376">
        <v>0</v>
      </c>
      <c r="AD1035" s="376">
        <v>0</v>
      </c>
      <c r="AE1035" s="376">
        <v>0</v>
      </c>
      <c r="AF1035" s="374"/>
      <c r="AG1035" s="376">
        <v>0</v>
      </c>
      <c r="AH1035" s="376">
        <v>0</v>
      </c>
      <c r="AI1035" s="376">
        <v>0</v>
      </c>
      <c r="AJ1035" s="376">
        <v>0</v>
      </c>
      <c r="AK1035" s="374"/>
      <c r="AL1035" s="376">
        <v>0</v>
      </c>
      <c r="AM1035" s="376">
        <v>0</v>
      </c>
      <c r="AN1035" s="376">
        <v>0</v>
      </c>
      <c r="AO1035" s="374"/>
      <c r="AP1035" s="376">
        <v>0</v>
      </c>
      <c r="AQ1035" s="376">
        <v>0</v>
      </c>
      <c r="AR1035" s="374"/>
      <c r="AS1035" s="376">
        <v>0</v>
      </c>
      <c r="AT1035" s="376">
        <v>0</v>
      </c>
      <c r="AU1035" s="355" t="s">
        <v>396</v>
      </c>
      <c r="AV1035" s="354" t="s">
        <v>397</v>
      </c>
      <c r="AW1035" s="353">
        <v>0</v>
      </c>
      <c r="AX1035" s="353">
        <v>0</v>
      </c>
      <c r="AY1035" s="353">
        <v>0</v>
      </c>
      <c r="AZ1035" s="353">
        <v>0</v>
      </c>
      <c r="BA1035" s="353">
        <v>0</v>
      </c>
      <c r="BB1035" s="353">
        <v>0</v>
      </c>
    </row>
    <row r="1036" spans="1:54" x14ac:dyDescent="0.25">
      <c r="A1036" s="348" t="s">
        <v>1397</v>
      </c>
      <c r="B1036" s="349">
        <v>144</v>
      </c>
      <c r="C1036" s="350" t="s">
        <v>1330</v>
      </c>
      <c r="D1036" s="351">
        <v>45187</v>
      </c>
      <c r="E1036" s="352"/>
      <c r="F1036" s="352">
        <v>6</v>
      </c>
      <c r="G1036" s="350" t="s">
        <v>1208</v>
      </c>
      <c r="H1036" s="350" t="s">
        <v>1401</v>
      </c>
      <c r="I1036" s="350" t="s">
        <v>393</v>
      </c>
      <c r="J1036" s="375">
        <f>346000+190485</f>
        <v>536485</v>
      </c>
      <c r="K1036" s="350" t="s">
        <v>394</v>
      </c>
      <c r="L1036" s="354">
        <v>2802.3999950000002</v>
      </c>
      <c r="M1036" s="375">
        <f t="shared" si="891"/>
        <v>191.43769660190853</v>
      </c>
      <c r="N1036" s="354" t="s">
        <v>395</v>
      </c>
      <c r="O1036" s="354">
        <v>0</v>
      </c>
      <c r="P1036" s="374"/>
      <c r="Q1036" s="354">
        <v>0</v>
      </c>
      <c r="R1036" s="354">
        <v>0</v>
      </c>
      <c r="S1036" s="354">
        <v>0</v>
      </c>
      <c r="T1036" s="354">
        <v>0</v>
      </c>
      <c r="U1036" s="374"/>
      <c r="V1036" s="354">
        <v>0</v>
      </c>
      <c r="W1036" s="354">
        <v>0</v>
      </c>
      <c r="X1036" s="354">
        <v>0</v>
      </c>
      <c r="Y1036" s="374"/>
      <c r="Z1036" s="354">
        <v>0</v>
      </c>
      <c r="AA1036" s="354">
        <v>0</v>
      </c>
      <c r="AB1036" s="374"/>
      <c r="AC1036" s="376">
        <v>0</v>
      </c>
      <c r="AD1036" s="376">
        <v>0</v>
      </c>
      <c r="AE1036" s="376">
        <v>0</v>
      </c>
      <c r="AF1036" s="374"/>
      <c r="AG1036" s="376">
        <v>0</v>
      </c>
      <c r="AH1036" s="376">
        <v>0</v>
      </c>
      <c r="AI1036" s="376">
        <v>0</v>
      </c>
      <c r="AJ1036" s="376">
        <v>0</v>
      </c>
      <c r="AK1036" s="374"/>
      <c r="AL1036" s="376">
        <v>0</v>
      </c>
      <c r="AM1036" s="376">
        <v>0</v>
      </c>
      <c r="AN1036" s="376">
        <v>0</v>
      </c>
      <c r="AO1036" s="374"/>
      <c r="AP1036" s="376">
        <v>0</v>
      </c>
      <c r="AQ1036" s="376">
        <v>0</v>
      </c>
      <c r="AR1036" s="374"/>
      <c r="AS1036" s="376">
        <v>0</v>
      </c>
      <c r="AT1036" s="376">
        <v>0</v>
      </c>
      <c r="AU1036" s="355" t="s">
        <v>396</v>
      </c>
      <c r="AV1036" s="354" t="s">
        <v>397</v>
      </c>
      <c r="AW1036" s="353">
        <v>0</v>
      </c>
      <c r="AX1036" s="353">
        <v>0</v>
      </c>
      <c r="AY1036" s="353">
        <v>0</v>
      </c>
      <c r="AZ1036" s="353">
        <v>0</v>
      </c>
      <c r="BA1036" s="353">
        <v>0</v>
      </c>
      <c r="BB1036" s="353">
        <v>0</v>
      </c>
    </row>
    <row r="1037" spans="1:54" x14ac:dyDescent="0.25">
      <c r="A1037" s="348" t="s">
        <v>1402</v>
      </c>
      <c r="B1037" s="349">
        <v>145</v>
      </c>
      <c r="C1037" s="350" t="s">
        <v>1330</v>
      </c>
      <c r="D1037" s="351">
        <v>45196</v>
      </c>
      <c r="E1037" s="352"/>
      <c r="F1037" s="352">
        <v>6</v>
      </c>
      <c r="G1037" s="350" t="s">
        <v>1208</v>
      </c>
      <c r="H1037" s="350" t="s">
        <v>351</v>
      </c>
      <c r="I1037" s="350" t="s">
        <v>393</v>
      </c>
      <c r="J1037" s="375">
        <v>2160000</v>
      </c>
      <c r="K1037" s="350" t="s">
        <v>394</v>
      </c>
      <c r="L1037" s="354">
        <v>2802.3999950000002</v>
      </c>
      <c r="M1037" s="375">
        <f t="shared" si="891"/>
        <v>770.76791459243486</v>
      </c>
      <c r="N1037" s="354" t="s">
        <v>395</v>
      </c>
      <c r="O1037" s="354">
        <v>0</v>
      </c>
      <c r="P1037" s="374"/>
      <c r="Q1037" s="354">
        <v>0</v>
      </c>
      <c r="R1037" s="354">
        <v>0</v>
      </c>
      <c r="S1037" s="354">
        <v>0</v>
      </c>
      <c r="T1037" s="354">
        <v>0</v>
      </c>
      <c r="U1037" s="374"/>
      <c r="V1037" s="354">
        <v>0</v>
      </c>
      <c r="W1037" s="354">
        <v>0</v>
      </c>
      <c r="X1037" s="354">
        <v>0</v>
      </c>
      <c r="Y1037" s="374"/>
      <c r="Z1037" s="354">
        <v>0</v>
      </c>
      <c r="AA1037" s="354">
        <v>0</v>
      </c>
      <c r="AB1037" s="374"/>
      <c r="AC1037" s="376">
        <v>0</v>
      </c>
      <c r="AD1037" s="376">
        <v>0</v>
      </c>
      <c r="AE1037" s="376">
        <v>0</v>
      </c>
      <c r="AF1037" s="374"/>
      <c r="AG1037" s="376">
        <v>0</v>
      </c>
      <c r="AH1037" s="376">
        <v>0</v>
      </c>
      <c r="AI1037" s="376">
        <v>0</v>
      </c>
      <c r="AJ1037" s="376">
        <v>0</v>
      </c>
      <c r="AK1037" s="374"/>
      <c r="AL1037" s="376">
        <v>0</v>
      </c>
      <c r="AM1037" s="376">
        <v>0</v>
      </c>
      <c r="AN1037" s="376">
        <v>0</v>
      </c>
      <c r="AO1037" s="374"/>
      <c r="AP1037" s="376">
        <v>0</v>
      </c>
      <c r="AQ1037" s="376">
        <v>0</v>
      </c>
      <c r="AR1037" s="374"/>
      <c r="AS1037" s="376">
        <v>0</v>
      </c>
      <c r="AT1037" s="376">
        <v>0</v>
      </c>
      <c r="AU1037" s="355" t="s">
        <v>396</v>
      </c>
      <c r="AV1037" s="354" t="s">
        <v>397</v>
      </c>
      <c r="AW1037" s="353">
        <v>0</v>
      </c>
      <c r="AX1037" s="353">
        <v>0</v>
      </c>
      <c r="AY1037" s="353">
        <v>0</v>
      </c>
      <c r="AZ1037" s="353">
        <v>0</v>
      </c>
      <c r="BA1037" s="353">
        <v>0</v>
      </c>
      <c r="BB1037" s="353">
        <v>0</v>
      </c>
    </row>
    <row r="1038" spans="1:54" x14ac:dyDescent="0.25">
      <c r="A1038" s="348" t="s">
        <v>1403</v>
      </c>
      <c r="B1038" s="349">
        <v>146</v>
      </c>
      <c r="C1038" s="350" t="s">
        <v>1330</v>
      </c>
      <c r="D1038" s="351">
        <v>45202</v>
      </c>
      <c r="E1038" s="352"/>
      <c r="F1038" s="352">
        <v>6</v>
      </c>
      <c r="G1038" s="350" t="s">
        <v>1208</v>
      </c>
      <c r="H1038" s="350" t="s">
        <v>1368</v>
      </c>
      <c r="I1038" s="350" t="s">
        <v>393</v>
      </c>
      <c r="J1038" s="375">
        <v>252000</v>
      </c>
      <c r="K1038" s="350" t="s">
        <v>394</v>
      </c>
      <c r="L1038" s="354">
        <v>2802.3999950000002</v>
      </c>
      <c r="M1038" s="375">
        <f t="shared" si="891"/>
        <v>89.922923369117399</v>
      </c>
      <c r="N1038" s="354" t="s">
        <v>395</v>
      </c>
      <c r="O1038" s="354">
        <v>0</v>
      </c>
      <c r="P1038" s="374"/>
      <c r="Q1038" s="354">
        <v>0</v>
      </c>
      <c r="R1038" s="354">
        <v>0</v>
      </c>
      <c r="S1038" s="354">
        <v>0</v>
      </c>
      <c r="T1038" s="354">
        <v>0</v>
      </c>
      <c r="U1038" s="374"/>
      <c r="V1038" s="354">
        <v>0</v>
      </c>
      <c r="W1038" s="354">
        <v>0</v>
      </c>
      <c r="X1038" s="354">
        <v>0</v>
      </c>
      <c r="Y1038" s="374"/>
      <c r="Z1038" s="354">
        <v>0</v>
      </c>
      <c r="AA1038" s="354">
        <v>0</v>
      </c>
      <c r="AB1038" s="374"/>
      <c r="AC1038" s="376">
        <v>0</v>
      </c>
      <c r="AD1038" s="376">
        <v>0</v>
      </c>
      <c r="AE1038" s="376">
        <v>0</v>
      </c>
      <c r="AF1038" s="374"/>
      <c r="AG1038" s="376">
        <v>0</v>
      </c>
      <c r="AH1038" s="376">
        <v>0</v>
      </c>
      <c r="AI1038" s="376">
        <v>0</v>
      </c>
      <c r="AJ1038" s="376">
        <v>0</v>
      </c>
      <c r="AK1038" s="374"/>
      <c r="AL1038" s="376">
        <v>0</v>
      </c>
      <c r="AM1038" s="376">
        <v>0</v>
      </c>
      <c r="AN1038" s="376">
        <v>0</v>
      </c>
      <c r="AO1038" s="374"/>
      <c r="AP1038" s="376">
        <v>0</v>
      </c>
      <c r="AQ1038" s="376">
        <v>0</v>
      </c>
      <c r="AR1038" s="374"/>
      <c r="AS1038" s="376">
        <v>0</v>
      </c>
      <c r="AT1038" s="376">
        <v>0</v>
      </c>
      <c r="AU1038" s="355" t="s">
        <v>396</v>
      </c>
      <c r="AV1038" s="354" t="s">
        <v>397</v>
      </c>
      <c r="AW1038" s="353">
        <v>0</v>
      </c>
      <c r="AX1038" s="353">
        <v>0</v>
      </c>
      <c r="AY1038" s="353">
        <v>0</v>
      </c>
      <c r="AZ1038" s="353">
        <v>0</v>
      </c>
      <c r="BA1038" s="353">
        <v>0</v>
      </c>
      <c r="BB1038" s="353">
        <v>0</v>
      </c>
    </row>
    <row r="1039" spans="1:54" x14ac:dyDescent="0.25">
      <c r="A1039" s="348" t="s">
        <v>1403</v>
      </c>
      <c r="B1039" s="349">
        <v>146</v>
      </c>
      <c r="C1039" s="350" t="s">
        <v>1330</v>
      </c>
      <c r="D1039" s="351">
        <v>45202</v>
      </c>
      <c r="E1039" s="352"/>
      <c r="F1039" s="352">
        <v>6</v>
      </c>
      <c r="G1039" s="350" t="s">
        <v>1208</v>
      </c>
      <c r="H1039" s="350" t="s">
        <v>1225</v>
      </c>
      <c r="I1039" s="350" t="s">
        <v>393</v>
      </c>
      <c r="J1039" s="375">
        <v>125000</v>
      </c>
      <c r="K1039" s="350" t="s">
        <v>394</v>
      </c>
      <c r="L1039" s="354">
        <v>2802.3999950000002</v>
      </c>
      <c r="M1039" s="375">
        <f t="shared" si="891"/>
        <v>44.604624687062199</v>
      </c>
      <c r="N1039" s="354" t="s">
        <v>395</v>
      </c>
      <c r="O1039" s="354">
        <v>0</v>
      </c>
      <c r="P1039" s="374"/>
      <c r="Q1039" s="354">
        <v>0</v>
      </c>
      <c r="R1039" s="354">
        <v>0</v>
      </c>
      <c r="S1039" s="354">
        <v>0</v>
      </c>
      <c r="T1039" s="354">
        <v>0</v>
      </c>
      <c r="U1039" s="374"/>
      <c r="V1039" s="354">
        <v>0</v>
      </c>
      <c r="W1039" s="354">
        <v>0</v>
      </c>
      <c r="X1039" s="354">
        <v>0</v>
      </c>
      <c r="Y1039" s="374"/>
      <c r="Z1039" s="354">
        <v>0</v>
      </c>
      <c r="AA1039" s="354">
        <v>0</v>
      </c>
      <c r="AB1039" s="374"/>
      <c r="AC1039" s="376">
        <v>0</v>
      </c>
      <c r="AD1039" s="376">
        <v>0</v>
      </c>
      <c r="AE1039" s="376">
        <v>0</v>
      </c>
      <c r="AF1039" s="374"/>
      <c r="AG1039" s="376">
        <v>0</v>
      </c>
      <c r="AH1039" s="376">
        <v>0</v>
      </c>
      <c r="AI1039" s="376">
        <v>0</v>
      </c>
      <c r="AJ1039" s="376">
        <v>0</v>
      </c>
      <c r="AK1039" s="374"/>
      <c r="AL1039" s="376">
        <v>0</v>
      </c>
      <c r="AM1039" s="376">
        <v>0</v>
      </c>
      <c r="AN1039" s="376">
        <v>0</v>
      </c>
      <c r="AO1039" s="374"/>
      <c r="AP1039" s="376">
        <v>0</v>
      </c>
      <c r="AQ1039" s="376">
        <v>0</v>
      </c>
      <c r="AR1039" s="374"/>
      <c r="AS1039" s="376">
        <v>0</v>
      </c>
      <c r="AT1039" s="376">
        <v>0</v>
      </c>
      <c r="AU1039" s="355" t="s">
        <v>396</v>
      </c>
      <c r="AV1039" s="354" t="s">
        <v>397</v>
      </c>
      <c r="AW1039" s="353">
        <v>0</v>
      </c>
      <c r="AX1039" s="353">
        <v>0</v>
      </c>
      <c r="AY1039" s="353">
        <v>0</v>
      </c>
      <c r="AZ1039" s="353">
        <v>0</v>
      </c>
      <c r="BA1039" s="353">
        <v>0</v>
      </c>
      <c r="BB1039" s="353">
        <v>0</v>
      </c>
    </row>
    <row r="1040" spans="1:54" x14ac:dyDescent="0.25">
      <c r="A1040" s="348" t="s">
        <v>1403</v>
      </c>
      <c r="B1040" s="349">
        <v>146</v>
      </c>
      <c r="C1040" s="350" t="s">
        <v>1330</v>
      </c>
      <c r="D1040" s="351">
        <v>45202</v>
      </c>
      <c r="E1040" s="352"/>
      <c r="F1040" s="352">
        <v>6</v>
      </c>
      <c r="G1040" s="350" t="s">
        <v>1208</v>
      </c>
      <c r="H1040" s="350" t="s">
        <v>1227</v>
      </c>
      <c r="I1040" s="350" t="s">
        <v>393</v>
      </c>
      <c r="J1040" s="375">
        <v>24500</v>
      </c>
      <c r="K1040" s="350" t="s">
        <v>394</v>
      </c>
      <c r="L1040" s="354">
        <v>2802.3999950000002</v>
      </c>
      <c r="M1040" s="375">
        <f t="shared" si="891"/>
        <v>8.7425064386641917</v>
      </c>
      <c r="N1040" s="354" t="s">
        <v>395</v>
      </c>
      <c r="O1040" s="354">
        <v>0</v>
      </c>
      <c r="P1040" s="374"/>
      <c r="Q1040" s="354">
        <v>0</v>
      </c>
      <c r="R1040" s="354">
        <v>0</v>
      </c>
      <c r="S1040" s="354">
        <v>0</v>
      </c>
      <c r="T1040" s="354">
        <v>0</v>
      </c>
      <c r="U1040" s="374"/>
      <c r="V1040" s="354">
        <v>0</v>
      </c>
      <c r="W1040" s="354">
        <v>0</v>
      </c>
      <c r="X1040" s="354">
        <v>0</v>
      </c>
      <c r="Y1040" s="374"/>
      <c r="Z1040" s="354">
        <v>0</v>
      </c>
      <c r="AA1040" s="354">
        <v>0</v>
      </c>
      <c r="AB1040" s="374"/>
      <c r="AC1040" s="376">
        <v>0</v>
      </c>
      <c r="AD1040" s="376">
        <v>0</v>
      </c>
      <c r="AE1040" s="376">
        <v>0</v>
      </c>
      <c r="AF1040" s="374"/>
      <c r="AG1040" s="376">
        <v>0</v>
      </c>
      <c r="AH1040" s="376">
        <v>0</v>
      </c>
      <c r="AI1040" s="376">
        <v>0</v>
      </c>
      <c r="AJ1040" s="376">
        <v>0</v>
      </c>
      <c r="AK1040" s="374"/>
      <c r="AL1040" s="376">
        <v>0</v>
      </c>
      <c r="AM1040" s="376">
        <v>0</v>
      </c>
      <c r="AN1040" s="376">
        <v>0</v>
      </c>
      <c r="AO1040" s="374"/>
      <c r="AP1040" s="376">
        <v>0</v>
      </c>
      <c r="AQ1040" s="376">
        <v>0</v>
      </c>
      <c r="AR1040" s="374"/>
      <c r="AS1040" s="376">
        <v>0</v>
      </c>
      <c r="AT1040" s="376">
        <v>0</v>
      </c>
      <c r="AU1040" s="355" t="s">
        <v>396</v>
      </c>
      <c r="AV1040" s="354" t="s">
        <v>397</v>
      </c>
      <c r="AW1040" s="353">
        <v>0</v>
      </c>
      <c r="AX1040" s="353">
        <v>0</v>
      </c>
      <c r="AY1040" s="353">
        <v>0</v>
      </c>
      <c r="AZ1040" s="353">
        <v>0</v>
      </c>
      <c r="BA1040" s="353">
        <v>0</v>
      </c>
      <c r="BB1040" s="353">
        <v>0</v>
      </c>
    </row>
    <row r="1041" spans="1:54" x14ac:dyDescent="0.25">
      <c r="A1041" s="348" t="s">
        <v>1403</v>
      </c>
      <c r="B1041" s="349">
        <v>146</v>
      </c>
      <c r="C1041" s="350" t="s">
        <v>1330</v>
      </c>
      <c r="D1041" s="351">
        <v>45202</v>
      </c>
      <c r="E1041" s="352"/>
      <c r="F1041" s="352">
        <v>6</v>
      </c>
      <c r="G1041" s="350" t="s">
        <v>1208</v>
      </c>
      <c r="H1041" s="350" t="s">
        <v>1226</v>
      </c>
      <c r="I1041" s="350" t="s">
        <v>393</v>
      </c>
      <c r="J1041" s="375">
        <v>35000</v>
      </c>
      <c r="K1041" s="350" t="s">
        <v>394</v>
      </c>
      <c r="L1041" s="354">
        <v>2802.3999950000002</v>
      </c>
      <c r="M1041" s="375">
        <f t="shared" si="891"/>
        <v>12.489294912377417</v>
      </c>
      <c r="N1041" s="354" t="s">
        <v>395</v>
      </c>
      <c r="O1041" s="354">
        <v>0</v>
      </c>
      <c r="P1041" s="374"/>
      <c r="Q1041" s="354">
        <v>0</v>
      </c>
      <c r="R1041" s="354">
        <v>0</v>
      </c>
      <c r="S1041" s="354">
        <v>0</v>
      </c>
      <c r="T1041" s="354">
        <v>0</v>
      </c>
      <c r="U1041" s="374"/>
      <c r="V1041" s="354">
        <v>0</v>
      </c>
      <c r="W1041" s="354">
        <v>0</v>
      </c>
      <c r="X1041" s="354">
        <v>0</v>
      </c>
      <c r="Y1041" s="374"/>
      <c r="Z1041" s="354">
        <v>0</v>
      </c>
      <c r="AA1041" s="354">
        <v>0</v>
      </c>
      <c r="AB1041" s="374"/>
      <c r="AC1041" s="376">
        <v>0</v>
      </c>
      <c r="AD1041" s="376">
        <v>0</v>
      </c>
      <c r="AE1041" s="376">
        <v>0</v>
      </c>
      <c r="AF1041" s="374"/>
      <c r="AG1041" s="376">
        <v>0</v>
      </c>
      <c r="AH1041" s="376">
        <v>0</v>
      </c>
      <c r="AI1041" s="376">
        <v>0</v>
      </c>
      <c r="AJ1041" s="376">
        <v>0</v>
      </c>
      <c r="AK1041" s="374"/>
      <c r="AL1041" s="376">
        <v>0</v>
      </c>
      <c r="AM1041" s="376">
        <v>0</v>
      </c>
      <c r="AN1041" s="376">
        <v>0</v>
      </c>
      <c r="AO1041" s="374"/>
      <c r="AP1041" s="376">
        <v>0</v>
      </c>
      <c r="AQ1041" s="376">
        <v>0</v>
      </c>
      <c r="AR1041" s="374"/>
      <c r="AS1041" s="376">
        <v>0</v>
      </c>
      <c r="AT1041" s="376">
        <v>0</v>
      </c>
      <c r="AU1041" s="355" t="s">
        <v>396</v>
      </c>
      <c r="AV1041" s="354" t="s">
        <v>397</v>
      </c>
      <c r="AW1041" s="353">
        <v>0</v>
      </c>
      <c r="AX1041" s="353">
        <v>0</v>
      </c>
      <c r="AY1041" s="353">
        <v>0</v>
      </c>
      <c r="AZ1041" s="353">
        <v>0</v>
      </c>
      <c r="BA1041" s="353">
        <v>0</v>
      </c>
      <c r="BB1041" s="353">
        <v>0</v>
      </c>
    </row>
    <row r="1042" spans="1:54" x14ac:dyDescent="0.25">
      <c r="A1042" s="348" t="s">
        <v>1403</v>
      </c>
      <c r="B1042" s="349">
        <v>146</v>
      </c>
      <c r="C1042" s="350" t="s">
        <v>1330</v>
      </c>
      <c r="D1042" s="351">
        <v>45202</v>
      </c>
      <c r="E1042" s="352"/>
      <c r="F1042" s="352">
        <v>6</v>
      </c>
      <c r="G1042" s="350" t="s">
        <v>1208</v>
      </c>
      <c r="H1042" s="350" t="s">
        <v>1369</v>
      </c>
      <c r="I1042" s="350" t="s">
        <v>393</v>
      </c>
      <c r="J1042" s="375">
        <v>77000</v>
      </c>
      <c r="K1042" s="350" t="s">
        <v>394</v>
      </c>
      <c r="L1042" s="354">
        <v>2802.3999950000002</v>
      </c>
      <c r="M1042" s="375">
        <f t="shared" si="891"/>
        <v>27.476448807230316</v>
      </c>
      <c r="N1042" s="354" t="s">
        <v>395</v>
      </c>
      <c r="O1042" s="354">
        <v>0</v>
      </c>
      <c r="P1042" s="374"/>
      <c r="Q1042" s="354">
        <v>0</v>
      </c>
      <c r="R1042" s="354">
        <v>0</v>
      </c>
      <c r="S1042" s="354">
        <v>0</v>
      </c>
      <c r="T1042" s="354">
        <v>0</v>
      </c>
      <c r="U1042" s="374"/>
      <c r="V1042" s="354">
        <v>0</v>
      </c>
      <c r="W1042" s="354">
        <v>0</v>
      </c>
      <c r="X1042" s="354">
        <v>0</v>
      </c>
      <c r="Y1042" s="374"/>
      <c r="Z1042" s="354">
        <v>0</v>
      </c>
      <c r="AA1042" s="354">
        <v>0</v>
      </c>
      <c r="AB1042" s="374"/>
      <c r="AC1042" s="376">
        <v>0</v>
      </c>
      <c r="AD1042" s="376">
        <v>0</v>
      </c>
      <c r="AE1042" s="376">
        <v>0</v>
      </c>
      <c r="AF1042" s="374"/>
      <c r="AG1042" s="376">
        <v>0</v>
      </c>
      <c r="AH1042" s="376">
        <v>0</v>
      </c>
      <c r="AI1042" s="376">
        <v>0</v>
      </c>
      <c r="AJ1042" s="376">
        <v>0</v>
      </c>
      <c r="AK1042" s="374"/>
      <c r="AL1042" s="376">
        <v>0</v>
      </c>
      <c r="AM1042" s="376">
        <v>0</v>
      </c>
      <c r="AN1042" s="376">
        <v>0</v>
      </c>
      <c r="AO1042" s="374"/>
      <c r="AP1042" s="376">
        <v>0</v>
      </c>
      <c r="AQ1042" s="376">
        <v>0</v>
      </c>
      <c r="AR1042" s="374"/>
      <c r="AS1042" s="376">
        <v>0</v>
      </c>
      <c r="AT1042" s="376">
        <v>0</v>
      </c>
      <c r="AU1042" s="355" t="s">
        <v>396</v>
      </c>
      <c r="AV1042" s="354" t="s">
        <v>397</v>
      </c>
      <c r="AW1042" s="353">
        <v>0</v>
      </c>
      <c r="AX1042" s="353">
        <v>0</v>
      </c>
      <c r="AY1042" s="353">
        <v>0</v>
      </c>
      <c r="AZ1042" s="353">
        <v>0</v>
      </c>
      <c r="BA1042" s="353">
        <v>0</v>
      </c>
      <c r="BB1042" s="353">
        <v>0</v>
      </c>
    </row>
    <row r="1043" spans="1:54" x14ac:dyDescent="0.25">
      <c r="A1043" s="348" t="s">
        <v>1403</v>
      </c>
      <c r="B1043" s="349">
        <v>146</v>
      </c>
      <c r="C1043" s="350" t="s">
        <v>1330</v>
      </c>
      <c r="D1043" s="351">
        <v>45202</v>
      </c>
      <c r="E1043" s="352"/>
      <c r="F1043" s="352">
        <v>6</v>
      </c>
      <c r="G1043" s="350" t="s">
        <v>1208</v>
      </c>
      <c r="H1043" s="350" t="s">
        <v>1229</v>
      </c>
      <c r="I1043" s="350" t="s">
        <v>393</v>
      </c>
      <c r="J1043" s="375">
        <v>22000</v>
      </c>
      <c r="K1043" s="350" t="s">
        <v>394</v>
      </c>
      <c r="L1043" s="354">
        <v>2802.3999950000002</v>
      </c>
      <c r="M1043" s="375">
        <f t="shared" si="891"/>
        <v>7.8504139449229475</v>
      </c>
      <c r="N1043" s="354" t="s">
        <v>395</v>
      </c>
      <c r="O1043" s="354">
        <v>0</v>
      </c>
      <c r="P1043" s="374"/>
      <c r="Q1043" s="354">
        <v>0</v>
      </c>
      <c r="R1043" s="354">
        <v>0</v>
      </c>
      <c r="S1043" s="354">
        <v>0</v>
      </c>
      <c r="T1043" s="354">
        <v>0</v>
      </c>
      <c r="U1043" s="374"/>
      <c r="V1043" s="354">
        <v>0</v>
      </c>
      <c r="W1043" s="354">
        <v>0</v>
      </c>
      <c r="X1043" s="354">
        <v>0</v>
      </c>
      <c r="Y1043" s="374"/>
      <c r="Z1043" s="354">
        <v>0</v>
      </c>
      <c r="AA1043" s="354">
        <v>0</v>
      </c>
      <c r="AB1043" s="374"/>
      <c r="AC1043" s="376">
        <v>0</v>
      </c>
      <c r="AD1043" s="376">
        <v>0</v>
      </c>
      <c r="AE1043" s="376">
        <v>0</v>
      </c>
      <c r="AF1043" s="374"/>
      <c r="AG1043" s="376">
        <v>0</v>
      </c>
      <c r="AH1043" s="376">
        <v>0</v>
      </c>
      <c r="AI1043" s="376">
        <v>0</v>
      </c>
      <c r="AJ1043" s="376">
        <v>0</v>
      </c>
      <c r="AK1043" s="374"/>
      <c r="AL1043" s="376">
        <v>0</v>
      </c>
      <c r="AM1043" s="376">
        <v>0</v>
      </c>
      <c r="AN1043" s="376">
        <v>0</v>
      </c>
      <c r="AO1043" s="374"/>
      <c r="AP1043" s="376">
        <v>0</v>
      </c>
      <c r="AQ1043" s="376">
        <v>0</v>
      </c>
      <c r="AR1043" s="374"/>
      <c r="AS1043" s="376">
        <v>0</v>
      </c>
      <c r="AT1043" s="376">
        <v>0</v>
      </c>
      <c r="AU1043" s="355" t="s">
        <v>396</v>
      </c>
      <c r="AV1043" s="354" t="s">
        <v>397</v>
      </c>
      <c r="AW1043" s="353">
        <v>0</v>
      </c>
      <c r="AX1043" s="353">
        <v>0</v>
      </c>
      <c r="AY1043" s="353">
        <v>0</v>
      </c>
      <c r="AZ1043" s="353">
        <v>0</v>
      </c>
      <c r="BA1043" s="353">
        <v>0</v>
      </c>
      <c r="BB1043" s="353">
        <v>0</v>
      </c>
    </row>
    <row r="1044" spans="1:54" x14ac:dyDescent="0.25">
      <c r="A1044" s="348" t="s">
        <v>1404</v>
      </c>
      <c r="B1044" s="349">
        <v>147</v>
      </c>
      <c r="C1044" s="350" t="s">
        <v>1330</v>
      </c>
      <c r="D1044" s="351">
        <v>45202</v>
      </c>
      <c r="E1044" s="352"/>
      <c r="F1044" s="352">
        <v>6</v>
      </c>
      <c r="G1044" s="350" t="s">
        <v>1208</v>
      </c>
      <c r="H1044" s="350" t="s">
        <v>1388</v>
      </c>
      <c r="I1044" s="350" t="s">
        <v>393</v>
      </c>
      <c r="J1044" s="375">
        <v>5400000</v>
      </c>
      <c r="K1044" s="350" t="s">
        <v>394</v>
      </c>
      <c r="L1044" s="354">
        <v>2802.3999950000002</v>
      </c>
      <c r="M1044" s="375">
        <f t="shared" si="891"/>
        <v>1926.9197864810872</v>
      </c>
      <c r="N1044" s="354" t="s">
        <v>395</v>
      </c>
      <c r="O1044" s="354">
        <v>0</v>
      </c>
      <c r="P1044" s="374"/>
      <c r="Q1044" s="354">
        <v>0</v>
      </c>
      <c r="R1044" s="354">
        <v>0</v>
      </c>
      <c r="S1044" s="354">
        <v>0</v>
      </c>
      <c r="T1044" s="354">
        <v>0</v>
      </c>
      <c r="U1044" s="374"/>
      <c r="V1044" s="354">
        <v>0</v>
      </c>
      <c r="W1044" s="354">
        <v>0</v>
      </c>
      <c r="X1044" s="354">
        <v>0</v>
      </c>
      <c r="Y1044" s="374"/>
      <c r="Z1044" s="354">
        <v>0</v>
      </c>
      <c r="AA1044" s="354">
        <v>0</v>
      </c>
      <c r="AB1044" s="374"/>
      <c r="AC1044" s="376">
        <v>0</v>
      </c>
      <c r="AD1044" s="376">
        <v>0</v>
      </c>
      <c r="AE1044" s="376">
        <v>0</v>
      </c>
      <c r="AF1044" s="374"/>
      <c r="AG1044" s="376">
        <v>0</v>
      </c>
      <c r="AH1044" s="376">
        <v>0</v>
      </c>
      <c r="AI1044" s="376">
        <v>0</v>
      </c>
      <c r="AJ1044" s="376">
        <v>0</v>
      </c>
      <c r="AK1044" s="374"/>
      <c r="AL1044" s="376">
        <v>0</v>
      </c>
      <c r="AM1044" s="376">
        <v>0</v>
      </c>
      <c r="AN1044" s="376">
        <v>0</v>
      </c>
      <c r="AO1044" s="374"/>
      <c r="AP1044" s="376">
        <v>0</v>
      </c>
      <c r="AQ1044" s="376">
        <v>0</v>
      </c>
      <c r="AR1044" s="374"/>
      <c r="AS1044" s="376">
        <v>0</v>
      </c>
      <c r="AT1044" s="376">
        <v>0</v>
      </c>
      <c r="AU1044" s="355" t="s">
        <v>396</v>
      </c>
      <c r="AV1044" s="354" t="s">
        <v>397</v>
      </c>
      <c r="AW1044" s="353">
        <v>0</v>
      </c>
      <c r="AX1044" s="353">
        <v>0</v>
      </c>
      <c r="AY1044" s="353">
        <v>0</v>
      </c>
      <c r="AZ1044" s="353">
        <v>0</v>
      </c>
      <c r="BA1044" s="353">
        <v>0</v>
      </c>
      <c r="BB1044" s="353">
        <v>0</v>
      </c>
    </row>
    <row r="1045" spans="1:54" x14ac:dyDescent="0.25">
      <c r="A1045" s="348" t="s">
        <v>1405</v>
      </c>
      <c r="B1045" s="349">
        <v>148</v>
      </c>
      <c r="C1045" s="350" t="s">
        <v>1330</v>
      </c>
      <c r="D1045" s="351">
        <v>45198</v>
      </c>
      <c r="E1045" s="352"/>
      <c r="F1045" s="352">
        <v>6</v>
      </c>
      <c r="G1045" s="350" t="s">
        <v>1208</v>
      </c>
      <c r="H1045" s="350" t="s">
        <v>1395</v>
      </c>
      <c r="I1045" s="350" t="s">
        <v>393</v>
      </c>
      <c r="J1045" s="375">
        <v>8580000</v>
      </c>
      <c r="K1045" s="350" t="s">
        <v>394</v>
      </c>
      <c r="L1045" s="354">
        <v>2802.3999950000002</v>
      </c>
      <c r="M1045" s="375">
        <f t="shared" si="891"/>
        <v>3061.6614385199496</v>
      </c>
      <c r="N1045" s="354" t="s">
        <v>395</v>
      </c>
      <c r="O1045" s="354">
        <v>0</v>
      </c>
      <c r="P1045" s="374"/>
      <c r="Q1045" s="354">
        <v>0</v>
      </c>
      <c r="R1045" s="354">
        <v>0</v>
      </c>
      <c r="S1045" s="354">
        <v>0</v>
      </c>
      <c r="T1045" s="354">
        <v>0</v>
      </c>
      <c r="U1045" s="374"/>
      <c r="V1045" s="354">
        <v>0</v>
      </c>
      <c r="W1045" s="354">
        <v>0</v>
      </c>
      <c r="X1045" s="354">
        <v>0</v>
      </c>
      <c r="Y1045" s="374"/>
      <c r="Z1045" s="354">
        <v>0</v>
      </c>
      <c r="AA1045" s="354">
        <v>0</v>
      </c>
      <c r="AB1045" s="374"/>
      <c r="AC1045" s="376">
        <v>0</v>
      </c>
      <c r="AD1045" s="376">
        <v>0</v>
      </c>
      <c r="AE1045" s="376">
        <v>0</v>
      </c>
      <c r="AF1045" s="374"/>
      <c r="AG1045" s="376">
        <v>0</v>
      </c>
      <c r="AH1045" s="376">
        <v>0</v>
      </c>
      <c r="AI1045" s="376">
        <v>0</v>
      </c>
      <c r="AJ1045" s="376">
        <v>0</v>
      </c>
      <c r="AK1045" s="374"/>
      <c r="AL1045" s="376">
        <v>0</v>
      </c>
      <c r="AM1045" s="376">
        <v>0</v>
      </c>
      <c r="AN1045" s="376">
        <v>0</v>
      </c>
      <c r="AO1045" s="374"/>
      <c r="AP1045" s="376">
        <v>0</v>
      </c>
      <c r="AQ1045" s="376">
        <v>0</v>
      </c>
      <c r="AR1045" s="374"/>
      <c r="AS1045" s="376">
        <v>0</v>
      </c>
      <c r="AT1045" s="376">
        <v>0</v>
      </c>
      <c r="AU1045" s="355" t="s">
        <v>396</v>
      </c>
      <c r="AV1045" s="354" t="s">
        <v>397</v>
      </c>
      <c r="AW1045" s="353">
        <v>0</v>
      </c>
      <c r="AX1045" s="353">
        <v>0</v>
      </c>
      <c r="AY1045" s="353">
        <v>0</v>
      </c>
      <c r="AZ1045" s="353">
        <v>0</v>
      </c>
      <c r="BA1045" s="353">
        <v>0</v>
      </c>
      <c r="BB1045" s="353">
        <v>0</v>
      </c>
    </row>
    <row r="1046" spans="1:54" ht="16.149999999999999" customHeight="1" x14ac:dyDescent="0.25">
      <c r="A1046" s="348" t="s">
        <v>1269</v>
      </c>
      <c r="B1046" s="349">
        <v>32</v>
      </c>
      <c r="C1046" s="380" t="s">
        <v>1063</v>
      </c>
      <c r="D1046" s="351">
        <v>45133</v>
      </c>
      <c r="E1046" s="352">
        <v>6176</v>
      </c>
      <c r="F1046" s="352">
        <v>6</v>
      </c>
      <c r="G1046" s="353" t="s">
        <v>1270</v>
      </c>
      <c r="H1046" s="432" t="s">
        <v>1271</v>
      </c>
      <c r="I1046" s="350" t="s">
        <v>393</v>
      </c>
      <c r="J1046" s="560">
        <v>3570000</v>
      </c>
      <c r="K1046" s="350" t="s">
        <v>394</v>
      </c>
      <c r="L1046" s="353">
        <v>2801.6</v>
      </c>
      <c r="M1046" s="433">
        <f t="shared" ref="M1046:M1057" si="892">J1046/L1046</f>
        <v>1274.2718446601941</v>
      </c>
      <c r="N1046" s="354" t="s">
        <v>395</v>
      </c>
      <c r="O1046" s="354">
        <v>0</v>
      </c>
      <c r="P1046" s="374"/>
      <c r="Q1046" s="354">
        <v>0</v>
      </c>
      <c r="R1046" s="354">
        <v>0</v>
      </c>
      <c r="S1046" s="354">
        <v>0</v>
      </c>
      <c r="T1046" s="354">
        <v>0</v>
      </c>
      <c r="U1046" s="374"/>
      <c r="V1046" s="354">
        <v>0</v>
      </c>
      <c r="W1046" s="354">
        <v>0</v>
      </c>
      <c r="X1046" s="354">
        <v>0</v>
      </c>
      <c r="Y1046" s="374"/>
      <c r="Z1046" s="354">
        <v>0</v>
      </c>
      <c r="AA1046" s="354">
        <v>0</v>
      </c>
      <c r="AB1046" s="374"/>
      <c r="AC1046" s="376">
        <v>0</v>
      </c>
      <c r="AD1046" s="376">
        <v>0</v>
      </c>
      <c r="AE1046" s="376">
        <v>0</v>
      </c>
      <c r="AF1046" s="374"/>
      <c r="AG1046" s="376">
        <v>0</v>
      </c>
      <c r="AH1046" s="376">
        <v>0</v>
      </c>
      <c r="AI1046" s="376">
        <v>0</v>
      </c>
      <c r="AJ1046" s="376">
        <v>0</v>
      </c>
      <c r="AK1046" s="374"/>
      <c r="AL1046" s="376">
        <v>0</v>
      </c>
      <c r="AM1046" s="376">
        <v>0</v>
      </c>
      <c r="AN1046" s="376">
        <v>0</v>
      </c>
      <c r="AO1046" s="374"/>
      <c r="AP1046" s="376">
        <v>0</v>
      </c>
      <c r="AQ1046" s="376">
        <v>0</v>
      </c>
      <c r="AR1046" s="374"/>
      <c r="AS1046" s="376">
        <v>0</v>
      </c>
      <c r="AT1046" s="376">
        <v>0</v>
      </c>
      <c r="AU1046" s="355" t="s">
        <v>396</v>
      </c>
      <c r="AV1046" s="354" t="s">
        <v>345</v>
      </c>
      <c r="AW1046" s="355">
        <v>0</v>
      </c>
      <c r="AX1046" s="355">
        <v>0</v>
      </c>
      <c r="AY1046" s="355">
        <v>0</v>
      </c>
      <c r="AZ1046" s="355">
        <v>0</v>
      </c>
      <c r="BA1046" s="355">
        <v>0</v>
      </c>
      <c r="BB1046" s="355">
        <v>0</v>
      </c>
    </row>
    <row r="1047" spans="1:54" x14ac:dyDescent="0.25">
      <c r="A1047" s="348" t="s">
        <v>1272</v>
      </c>
      <c r="B1047" s="349">
        <v>28</v>
      </c>
      <c r="C1047" s="380" t="s">
        <v>1063</v>
      </c>
      <c r="D1047" s="351">
        <v>45133</v>
      </c>
      <c r="E1047" s="352">
        <v>6345</v>
      </c>
      <c r="F1047" s="352">
        <v>6</v>
      </c>
      <c r="G1047" s="353" t="s">
        <v>1270</v>
      </c>
      <c r="H1047" s="432" t="s">
        <v>1273</v>
      </c>
      <c r="I1047" s="350" t="s">
        <v>393</v>
      </c>
      <c r="J1047" s="560">
        <v>8425000</v>
      </c>
      <c r="K1047" s="350" t="s">
        <v>394</v>
      </c>
      <c r="L1047" s="353">
        <v>2801.6</v>
      </c>
      <c r="M1047" s="433">
        <f t="shared" si="892"/>
        <v>3007.210165619646</v>
      </c>
      <c r="N1047" s="354" t="s">
        <v>395</v>
      </c>
      <c r="O1047" s="354">
        <v>0</v>
      </c>
      <c r="P1047" s="374"/>
      <c r="Q1047" s="354">
        <v>0</v>
      </c>
      <c r="R1047" s="354">
        <v>0</v>
      </c>
      <c r="S1047" s="354">
        <v>0</v>
      </c>
      <c r="T1047" s="354">
        <v>0</v>
      </c>
      <c r="U1047" s="374"/>
      <c r="V1047" s="354">
        <v>0</v>
      </c>
      <c r="W1047" s="354">
        <v>0</v>
      </c>
      <c r="X1047" s="354">
        <v>0</v>
      </c>
      <c r="Y1047" s="374"/>
      <c r="Z1047" s="354">
        <v>0</v>
      </c>
      <c r="AA1047" s="354">
        <v>0</v>
      </c>
      <c r="AB1047" s="374"/>
      <c r="AC1047" s="376">
        <v>0</v>
      </c>
      <c r="AD1047" s="376">
        <v>0</v>
      </c>
      <c r="AE1047" s="376">
        <v>0</v>
      </c>
      <c r="AF1047" s="374"/>
      <c r="AG1047" s="376">
        <v>0</v>
      </c>
      <c r="AH1047" s="376">
        <v>0</v>
      </c>
      <c r="AI1047" s="376">
        <v>0</v>
      </c>
      <c r="AJ1047" s="376">
        <v>0</v>
      </c>
      <c r="AK1047" s="374"/>
      <c r="AL1047" s="376">
        <v>0</v>
      </c>
      <c r="AM1047" s="376">
        <v>0</v>
      </c>
      <c r="AN1047" s="376">
        <v>0</v>
      </c>
      <c r="AO1047" s="374"/>
      <c r="AP1047" s="376">
        <v>0</v>
      </c>
      <c r="AQ1047" s="376">
        <v>0</v>
      </c>
      <c r="AR1047" s="374"/>
      <c r="AS1047" s="376">
        <v>0</v>
      </c>
      <c r="AT1047" s="376">
        <v>0</v>
      </c>
      <c r="AU1047" s="355" t="s">
        <v>396</v>
      </c>
      <c r="AV1047" s="354" t="s">
        <v>345</v>
      </c>
      <c r="AW1047" s="355">
        <v>0</v>
      </c>
      <c r="AX1047" s="355">
        <v>0</v>
      </c>
      <c r="AY1047" s="355">
        <v>0</v>
      </c>
      <c r="AZ1047" s="355">
        <v>0</v>
      </c>
      <c r="BA1047" s="355">
        <v>0</v>
      </c>
      <c r="BB1047" s="355">
        <v>0</v>
      </c>
    </row>
    <row r="1048" spans="1:54" x14ac:dyDescent="0.25">
      <c r="A1048" s="348" t="s">
        <v>1274</v>
      </c>
      <c r="B1048" s="349">
        <v>27</v>
      </c>
      <c r="C1048" s="380" t="s">
        <v>1063</v>
      </c>
      <c r="D1048" s="351">
        <v>45133</v>
      </c>
      <c r="E1048" s="352">
        <v>6345</v>
      </c>
      <c r="F1048" s="352">
        <v>6</v>
      </c>
      <c r="G1048" s="353" t="s">
        <v>1270</v>
      </c>
      <c r="H1048" s="432" t="s">
        <v>1275</v>
      </c>
      <c r="I1048" s="350" t="s">
        <v>393</v>
      </c>
      <c r="J1048" s="560">
        <v>53000</v>
      </c>
      <c r="K1048" s="350" t="s">
        <v>394</v>
      </c>
      <c r="L1048" s="353">
        <v>2801.6</v>
      </c>
      <c r="M1048" s="433">
        <f t="shared" si="892"/>
        <v>18.917761279268991</v>
      </c>
      <c r="N1048" s="354" t="s">
        <v>395</v>
      </c>
      <c r="O1048" s="354">
        <v>0</v>
      </c>
      <c r="P1048" s="374"/>
      <c r="Q1048" s="354">
        <v>0</v>
      </c>
      <c r="R1048" s="354">
        <v>0</v>
      </c>
      <c r="S1048" s="354">
        <v>0</v>
      </c>
      <c r="T1048" s="354">
        <v>0</v>
      </c>
      <c r="U1048" s="374"/>
      <c r="V1048" s="354">
        <v>0</v>
      </c>
      <c r="W1048" s="354">
        <v>0</v>
      </c>
      <c r="X1048" s="354">
        <v>0</v>
      </c>
      <c r="Y1048" s="374"/>
      <c r="Z1048" s="354">
        <v>0</v>
      </c>
      <c r="AA1048" s="354">
        <v>0</v>
      </c>
      <c r="AB1048" s="374"/>
      <c r="AC1048" s="376">
        <v>0</v>
      </c>
      <c r="AD1048" s="376">
        <v>0</v>
      </c>
      <c r="AE1048" s="376">
        <v>0</v>
      </c>
      <c r="AF1048" s="374"/>
      <c r="AG1048" s="376">
        <v>0</v>
      </c>
      <c r="AH1048" s="376">
        <v>0</v>
      </c>
      <c r="AI1048" s="376">
        <v>0</v>
      </c>
      <c r="AJ1048" s="376">
        <v>0</v>
      </c>
      <c r="AK1048" s="374"/>
      <c r="AL1048" s="376">
        <v>0</v>
      </c>
      <c r="AM1048" s="376">
        <v>0</v>
      </c>
      <c r="AN1048" s="376">
        <v>0</v>
      </c>
      <c r="AO1048" s="374"/>
      <c r="AP1048" s="376">
        <v>0</v>
      </c>
      <c r="AQ1048" s="376">
        <v>0</v>
      </c>
      <c r="AR1048" s="374"/>
      <c r="AS1048" s="376">
        <v>0</v>
      </c>
      <c r="AT1048" s="376">
        <v>0</v>
      </c>
      <c r="AU1048" s="355" t="s">
        <v>396</v>
      </c>
      <c r="AV1048" s="354" t="s">
        <v>345</v>
      </c>
      <c r="AW1048" s="355">
        <v>0</v>
      </c>
      <c r="AX1048" s="355">
        <v>0</v>
      </c>
      <c r="AY1048" s="355">
        <v>0</v>
      </c>
      <c r="AZ1048" s="355">
        <v>0</v>
      </c>
      <c r="BA1048" s="355">
        <v>0</v>
      </c>
      <c r="BB1048" s="355">
        <v>0</v>
      </c>
    </row>
    <row r="1049" spans="1:54" x14ac:dyDescent="0.25">
      <c r="A1049" s="348" t="s">
        <v>1276</v>
      </c>
      <c r="B1049" s="349">
        <v>29</v>
      </c>
      <c r="C1049" s="380" t="s">
        <v>1063</v>
      </c>
      <c r="D1049" s="351">
        <v>45133</v>
      </c>
      <c r="E1049" s="352">
        <v>6345</v>
      </c>
      <c r="F1049" s="352">
        <v>6</v>
      </c>
      <c r="G1049" s="353" t="s">
        <v>1270</v>
      </c>
      <c r="H1049" s="432" t="s">
        <v>1277</v>
      </c>
      <c r="I1049" s="350" t="s">
        <v>393</v>
      </c>
      <c r="J1049" s="560">
        <v>560000</v>
      </c>
      <c r="K1049" s="350" t="s">
        <v>394</v>
      </c>
      <c r="L1049" s="353">
        <v>2801.6</v>
      </c>
      <c r="M1049" s="433">
        <f t="shared" si="892"/>
        <v>199.88577955454028</v>
      </c>
      <c r="N1049" s="354" t="s">
        <v>395</v>
      </c>
      <c r="O1049" s="354">
        <v>0</v>
      </c>
      <c r="P1049" s="374"/>
      <c r="Q1049" s="354">
        <v>0</v>
      </c>
      <c r="R1049" s="354">
        <v>0</v>
      </c>
      <c r="S1049" s="354">
        <v>0</v>
      </c>
      <c r="T1049" s="354">
        <v>0</v>
      </c>
      <c r="U1049" s="374"/>
      <c r="V1049" s="354">
        <v>0</v>
      </c>
      <c r="W1049" s="354">
        <v>0</v>
      </c>
      <c r="X1049" s="354">
        <v>0</v>
      </c>
      <c r="Y1049" s="374"/>
      <c r="Z1049" s="354">
        <v>0</v>
      </c>
      <c r="AA1049" s="354">
        <v>0</v>
      </c>
      <c r="AB1049" s="374"/>
      <c r="AC1049" s="376">
        <v>0</v>
      </c>
      <c r="AD1049" s="376">
        <v>0</v>
      </c>
      <c r="AE1049" s="376">
        <v>0</v>
      </c>
      <c r="AF1049" s="374"/>
      <c r="AG1049" s="376">
        <v>0</v>
      </c>
      <c r="AH1049" s="376">
        <v>0</v>
      </c>
      <c r="AI1049" s="376">
        <v>0</v>
      </c>
      <c r="AJ1049" s="376">
        <v>0</v>
      </c>
      <c r="AK1049" s="374"/>
      <c r="AL1049" s="376">
        <v>0</v>
      </c>
      <c r="AM1049" s="376">
        <v>0</v>
      </c>
      <c r="AN1049" s="376">
        <v>0</v>
      </c>
      <c r="AO1049" s="374"/>
      <c r="AP1049" s="376">
        <v>0</v>
      </c>
      <c r="AQ1049" s="376">
        <v>0</v>
      </c>
      <c r="AR1049" s="374"/>
      <c r="AS1049" s="376">
        <v>0</v>
      </c>
      <c r="AT1049" s="376">
        <v>0</v>
      </c>
      <c r="AU1049" s="355" t="s">
        <v>396</v>
      </c>
      <c r="AV1049" s="354" t="s">
        <v>345</v>
      </c>
      <c r="AW1049" s="355">
        <v>0</v>
      </c>
      <c r="AX1049" s="355">
        <v>0</v>
      </c>
      <c r="AY1049" s="355">
        <v>0</v>
      </c>
      <c r="AZ1049" s="355">
        <v>0</v>
      </c>
      <c r="BA1049" s="355">
        <v>0</v>
      </c>
      <c r="BB1049" s="355">
        <v>0</v>
      </c>
    </row>
    <row r="1050" spans="1:54" x14ac:dyDescent="0.25">
      <c r="A1050" s="348" t="s">
        <v>1278</v>
      </c>
      <c r="B1050" s="349">
        <v>30</v>
      </c>
      <c r="C1050" s="380" t="s">
        <v>1063</v>
      </c>
      <c r="D1050" s="351">
        <v>45138</v>
      </c>
      <c r="E1050" s="352">
        <v>6345</v>
      </c>
      <c r="F1050" s="352">
        <v>6</v>
      </c>
      <c r="G1050" s="353" t="s">
        <v>1270</v>
      </c>
      <c r="H1050" s="432" t="s">
        <v>1279</v>
      </c>
      <c r="I1050" s="350" t="s">
        <v>393</v>
      </c>
      <c r="J1050" s="560">
        <v>451000</v>
      </c>
      <c r="K1050" s="350" t="s">
        <v>394</v>
      </c>
      <c r="L1050" s="353">
        <v>2801.6</v>
      </c>
      <c r="M1050" s="433">
        <f t="shared" si="892"/>
        <v>160.97944031981726</v>
      </c>
      <c r="N1050" s="354" t="s">
        <v>395</v>
      </c>
      <c r="O1050" s="354">
        <v>0</v>
      </c>
      <c r="P1050" s="374"/>
      <c r="Q1050" s="354">
        <v>0</v>
      </c>
      <c r="R1050" s="354">
        <v>0</v>
      </c>
      <c r="S1050" s="354">
        <v>0</v>
      </c>
      <c r="T1050" s="354">
        <v>0</v>
      </c>
      <c r="U1050" s="374"/>
      <c r="V1050" s="354">
        <v>0</v>
      </c>
      <c r="W1050" s="354">
        <v>0</v>
      </c>
      <c r="X1050" s="354">
        <v>0</v>
      </c>
      <c r="Y1050" s="374"/>
      <c r="Z1050" s="354">
        <v>0</v>
      </c>
      <c r="AA1050" s="354">
        <v>0</v>
      </c>
      <c r="AB1050" s="374"/>
      <c r="AC1050" s="376">
        <v>0</v>
      </c>
      <c r="AD1050" s="376">
        <v>0</v>
      </c>
      <c r="AE1050" s="376">
        <v>0</v>
      </c>
      <c r="AF1050" s="374"/>
      <c r="AG1050" s="376">
        <v>0</v>
      </c>
      <c r="AH1050" s="376">
        <v>0</v>
      </c>
      <c r="AI1050" s="376">
        <v>0</v>
      </c>
      <c r="AJ1050" s="376">
        <v>0</v>
      </c>
      <c r="AK1050" s="374"/>
      <c r="AL1050" s="376">
        <v>0</v>
      </c>
      <c r="AM1050" s="376">
        <v>0</v>
      </c>
      <c r="AN1050" s="376">
        <v>0</v>
      </c>
      <c r="AO1050" s="374"/>
      <c r="AP1050" s="376">
        <v>0</v>
      </c>
      <c r="AQ1050" s="376">
        <v>0</v>
      </c>
      <c r="AR1050" s="374"/>
      <c r="AS1050" s="376">
        <v>0</v>
      </c>
      <c r="AT1050" s="376">
        <v>0</v>
      </c>
      <c r="AU1050" s="355" t="s">
        <v>396</v>
      </c>
      <c r="AV1050" s="354" t="s">
        <v>345</v>
      </c>
      <c r="AW1050" s="355">
        <v>0</v>
      </c>
      <c r="AX1050" s="355">
        <v>0</v>
      </c>
      <c r="AY1050" s="355">
        <v>0</v>
      </c>
      <c r="AZ1050" s="355">
        <v>0</v>
      </c>
      <c r="BA1050" s="355">
        <v>0</v>
      </c>
      <c r="BB1050" s="355">
        <v>0</v>
      </c>
    </row>
    <row r="1051" spans="1:54" x14ac:dyDescent="0.25">
      <c r="A1051" s="348" t="s">
        <v>1280</v>
      </c>
      <c r="B1051" s="349">
        <v>34</v>
      </c>
      <c r="C1051" s="380" t="s">
        <v>1063</v>
      </c>
      <c r="D1051" s="351">
        <v>45138</v>
      </c>
      <c r="E1051" s="352">
        <v>6345</v>
      </c>
      <c r="F1051" s="352">
        <v>6</v>
      </c>
      <c r="G1051" s="353" t="s">
        <v>1270</v>
      </c>
      <c r="H1051" s="432" t="s">
        <v>1279</v>
      </c>
      <c r="I1051" s="350" t="s">
        <v>393</v>
      </c>
      <c r="J1051" s="560">
        <v>396000</v>
      </c>
      <c r="K1051" s="350" t="s">
        <v>394</v>
      </c>
      <c r="L1051" s="353">
        <v>2801.6</v>
      </c>
      <c r="M1051" s="433">
        <f t="shared" si="892"/>
        <v>141.3478012564249</v>
      </c>
      <c r="N1051" s="354" t="s">
        <v>395</v>
      </c>
      <c r="O1051" s="354">
        <v>0</v>
      </c>
      <c r="P1051" s="374"/>
      <c r="Q1051" s="354">
        <v>0</v>
      </c>
      <c r="R1051" s="354">
        <v>0</v>
      </c>
      <c r="S1051" s="354">
        <v>0</v>
      </c>
      <c r="T1051" s="354">
        <v>0</v>
      </c>
      <c r="U1051" s="374"/>
      <c r="V1051" s="354">
        <v>0</v>
      </c>
      <c r="W1051" s="354">
        <v>0</v>
      </c>
      <c r="X1051" s="354">
        <v>0</v>
      </c>
      <c r="Y1051" s="374"/>
      <c r="Z1051" s="354">
        <v>0</v>
      </c>
      <c r="AA1051" s="354">
        <v>0</v>
      </c>
      <c r="AB1051" s="374"/>
      <c r="AC1051" s="376">
        <v>0</v>
      </c>
      <c r="AD1051" s="376">
        <v>0</v>
      </c>
      <c r="AE1051" s="376">
        <v>0</v>
      </c>
      <c r="AF1051" s="374"/>
      <c r="AG1051" s="376">
        <v>0</v>
      </c>
      <c r="AH1051" s="376">
        <v>0</v>
      </c>
      <c r="AI1051" s="376">
        <v>0</v>
      </c>
      <c r="AJ1051" s="376">
        <v>0</v>
      </c>
      <c r="AK1051" s="374"/>
      <c r="AL1051" s="376">
        <v>0</v>
      </c>
      <c r="AM1051" s="376">
        <v>0</v>
      </c>
      <c r="AN1051" s="376">
        <v>0</v>
      </c>
      <c r="AO1051" s="374"/>
      <c r="AP1051" s="376">
        <v>0</v>
      </c>
      <c r="AQ1051" s="376">
        <v>0</v>
      </c>
      <c r="AR1051" s="374"/>
      <c r="AS1051" s="376">
        <v>0</v>
      </c>
      <c r="AT1051" s="376">
        <v>0</v>
      </c>
      <c r="AU1051" s="355" t="s">
        <v>396</v>
      </c>
      <c r="AV1051" s="354" t="s">
        <v>345</v>
      </c>
      <c r="AW1051" s="355">
        <v>0</v>
      </c>
      <c r="AX1051" s="355">
        <v>0</v>
      </c>
      <c r="AY1051" s="355">
        <v>0</v>
      </c>
      <c r="AZ1051" s="355">
        <v>0</v>
      </c>
      <c r="BA1051" s="355">
        <v>0</v>
      </c>
      <c r="BB1051" s="355">
        <v>0</v>
      </c>
    </row>
    <row r="1052" spans="1:54" x14ac:dyDescent="0.25">
      <c r="A1052" s="348" t="s">
        <v>1281</v>
      </c>
      <c r="B1052" s="349">
        <v>31</v>
      </c>
      <c r="C1052" s="380" t="s">
        <v>1063</v>
      </c>
      <c r="D1052" s="351">
        <v>45138</v>
      </c>
      <c r="E1052" s="352">
        <v>6345</v>
      </c>
      <c r="F1052" s="352">
        <v>6</v>
      </c>
      <c r="G1052" s="353" t="s">
        <v>1270</v>
      </c>
      <c r="H1052" s="432" t="s">
        <v>1282</v>
      </c>
      <c r="I1052" s="350" t="s">
        <v>393</v>
      </c>
      <c r="J1052" s="560">
        <v>354000</v>
      </c>
      <c r="K1052" s="350" t="s">
        <v>394</v>
      </c>
      <c r="L1052" s="353">
        <v>2801.6</v>
      </c>
      <c r="M1052" s="433">
        <f t="shared" si="892"/>
        <v>126.35636778983438</v>
      </c>
      <c r="N1052" s="354" t="s">
        <v>395</v>
      </c>
      <c r="O1052" s="354">
        <v>0</v>
      </c>
      <c r="P1052" s="374"/>
      <c r="Q1052" s="354">
        <v>0</v>
      </c>
      <c r="R1052" s="354">
        <v>0</v>
      </c>
      <c r="S1052" s="354">
        <v>0</v>
      </c>
      <c r="T1052" s="354">
        <v>0</v>
      </c>
      <c r="U1052" s="374"/>
      <c r="V1052" s="354">
        <v>0</v>
      </c>
      <c r="W1052" s="354">
        <v>0</v>
      </c>
      <c r="X1052" s="354">
        <v>0</v>
      </c>
      <c r="Y1052" s="374"/>
      <c r="Z1052" s="354">
        <v>0</v>
      </c>
      <c r="AA1052" s="354">
        <v>0</v>
      </c>
      <c r="AB1052" s="374"/>
      <c r="AC1052" s="376">
        <v>0</v>
      </c>
      <c r="AD1052" s="376">
        <v>0</v>
      </c>
      <c r="AE1052" s="376">
        <v>0</v>
      </c>
      <c r="AF1052" s="374"/>
      <c r="AG1052" s="376">
        <v>0</v>
      </c>
      <c r="AH1052" s="376">
        <v>0</v>
      </c>
      <c r="AI1052" s="376">
        <v>0</v>
      </c>
      <c r="AJ1052" s="376">
        <v>0</v>
      </c>
      <c r="AK1052" s="374"/>
      <c r="AL1052" s="376">
        <v>0</v>
      </c>
      <c r="AM1052" s="376">
        <v>0</v>
      </c>
      <c r="AN1052" s="376">
        <v>0</v>
      </c>
      <c r="AO1052" s="374"/>
      <c r="AP1052" s="376">
        <v>0</v>
      </c>
      <c r="AQ1052" s="376">
        <v>0</v>
      </c>
      <c r="AR1052" s="374"/>
      <c r="AS1052" s="376">
        <v>0</v>
      </c>
      <c r="AT1052" s="376">
        <v>0</v>
      </c>
      <c r="AU1052" s="355" t="s">
        <v>396</v>
      </c>
      <c r="AV1052" s="354" t="s">
        <v>345</v>
      </c>
      <c r="AW1052" s="355">
        <v>0</v>
      </c>
      <c r="AX1052" s="355">
        <v>0</v>
      </c>
      <c r="AY1052" s="355">
        <v>0</v>
      </c>
      <c r="AZ1052" s="355">
        <v>0</v>
      </c>
      <c r="BA1052" s="355">
        <v>0</v>
      </c>
      <c r="BB1052" s="355">
        <v>0</v>
      </c>
    </row>
    <row r="1053" spans="1:54" x14ac:dyDescent="0.25">
      <c r="A1053" s="348" t="s">
        <v>1283</v>
      </c>
      <c r="B1053" s="349">
        <v>68</v>
      </c>
      <c r="C1053" s="350" t="s">
        <v>1137</v>
      </c>
      <c r="D1053" s="427" t="s">
        <v>1268</v>
      </c>
      <c r="E1053" s="352">
        <v>6345</v>
      </c>
      <c r="F1053" s="352">
        <v>6</v>
      </c>
      <c r="G1053" s="351" t="s">
        <v>1270</v>
      </c>
      <c r="H1053" s="350" t="s">
        <v>1424</v>
      </c>
      <c r="I1053" s="350" t="s">
        <v>393</v>
      </c>
      <c r="J1053" s="560">
        <v>3000000</v>
      </c>
      <c r="K1053" s="350" t="s">
        <v>394</v>
      </c>
      <c r="L1053" s="353">
        <v>2801.6</v>
      </c>
      <c r="M1053" s="433">
        <f t="shared" si="892"/>
        <v>1070.8166761850371</v>
      </c>
      <c r="N1053" s="354" t="s">
        <v>395</v>
      </c>
      <c r="O1053" s="354">
        <v>0</v>
      </c>
      <c r="P1053" s="374"/>
      <c r="Q1053" s="354">
        <v>0</v>
      </c>
      <c r="R1053" s="354">
        <v>0</v>
      </c>
      <c r="S1053" s="354">
        <v>0</v>
      </c>
      <c r="T1053" s="354">
        <v>0</v>
      </c>
      <c r="U1053" s="374"/>
      <c r="V1053" s="354">
        <v>0</v>
      </c>
      <c r="W1053" s="354">
        <v>0</v>
      </c>
      <c r="X1053" s="354">
        <v>0</v>
      </c>
      <c r="Y1053" s="374"/>
      <c r="Z1053" s="354">
        <v>0</v>
      </c>
      <c r="AA1053" s="354">
        <v>0</v>
      </c>
      <c r="AB1053" s="374"/>
      <c r="AC1053" s="376">
        <v>0</v>
      </c>
      <c r="AD1053" s="376">
        <v>0</v>
      </c>
      <c r="AE1053" s="376">
        <v>0</v>
      </c>
      <c r="AF1053" s="374"/>
      <c r="AG1053" s="376">
        <v>0</v>
      </c>
      <c r="AH1053" s="376">
        <v>0</v>
      </c>
      <c r="AI1053" s="376">
        <v>0</v>
      </c>
      <c r="AJ1053" s="376">
        <v>0</v>
      </c>
      <c r="AK1053" s="374"/>
      <c r="AL1053" s="376">
        <v>0</v>
      </c>
      <c r="AM1053" s="376">
        <v>0</v>
      </c>
      <c r="AN1053" s="376">
        <v>0</v>
      </c>
      <c r="AO1053" s="374"/>
      <c r="AP1053" s="376">
        <v>0</v>
      </c>
      <c r="AQ1053" s="376">
        <v>0</v>
      </c>
      <c r="AR1053" s="374"/>
      <c r="AS1053" s="376">
        <v>0</v>
      </c>
      <c r="AT1053" s="376">
        <v>0</v>
      </c>
      <c r="AU1053" s="355" t="s">
        <v>396</v>
      </c>
      <c r="AV1053" s="354" t="s">
        <v>345</v>
      </c>
      <c r="AW1053" s="355">
        <v>0</v>
      </c>
      <c r="AX1053" s="355">
        <v>0</v>
      </c>
      <c r="AY1053" s="355">
        <v>0</v>
      </c>
      <c r="AZ1053" s="355">
        <v>0</v>
      </c>
      <c r="BA1053" s="355">
        <v>0</v>
      </c>
      <c r="BB1053" s="355">
        <v>0</v>
      </c>
    </row>
    <row r="1054" spans="1:54" x14ac:dyDescent="0.25">
      <c r="A1054" s="348" t="s">
        <v>1283</v>
      </c>
      <c r="B1054" s="349">
        <v>68</v>
      </c>
      <c r="C1054" s="350" t="s">
        <v>1137</v>
      </c>
      <c r="D1054" s="427" t="s">
        <v>1268</v>
      </c>
      <c r="E1054" s="352">
        <v>6345</v>
      </c>
      <c r="F1054" s="352">
        <v>6</v>
      </c>
      <c r="G1054" s="351" t="s">
        <v>1270</v>
      </c>
      <c r="H1054" s="350" t="s">
        <v>1425</v>
      </c>
      <c r="I1054" s="350" t="s">
        <v>393</v>
      </c>
      <c r="J1054" s="560">
        <v>2124000</v>
      </c>
      <c r="K1054" s="350" t="s">
        <v>394</v>
      </c>
      <c r="L1054" s="353">
        <v>2801.6</v>
      </c>
      <c r="M1054" s="433">
        <f t="shared" si="892"/>
        <v>758.13820673900625</v>
      </c>
      <c r="N1054" s="354" t="s">
        <v>395</v>
      </c>
      <c r="O1054" s="354">
        <v>0</v>
      </c>
      <c r="P1054" s="374"/>
      <c r="Q1054" s="354">
        <v>0</v>
      </c>
      <c r="R1054" s="354">
        <v>0</v>
      </c>
      <c r="S1054" s="354">
        <v>0</v>
      </c>
      <c r="T1054" s="354">
        <v>0</v>
      </c>
      <c r="U1054" s="374"/>
      <c r="V1054" s="354">
        <v>0</v>
      </c>
      <c r="W1054" s="354">
        <v>0</v>
      </c>
      <c r="X1054" s="354">
        <v>0</v>
      </c>
      <c r="Y1054" s="374"/>
      <c r="Z1054" s="354">
        <v>0</v>
      </c>
      <c r="AA1054" s="354">
        <v>0</v>
      </c>
      <c r="AB1054" s="374"/>
      <c r="AC1054" s="376">
        <v>0</v>
      </c>
      <c r="AD1054" s="376">
        <v>0</v>
      </c>
      <c r="AE1054" s="376">
        <v>0</v>
      </c>
      <c r="AF1054" s="374"/>
      <c r="AG1054" s="376">
        <v>0</v>
      </c>
      <c r="AH1054" s="376">
        <v>0</v>
      </c>
      <c r="AI1054" s="376">
        <v>0</v>
      </c>
      <c r="AJ1054" s="376">
        <v>0</v>
      </c>
      <c r="AK1054" s="374"/>
      <c r="AL1054" s="376">
        <v>0</v>
      </c>
      <c r="AM1054" s="376">
        <v>0</v>
      </c>
      <c r="AN1054" s="376">
        <v>0</v>
      </c>
      <c r="AO1054" s="374"/>
      <c r="AP1054" s="376">
        <v>0</v>
      </c>
      <c r="AQ1054" s="376">
        <v>0</v>
      </c>
      <c r="AR1054" s="374"/>
      <c r="AS1054" s="376">
        <v>0</v>
      </c>
      <c r="AT1054" s="376">
        <v>0</v>
      </c>
      <c r="AU1054" s="355" t="s">
        <v>396</v>
      </c>
      <c r="AV1054" s="354" t="s">
        <v>345</v>
      </c>
      <c r="AW1054" s="355">
        <v>0</v>
      </c>
      <c r="AX1054" s="355">
        <v>0</v>
      </c>
      <c r="AY1054" s="355">
        <v>0</v>
      </c>
      <c r="AZ1054" s="355">
        <v>0</v>
      </c>
      <c r="BA1054" s="355">
        <v>0</v>
      </c>
      <c r="BB1054" s="355">
        <v>0</v>
      </c>
    </row>
    <row r="1055" spans="1:54" x14ac:dyDescent="0.25">
      <c r="A1055" s="348" t="s">
        <v>1283</v>
      </c>
      <c r="B1055" s="349">
        <v>68</v>
      </c>
      <c r="C1055" s="350" t="s">
        <v>1137</v>
      </c>
      <c r="D1055" s="427" t="s">
        <v>1268</v>
      </c>
      <c r="E1055" s="352">
        <v>6345</v>
      </c>
      <c r="F1055" s="352">
        <v>6</v>
      </c>
      <c r="G1055" s="351" t="s">
        <v>1270</v>
      </c>
      <c r="H1055" s="350" t="s">
        <v>1426</v>
      </c>
      <c r="I1055" s="350" t="s">
        <v>393</v>
      </c>
      <c r="J1055" s="560">
        <v>2000000</v>
      </c>
      <c r="K1055" s="350" t="s">
        <v>394</v>
      </c>
      <c r="L1055" s="353">
        <v>2801.6</v>
      </c>
      <c r="M1055" s="433">
        <f t="shared" si="892"/>
        <v>713.87778412335808</v>
      </c>
      <c r="N1055" s="354" t="s">
        <v>395</v>
      </c>
      <c r="O1055" s="354">
        <v>0</v>
      </c>
      <c r="P1055" s="374"/>
      <c r="Q1055" s="354">
        <v>0</v>
      </c>
      <c r="R1055" s="354">
        <v>0</v>
      </c>
      <c r="S1055" s="354">
        <v>0</v>
      </c>
      <c r="T1055" s="354">
        <v>0</v>
      </c>
      <c r="U1055" s="374"/>
      <c r="V1055" s="354">
        <v>0</v>
      </c>
      <c r="W1055" s="354">
        <v>0</v>
      </c>
      <c r="X1055" s="354">
        <v>0</v>
      </c>
      <c r="Y1055" s="374"/>
      <c r="Z1055" s="354">
        <v>0</v>
      </c>
      <c r="AA1055" s="354">
        <v>0</v>
      </c>
      <c r="AB1055" s="374"/>
      <c r="AC1055" s="376">
        <v>0</v>
      </c>
      <c r="AD1055" s="376">
        <v>0</v>
      </c>
      <c r="AE1055" s="376">
        <v>0</v>
      </c>
      <c r="AF1055" s="374"/>
      <c r="AG1055" s="376">
        <v>0</v>
      </c>
      <c r="AH1055" s="376">
        <v>0</v>
      </c>
      <c r="AI1055" s="376">
        <v>0</v>
      </c>
      <c r="AJ1055" s="376">
        <v>0</v>
      </c>
      <c r="AK1055" s="374"/>
      <c r="AL1055" s="376">
        <v>0</v>
      </c>
      <c r="AM1055" s="376">
        <v>0</v>
      </c>
      <c r="AN1055" s="376">
        <v>0</v>
      </c>
      <c r="AO1055" s="374"/>
      <c r="AP1055" s="376">
        <v>0</v>
      </c>
      <c r="AQ1055" s="376">
        <v>0</v>
      </c>
      <c r="AR1055" s="374"/>
      <c r="AS1055" s="376">
        <v>0</v>
      </c>
      <c r="AT1055" s="376">
        <v>0</v>
      </c>
      <c r="AU1055" s="355" t="s">
        <v>396</v>
      </c>
      <c r="AV1055" s="354" t="s">
        <v>345</v>
      </c>
      <c r="AW1055" s="355">
        <v>0</v>
      </c>
      <c r="AX1055" s="355">
        <v>0</v>
      </c>
      <c r="AY1055" s="355">
        <v>0</v>
      </c>
      <c r="AZ1055" s="355">
        <v>0</v>
      </c>
      <c r="BA1055" s="355">
        <v>0</v>
      </c>
      <c r="BB1055" s="355">
        <v>0</v>
      </c>
    </row>
    <row r="1056" spans="1:54" x14ac:dyDescent="0.25">
      <c r="A1056" s="348" t="s">
        <v>1283</v>
      </c>
      <c r="B1056" s="349">
        <v>68</v>
      </c>
      <c r="C1056" s="350" t="s">
        <v>1137</v>
      </c>
      <c r="D1056" s="427" t="s">
        <v>1268</v>
      </c>
      <c r="E1056" s="352">
        <v>6345</v>
      </c>
      <c r="F1056" s="352">
        <v>6</v>
      </c>
      <c r="G1056" s="351" t="s">
        <v>1270</v>
      </c>
      <c r="H1056" s="350" t="s">
        <v>1427</v>
      </c>
      <c r="I1056" s="350" t="s">
        <v>393</v>
      </c>
      <c r="J1056" s="560">
        <v>590000</v>
      </c>
      <c r="K1056" s="350" t="s">
        <v>394</v>
      </c>
      <c r="L1056" s="353">
        <v>2801.6</v>
      </c>
      <c r="M1056" s="433">
        <f t="shared" si="892"/>
        <v>210.59394631639063</v>
      </c>
      <c r="N1056" s="354" t="s">
        <v>395</v>
      </c>
      <c r="O1056" s="354">
        <v>0</v>
      </c>
      <c r="P1056" s="374"/>
      <c r="Q1056" s="354">
        <v>0</v>
      </c>
      <c r="R1056" s="354">
        <v>0</v>
      </c>
      <c r="S1056" s="354">
        <v>0</v>
      </c>
      <c r="T1056" s="354">
        <v>0</v>
      </c>
      <c r="U1056" s="374"/>
      <c r="V1056" s="354">
        <v>0</v>
      </c>
      <c r="W1056" s="354">
        <v>0</v>
      </c>
      <c r="X1056" s="354">
        <v>0</v>
      </c>
      <c r="Y1056" s="374"/>
      <c r="Z1056" s="354">
        <v>0</v>
      </c>
      <c r="AA1056" s="354">
        <v>0</v>
      </c>
      <c r="AB1056" s="374"/>
      <c r="AC1056" s="376">
        <v>0</v>
      </c>
      <c r="AD1056" s="376">
        <v>0</v>
      </c>
      <c r="AE1056" s="376">
        <v>0</v>
      </c>
      <c r="AF1056" s="374"/>
      <c r="AG1056" s="376">
        <v>0</v>
      </c>
      <c r="AH1056" s="376">
        <v>0</v>
      </c>
      <c r="AI1056" s="376">
        <v>0</v>
      </c>
      <c r="AJ1056" s="376">
        <v>0</v>
      </c>
      <c r="AK1056" s="374"/>
      <c r="AL1056" s="376">
        <v>0</v>
      </c>
      <c r="AM1056" s="376">
        <v>0</v>
      </c>
      <c r="AN1056" s="376">
        <v>0</v>
      </c>
      <c r="AO1056" s="374"/>
      <c r="AP1056" s="376">
        <v>0</v>
      </c>
      <c r="AQ1056" s="376">
        <v>0</v>
      </c>
      <c r="AR1056" s="374"/>
      <c r="AS1056" s="376">
        <v>0</v>
      </c>
      <c r="AT1056" s="376">
        <v>0</v>
      </c>
      <c r="AU1056" s="355" t="s">
        <v>396</v>
      </c>
      <c r="AV1056" s="354" t="s">
        <v>345</v>
      </c>
      <c r="AW1056" s="355">
        <v>0</v>
      </c>
      <c r="AX1056" s="355">
        <v>0</v>
      </c>
      <c r="AY1056" s="355">
        <v>0</v>
      </c>
      <c r="AZ1056" s="355">
        <v>0</v>
      </c>
      <c r="BA1056" s="355">
        <v>0</v>
      </c>
      <c r="BB1056" s="355">
        <v>0</v>
      </c>
    </row>
    <row r="1057" spans="1:54" x14ac:dyDescent="0.25">
      <c r="A1057" s="348" t="s">
        <v>1284</v>
      </c>
      <c r="B1057" s="349">
        <v>86</v>
      </c>
      <c r="C1057" s="350" t="s">
        <v>1137</v>
      </c>
      <c r="D1057" s="427" t="s">
        <v>1266</v>
      </c>
      <c r="E1057" s="352">
        <v>6345</v>
      </c>
      <c r="F1057" s="352">
        <v>6</v>
      </c>
      <c r="G1057" s="351" t="s">
        <v>1270</v>
      </c>
      <c r="H1057" s="350" t="s">
        <v>1285</v>
      </c>
      <c r="I1057" s="350" t="s">
        <v>393</v>
      </c>
      <c r="J1057" s="560">
        <v>150000</v>
      </c>
      <c r="K1057" s="350" t="s">
        <v>394</v>
      </c>
      <c r="L1057" s="353">
        <v>2801.6</v>
      </c>
      <c r="M1057" s="433">
        <f t="shared" si="892"/>
        <v>53.540833809251858</v>
      </c>
      <c r="N1057" s="354" t="s">
        <v>395</v>
      </c>
      <c r="O1057" s="354">
        <v>0</v>
      </c>
      <c r="P1057" s="374"/>
      <c r="Q1057" s="354">
        <v>0</v>
      </c>
      <c r="R1057" s="354">
        <v>0</v>
      </c>
      <c r="S1057" s="354">
        <v>0</v>
      </c>
      <c r="T1057" s="354">
        <v>0</v>
      </c>
      <c r="U1057" s="374"/>
      <c r="V1057" s="354">
        <v>0</v>
      </c>
      <c r="W1057" s="354">
        <v>0</v>
      </c>
      <c r="X1057" s="354">
        <v>0</v>
      </c>
      <c r="Y1057" s="374"/>
      <c r="Z1057" s="354">
        <v>0</v>
      </c>
      <c r="AA1057" s="354">
        <v>0</v>
      </c>
      <c r="AB1057" s="374"/>
      <c r="AC1057" s="376">
        <v>0</v>
      </c>
      <c r="AD1057" s="376">
        <v>0</v>
      </c>
      <c r="AE1057" s="376">
        <v>0</v>
      </c>
      <c r="AF1057" s="374"/>
      <c r="AG1057" s="376">
        <v>0</v>
      </c>
      <c r="AH1057" s="376">
        <v>0</v>
      </c>
      <c r="AI1057" s="376">
        <v>0</v>
      </c>
      <c r="AJ1057" s="376">
        <v>0</v>
      </c>
      <c r="AK1057" s="374"/>
      <c r="AL1057" s="376">
        <v>0</v>
      </c>
      <c r="AM1057" s="376">
        <v>0</v>
      </c>
      <c r="AN1057" s="376">
        <v>0</v>
      </c>
      <c r="AO1057" s="374"/>
      <c r="AP1057" s="376">
        <v>0</v>
      </c>
      <c r="AQ1057" s="376">
        <v>0</v>
      </c>
      <c r="AR1057" s="374"/>
      <c r="AS1057" s="376">
        <v>0</v>
      </c>
      <c r="AT1057" s="376">
        <v>0</v>
      </c>
      <c r="AU1057" s="355" t="s">
        <v>396</v>
      </c>
      <c r="AV1057" s="354" t="s">
        <v>345</v>
      </c>
      <c r="AW1057" s="355">
        <v>0</v>
      </c>
      <c r="AX1057" s="355">
        <v>0</v>
      </c>
      <c r="AY1057" s="355">
        <v>0</v>
      </c>
      <c r="AZ1057" s="355">
        <v>0</v>
      </c>
      <c r="BA1057" s="355">
        <v>0</v>
      </c>
      <c r="BB1057" s="355">
        <v>0</v>
      </c>
    </row>
    <row r="1058" spans="1:54" x14ac:dyDescent="0.25">
      <c r="A1058" s="348" t="s">
        <v>1406</v>
      </c>
      <c r="B1058" s="349">
        <v>55</v>
      </c>
      <c r="C1058" s="350" t="s">
        <v>1287</v>
      </c>
      <c r="D1058" s="351">
        <v>45138</v>
      </c>
      <c r="E1058" s="352"/>
      <c r="F1058" s="352">
        <v>6</v>
      </c>
      <c r="G1058" s="581" t="s">
        <v>1270</v>
      </c>
      <c r="H1058" s="350" t="s">
        <v>1164</v>
      </c>
      <c r="I1058" s="350" t="s">
        <v>393</v>
      </c>
      <c r="J1058" s="375">
        <v>220000</v>
      </c>
      <c r="K1058" s="350" t="s">
        <v>394</v>
      </c>
      <c r="L1058" s="354">
        <v>2802.3999950000002</v>
      </c>
      <c r="M1058" s="375">
        <f>J1058/L1058</f>
        <v>78.50413944922947</v>
      </c>
      <c r="N1058" s="354" t="s">
        <v>395</v>
      </c>
      <c r="O1058" s="354">
        <v>0</v>
      </c>
      <c r="P1058" s="374"/>
      <c r="Q1058" s="354">
        <v>0</v>
      </c>
      <c r="R1058" s="354">
        <v>0</v>
      </c>
      <c r="S1058" s="354">
        <v>0</v>
      </c>
      <c r="T1058" s="354">
        <v>0</v>
      </c>
      <c r="U1058" s="374"/>
      <c r="V1058" s="354">
        <v>0</v>
      </c>
      <c r="W1058" s="354">
        <v>0</v>
      </c>
      <c r="X1058" s="354">
        <v>0</v>
      </c>
      <c r="Y1058" s="374"/>
      <c r="Z1058" s="354">
        <v>0</v>
      </c>
      <c r="AA1058" s="354">
        <v>0</v>
      </c>
      <c r="AB1058" s="374"/>
      <c r="AC1058" s="376">
        <v>0</v>
      </c>
      <c r="AD1058" s="376">
        <v>0</v>
      </c>
      <c r="AE1058" s="376">
        <v>0</v>
      </c>
      <c r="AF1058" s="374"/>
      <c r="AG1058" s="376">
        <v>0</v>
      </c>
      <c r="AH1058" s="376">
        <v>0</v>
      </c>
      <c r="AI1058" s="376">
        <v>0</v>
      </c>
      <c r="AJ1058" s="376">
        <v>0</v>
      </c>
      <c r="AK1058" s="374"/>
      <c r="AL1058" s="376">
        <v>0</v>
      </c>
      <c r="AM1058" s="376">
        <v>0</v>
      </c>
      <c r="AN1058" s="376">
        <v>0</v>
      </c>
      <c r="AO1058" s="374"/>
      <c r="AP1058" s="376">
        <v>0</v>
      </c>
      <c r="AQ1058" s="376">
        <v>0</v>
      </c>
      <c r="AR1058" s="374"/>
      <c r="AS1058" s="376">
        <v>0</v>
      </c>
      <c r="AT1058" s="376">
        <v>0</v>
      </c>
      <c r="AU1058" s="355" t="s">
        <v>396</v>
      </c>
      <c r="AV1058" s="354" t="s">
        <v>397</v>
      </c>
      <c r="AW1058" s="355">
        <v>0</v>
      </c>
      <c r="AX1058" s="355">
        <v>0</v>
      </c>
      <c r="AY1058" s="355">
        <v>0</v>
      </c>
      <c r="AZ1058" s="355">
        <v>0</v>
      </c>
      <c r="BA1058" s="355">
        <v>0</v>
      </c>
      <c r="BB1058" s="355">
        <v>0</v>
      </c>
    </row>
    <row r="1059" spans="1:54" x14ac:dyDescent="0.25">
      <c r="A1059" s="348" t="s">
        <v>1407</v>
      </c>
      <c r="B1059" s="349">
        <v>56</v>
      </c>
      <c r="C1059" s="350" t="s">
        <v>1287</v>
      </c>
      <c r="D1059" s="351">
        <v>45138</v>
      </c>
      <c r="E1059" s="352"/>
      <c r="F1059" s="352">
        <v>6</v>
      </c>
      <c r="G1059" s="581" t="s">
        <v>1270</v>
      </c>
      <c r="H1059" s="350" t="s">
        <v>1408</v>
      </c>
      <c r="I1059" s="350" t="s">
        <v>393</v>
      </c>
      <c r="J1059" s="375">
        <v>8250000</v>
      </c>
      <c r="K1059" s="350" t="s">
        <v>394</v>
      </c>
      <c r="L1059" s="354">
        <v>2802.3999950000002</v>
      </c>
      <c r="M1059" s="375">
        <f>J1059/L1059</f>
        <v>2943.9052293461054</v>
      </c>
      <c r="N1059" s="354" t="s">
        <v>395</v>
      </c>
      <c r="O1059" s="354">
        <v>0</v>
      </c>
      <c r="P1059" s="374"/>
      <c r="Q1059" s="354">
        <v>0</v>
      </c>
      <c r="R1059" s="354">
        <v>0</v>
      </c>
      <c r="S1059" s="354">
        <v>0</v>
      </c>
      <c r="T1059" s="354">
        <v>0</v>
      </c>
      <c r="U1059" s="374"/>
      <c r="V1059" s="354">
        <v>0</v>
      </c>
      <c r="W1059" s="354">
        <v>0</v>
      </c>
      <c r="X1059" s="354">
        <v>0</v>
      </c>
      <c r="Y1059" s="374"/>
      <c r="Z1059" s="354">
        <v>0</v>
      </c>
      <c r="AA1059" s="354">
        <v>0</v>
      </c>
      <c r="AB1059" s="374"/>
      <c r="AC1059" s="376">
        <v>0</v>
      </c>
      <c r="AD1059" s="376">
        <v>0</v>
      </c>
      <c r="AE1059" s="376">
        <v>0</v>
      </c>
      <c r="AF1059" s="374"/>
      <c r="AG1059" s="376">
        <v>0</v>
      </c>
      <c r="AH1059" s="376">
        <v>0</v>
      </c>
      <c r="AI1059" s="376">
        <v>0</v>
      </c>
      <c r="AJ1059" s="376">
        <v>0</v>
      </c>
      <c r="AK1059" s="374"/>
      <c r="AL1059" s="376">
        <v>0</v>
      </c>
      <c r="AM1059" s="376">
        <v>0</v>
      </c>
      <c r="AN1059" s="376">
        <v>0</v>
      </c>
      <c r="AO1059" s="374"/>
      <c r="AP1059" s="376">
        <v>0</v>
      </c>
      <c r="AQ1059" s="376">
        <v>0</v>
      </c>
      <c r="AR1059" s="374"/>
      <c r="AS1059" s="376">
        <v>0</v>
      </c>
      <c r="AT1059" s="376">
        <v>0</v>
      </c>
      <c r="AU1059" s="355" t="s">
        <v>396</v>
      </c>
      <c r="AV1059" s="354" t="s">
        <v>397</v>
      </c>
      <c r="AW1059" s="355">
        <v>0</v>
      </c>
      <c r="AX1059" s="355">
        <v>0</v>
      </c>
      <c r="AY1059" s="355">
        <v>0</v>
      </c>
      <c r="AZ1059" s="355">
        <v>0</v>
      </c>
      <c r="BA1059" s="355">
        <v>0</v>
      </c>
      <c r="BB1059" s="355">
        <v>0</v>
      </c>
    </row>
    <row r="1060" spans="1:54" x14ac:dyDescent="0.25">
      <c r="A1060" s="348" t="s">
        <v>1409</v>
      </c>
      <c r="B1060" s="349">
        <v>57</v>
      </c>
      <c r="C1060" s="350" t="s">
        <v>1287</v>
      </c>
      <c r="D1060" s="351">
        <v>45138</v>
      </c>
      <c r="E1060" s="352"/>
      <c r="F1060" s="352">
        <v>6</v>
      </c>
      <c r="G1060" s="581" t="s">
        <v>1270</v>
      </c>
      <c r="H1060" s="350" t="s">
        <v>1410</v>
      </c>
      <c r="I1060" s="350" t="s">
        <v>393</v>
      </c>
      <c r="J1060" s="375">
        <v>235000</v>
      </c>
      <c r="K1060" s="350" t="s">
        <v>394</v>
      </c>
      <c r="L1060" s="354">
        <v>2802.3999950000002</v>
      </c>
      <c r="M1060" s="375">
        <f>J1060/L1060</f>
        <v>83.856694411676941</v>
      </c>
      <c r="N1060" s="354" t="s">
        <v>395</v>
      </c>
      <c r="O1060" s="354">
        <v>0</v>
      </c>
      <c r="P1060" s="374"/>
      <c r="Q1060" s="354">
        <v>0</v>
      </c>
      <c r="R1060" s="354">
        <v>0</v>
      </c>
      <c r="S1060" s="354">
        <v>0</v>
      </c>
      <c r="T1060" s="354">
        <v>0</v>
      </c>
      <c r="U1060" s="374"/>
      <c r="V1060" s="354">
        <v>0</v>
      </c>
      <c r="W1060" s="354">
        <v>0</v>
      </c>
      <c r="X1060" s="354">
        <v>0</v>
      </c>
      <c r="Y1060" s="374"/>
      <c r="Z1060" s="354">
        <v>0</v>
      </c>
      <c r="AA1060" s="354">
        <v>0</v>
      </c>
      <c r="AB1060" s="374"/>
      <c r="AC1060" s="376">
        <v>0</v>
      </c>
      <c r="AD1060" s="376">
        <v>0</v>
      </c>
      <c r="AE1060" s="376">
        <v>0</v>
      </c>
      <c r="AF1060" s="374"/>
      <c r="AG1060" s="376">
        <v>0</v>
      </c>
      <c r="AH1060" s="376">
        <v>0</v>
      </c>
      <c r="AI1060" s="376">
        <v>0</v>
      </c>
      <c r="AJ1060" s="376">
        <v>0</v>
      </c>
      <c r="AK1060" s="374"/>
      <c r="AL1060" s="376">
        <v>0</v>
      </c>
      <c r="AM1060" s="376">
        <v>0</v>
      </c>
      <c r="AN1060" s="376">
        <v>0</v>
      </c>
      <c r="AO1060" s="374"/>
      <c r="AP1060" s="376">
        <v>0</v>
      </c>
      <c r="AQ1060" s="376">
        <v>0</v>
      </c>
      <c r="AR1060" s="374"/>
      <c r="AS1060" s="376">
        <v>0</v>
      </c>
      <c r="AT1060" s="376">
        <v>0</v>
      </c>
      <c r="AU1060" s="355" t="s">
        <v>396</v>
      </c>
      <c r="AV1060" s="354" t="s">
        <v>397</v>
      </c>
      <c r="AW1060" s="355">
        <v>0</v>
      </c>
      <c r="AX1060" s="355">
        <v>0</v>
      </c>
      <c r="AY1060" s="355">
        <v>0</v>
      </c>
      <c r="AZ1060" s="355">
        <v>0</v>
      </c>
      <c r="BA1060" s="355">
        <v>0</v>
      </c>
      <c r="BB1060" s="355">
        <v>0</v>
      </c>
    </row>
    <row r="1061" spans="1:54" x14ac:dyDescent="0.25">
      <c r="A1061" s="348" t="s">
        <v>1411</v>
      </c>
      <c r="B1061" s="349">
        <v>58</v>
      </c>
      <c r="C1061" s="350" t="s">
        <v>1287</v>
      </c>
      <c r="D1061" s="351">
        <v>45138</v>
      </c>
      <c r="E1061" s="352"/>
      <c r="F1061" s="352">
        <v>6</v>
      </c>
      <c r="G1061" s="581" t="s">
        <v>1270</v>
      </c>
      <c r="H1061" s="350" t="s">
        <v>1410</v>
      </c>
      <c r="I1061" s="350" t="s">
        <v>393</v>
      </c>
      <c r="J1061" s="375">
        <v>235000</v>
      </c>
      <c r="K1061" s="350" t="s">
        <v>394</v>
      </c>
      <c r="L1061" s="354">
        <v>2802.3999950000002</v>
      </c>
      <c r="M1061" s="375">
        <f>J1061/L1061</f>
        <v>83.856694411676941</v>
      </c>
      <c r="N1061" s="354" t="s">
        <v>395</v>
      </c>
      <c r="O1061" s="354">
        <v>0</v>
      </c>
      <c r="P1061" s="374"/>
      <c r="Q1061" s="354">
        <v>0</v>
      </c>
      <c r="R1061" s="354">
        <v>0</v>
      </c>
      <c r="S1061" s="354">
        <v>0</v>
      </c>
      <c r="T1061" s="354">
        <v>0</v>
      </c>
      <c r="U1061" s="374"/>
      <c r="V1061" s="354">
        <v>0</v>
      </c>
      <c r="W1061" s="354">
        <v>0</v>
      </c>
      <c r="X1061" s="354">
        <v>0</v>
      </c>
      <c r="Y1061" s="374"/>
      <c r="Z1061" s="354">
        <v>0</v>
      </c>
      <c r="AA1061" s="354">
        <v>0</v>
      </c>
      <c r="AB1061" s="374"/>
      <c r="AC1061" s="376">
        <v>0</v>
      </c>
      <c r="AD1061" s="376">
        <v>0</v>
      </c>
      <c r="AE1061" s="376">
        <v>0</v>
      </c>
      <c r="AF1061" s="374"/>
      <c r="AG1061" s="376">
        <v>0</v>
      </c>
      <c r="AH1061" s="376">
        <v>0</v>
      </c>
      <c r="AI1061" s="376">
        <v>0</v>
      </c>
      <c r="AJ1061" s="376">
        <v>0</v>
      </c>
      <c r="AK1061" s="374"/>
      <c r="AL1061" s="376">
        <v>0</v>
      </c>
      <c r="AM1061" s="376">
        <v>0</v>
      </c>
      <c r="AN1061" s="376">
        <v>0</v>
      </c>
      <c r="AO1061" s="374"/>
      <c r="AP1061" s="376">
        <v>0</v>
      </c>
      <c r="AQ1061" s="376">
        <v>0</v>
      </c>
      <c r="AR1061" s="374"/>
      <c r="AS1061" s="376">
        <v>0</v>
      </c>
      <c r="AT1061" s="376">
        <v>0</v>
      </c>
      <c r="AU1061" s="355" t="s">
        <v>396</v>
      </c>
      <c r="AV1061" s="354" t="s">
        <v>397</v>
      </c>
      <c r="AW1061" s="355">
        <v>0</v>
      </c>
      <c r="AX1061" s="355">
        <v>0</v>
      </c>
      <c r="AY1061" s="355">
        <v>0</v>
      </c>
      <c r="AZ1061" s="355">
        <v>0</v>
      </c>
      <c r="BA1061" s="355">
        <v>0</v>
      </c>
      <c r="BB1061" s="355">
        <v>0</v>
      </c>
    </row>
    <row r="1062" spans="1:54" x14ac:dyDescent="0.25">
      <c r="A1062" s="348" t="s">
        <v>1412</v>
      </c>
      <c r="B1062" s="349">
        <v>59</v>
      </c>
      <c r="C1062" s="350" t="s">
        <v>1287</v>
      </c>
      <c r="D1062" s="351">
        <v>45138</v>
      </c>
      <c r="E1062" s="352"/>
      <c r="F1062" s="352">
        <v>6</v>
      </c>
      <c r="G1062" s="581" t="s">
        <v>1270</v>
      </c>
      <c r="H1062" s="350" t="s">
        <v>1413</v>
      </c>
      <c r="I1062" s="350" t="s">
        <v>393</v>
      </c>
      <c r="J1062" s="375">
        <v>30000</v>
      </c>
      <c r="K1062" s="350" t="s">
        <v>394</v>
      </c>
      <c r="L1062" s="354">
        <v>2802.3999950000002</v>
      </c>
      <c r="M1062" s="375">
        <f>J1062/L1062</f>
        <v>10.705109924894929</v>
      </c>
      <c r="N1062" s="354" t="s">
        <v>395</v>
      </c>
      <c r="O1062" s="354">
        <v>0</v>
      </c>
      <c r="P1062" s="374"/>
      <c r="Q1062" s="354">
        <v>0</v>
      </c>
      <c r="R1062" s="354">
        <v>0</v>
      </c>
      <c r="S1062" s="354">
        <v>0</v>
      </c>
      <c r="T1062" s="354">
        <v>0</v>
      </c>
      <c r="U1062" s="374"/>
      <c r="V1062" s="354">
        <v>0</v>
      </c>
      <c r="W1062" s="354">
        <v>0</v>
      </c>
      <c r="X1062" s="354">
        <v>0</v>
      </c>
      <c r="Y1062" s="374"/>
      <c r="Z1062" s="354">
        <v>0</v>
      </c>
      <c r="AA1062" s="354">
        <v>0</v>
      </c>
      <c r="AB1062" s="374"/>
      <c r="AC1062" s="376">
        <v>0</v>
      </c>
      <c r="AD1062" s="376">
        <v>0</v>
      </c>
      <c r="AE1062" s="376">
        <v>0</v>
      </c>
      <c r="AF1062" s="374"/>
      <c r="AG1062" s="376">
        <v>0</v>
      </c>
      <c r="AH1062" s="376">
        <v>0</v>
      </c>
      <c r="AI1062" s="376">
        <v>0</v>
      </c>
      <c r="AJ1062" s="376">
        <v>0</v>
      </c>
      <c r="AK1062" s="374"/>
      <c r="AL1062" s="376">
        <v>0</v>
      </c>
      <c r="AM1062" s="376">
        <v>0</v>
      </c>
      <c r="AN1062" s="376">
        <v>0</v>
      </c>
      <c r="AO1062" s="374"/>
      <c r="AP1062" s="376">
        <v>0</v>
      </c>
      <c r="AQ1062" s="376">
        <v>0</v>
      </c>
      <c r="AR1062" s="374"/>
      <c r="AS1062" s="376">
        <v>0</v>
      </c>
      <c r="AT1062" s="376">
        <v>0</v>
      </c>
      <c r="AU1062" s="355" t="s">
        <v>396</v>
      </c>
      <c r="AV1062" s="354" t="s">
        <v>397</v>
      </c>
      <c r="AW1062" s="355">
        <v>0</v>
      </c>
      <c r="AX1062" s="355">
        <v>0</v>
      </c>
      <c r="AY1062" s="355">
        <v>0</v>
      </c>
      <c r="AZ1062" s="355">
        <v>0</v>
      </c>
      <c r="BA1062" s="355">
        <v>0</v>
      </c>
      <c r="BB1062" s="355">
        <v>0</v>
      </c>
    </row>
    <row r="1063" spans="1:54" x14ac:dyDescent="0.25">
      <c r="A1063" s="350" t="s">
        <v>1414</v>
      </c>
      <c r="B1063" s="349">
        <v>149</v>
      </c>
      <c r="C1063" s="350" t="s">
        <v>1330</v>
      </c>
      <c r="D1063" s="351">
        <v>45197</v>
      </c>
      <c r="E1063" s="352"/>
      <c r="F1063" s="352">
        <v>6</v>
      </c>
      <c r="G1063" s="350" t="s">
        <v>1270</v>
      </c>
      <c r="H1063" s="350" t="s">
        <v>1355</v>
      </c>
      <c r="I1063" s="350" t="s">
        <v>393</v>
      </c>
      <c r="J1063" s="375">
        <f>100000+100000+100000+100000+100000+100000+100000</f>
        <v>700000</v>
      </c>
      <c r="K1063" s="350" t="s">
        <v>394</v>
      </c>
      <c r="L1063" s="354">
        <v>2802.3999950000002</v>
      </c>
      <c r="M1063" s="375">
        <f t="shared" ref="M1063:M1072" si="893">J1063/L1063</f>
        <v>249.78589824754832</v>
      </c>
      <c r="N1063" s="354" t="s">
        <v>395</v>
      </c>
      <c r="O1063" s="354">
        <v>0</v>
      </c>
      <c r="P1063" s="374"/>
      <c r="Q1063" s="354">
        <v>0</v>
      </c>
      <c r="R1063" s="354">
        <v>0</v>
      </c>
      <c r="S1063" s="354">
        <v>0</v>
      </c>
      <c r="T1063" s="354">
        <v>0</v>
      </c>
      <c r="U1063" s="374"/>
      <c r="V1063" s="354">
        <v>0</v>
      </c>
      <c r="W1063" s="354">
        <v>0</v>
      </c>
      <c r="X1063" s="354">
        <v>0</v>
      </c>
      <c r="Y1063" s="374"/>
      <c r="Z1063" s="354">
        <v>0</v>
      </c>
      <c r="AA1063" s="354">
        <v>0</v>
      </c>
      <c r="AB1063" s="374"/>
      <c r="AC1063" s="376">
        <v>0</v>
      </c>
      <c r="AD1063" s="376">
        <v>0</v>
      </c>
      <c r="AE1063" s="376">
        <v>0</v>
      </c>
      <c r="AF1063" s="374"/>
      <c r="AG1063" s="376">
        <v>0</v>
      </c>
      <c r="AH1063" s="376">
        <v>0</v>
      </c>
      <c r="AI1063" s="376">
        <v>0</v>
      </c>
      <c r="AJ1063" s="376">
        <v>0</v>
      </c>
      <c r="AK1063" s="374"/>
      <c r="AL1063" s="376">
        <v>0</v>
      </c>
      <c r="AM1063" s="376">
        <v>0</v>
      </c>
      <c r="AN1063" s="376">
        <v>0</v>
      </c>
      <c r="AO1063" s="374"/>
      <c r="AP1063" s="376">
        <v>0</v>
      </c>
      <c r="AQ1063" s="376">
        <v>0</v>
      </c>
      <c r="AR1063" s="374"/>
      <c r="AS1063" s="376">
        <v>0</v>
      </c>
      <c r="AT1063" s="376">
        <v>0</v>
      </c>
      <c r="AU1063" s="355" t="s">
        <v>396</v>
      </c>
      <c r="AV1063" s="354" t="s">
        <v>397</v>
      </c>
      <c r="AW1063" s="355">
        <v>0</v>
      </c>
      <c r="AX1063" s="355">
        <v>0</v>
      </c>
      <c r="AY1063" s="355">
        <v>0</v>
      </c>
      <c r="AZ1063" s="355">
        <v>0</v>
      </c>
      <c r="BA1063" s="355">
        <v>0</v>
      </c>
      <c r="BB1063" s="355">
        <v>0</v>
      </c>
    </row>
    <row r="1064" spans="1:54" x14ac:dyDescent="0.25">
      <c r="A1064" s="350" t="s">
        <v>1414</v>
      </c>
      <c r="B1064" s="349">
        <v>150</v>
      </c>
      <c r="C1064" s="350" t="s">
        <v>1330</v>
      </c>
      <c r="D1064" s="351">
        <v>45197</v>
      </c>
      <c r="E1064" s="352"/>
      <c r="F1064" s="352">
        <v>6</v>
      </c>
      <c r="G1064" s="350" t="s">
        <v>1270</v>
      </c>
      <c r="H1064" s="350" t="s">
        <v>1415</v>
      </c>
      <c r="I1064" s="350" t="s">
        <v>393</v>
      </c>
      <c r="J1064" s="375">
        <f>15000+15000+15000+15000+15000</f>
        <v>75000</v>
      </c>
      <c r="K1064" s="350" t="s">
        <v>394</v>
      </c>
      <c r="L1064" s="354">
        <v>2802.3999950000002</v>
      </c>
      <c r="M1064" s="375">
        <f t="shared" si="893"/>
        <v>26.762774812237321</v>
      </c>
      <c r="N1064" s="354" t="s">
        <v>395</v>
      </c>
      <c r="O1064" s="354">
        <v>0</v>
      </c>
      <c r="P1064" s="374"/>
      <c r="Q1064" s="354">
        <v>0</v>
      </c>
      <c r="R1064" s="354">
        <v>0</v>
      </c>
      <c r="S1064" s="354">
        <v>0</v>
      </c>
      <c r="T1064" s="354">
        <v>0</v>
      </c>
      <c r="U1064" s="374"/>
      <c r="V1064" s="354">
        <v>0</v>
      </c>
      <c r="W1064" s="354">
        <v>0</v>
      </c>
      <c r="X1064" s="354">
        <v>0</v>
      </c>
      <c r="Y1064" s="374"/>
      <c r="Z1064" s="354">
        <v>0</v>
      </c>
      <c r="AA1064" s="354">
        <v>0</v>
      </c>
      <c r="AB1064" s="374"/>
      <c r="AC1064" s="376">
        <v>0</v>
      </c>
      <c r="AD1064" s="376">
        <v>0</v>
      </c>
      <c r="AE1064" s="376">
        <v>0</v>
      </c>
      <c r="AF1064" s="374"/>
      <c r="AG1064" s="376">
        <v>0</v>
      </c>
      <c r="AH1064" s="376">
        <v>0</v>
      </c>
      <c r="AI1064" s="376">
        <v>0</v>
      </c>
      <c r="AJ1064" s="376">
        <v>0</v>
      </c>
      <c r="AK1064" s="374"/>
      <c r="AL1064" s="376">
        <v>0</v>
      </c>
      <c r="AM1064" s="376">
        <v>0</v>
      </c>
      <c r="AN1064" s="376">
        <v>0</v>
      </c>
      <c r="AO1064" s="374"/>
      <c r="AP1064" s="376">
        <v>0</v>
      </c>
      <c r="AQ1064" s="376">
        <v>0</v>
      </c>
      <c r="AR1064" s="374"/>
      <c r="AS1064" s="376">
        <v>0</v>
      </c>
      <c r="AT1064" s="376">
        <v>0</v>
      </c>
      <c r="AU1064" s="355" t="s">
        <v>396</v>
      </c>
      <c r="AV1064" s="354" t="s">
        <v>397</v>
      </c>
      <c r="AW1064" s="355">
        <v>0</v>
      </c>
      <c r="AX1064" s="355">
        <v>0</v>
      </c>
      <c r="AY1064" s="355">
        <v>0</v>
      </c>
      <c r="AZ1064" s="355">
        <v>0</v>
      </c>
      <c r="BA1064" s="355">
        <v>0</v>
      </c>
      <c r="BB1064" s="355">
        <v>0</v>
      </c>
    </row>
    <row r="1065" spans="1:54" x14ac:dyDescent="0.25">
      <c r="A1065" s="350" t="s">
        <v>1414</v>
      </c>
      <c r="B1065" s="349">
        <v>151</v>
      </c>
      <c r="C1065" s="350" t="s">
        <v>1330</v>
      </c>
      <c r="D1065" s="351">
        <v>45197</v>
      </c>
      <c r="E1065" s="352"/>
      <c r="F1065" s="352">
        <v>6</v>
      </c>
      <c r="G1065" s="350" t="s">
        <v>1270</v>
      </c>
      <c r="H1065" s="350" t="s">
        <v>1416</v>
      </c>
      <c r="I1065" s="350" t="s">
        <v>393</v>
      </c>
      <c r="J1065" s="375">
        <v>30000</v>
      </c>
      <c r="K1065" s="350" t="s">
        <v>394</v>
      </c>
      <c r="L1065" s="354">
        <v>2802.3999950000002</v>
      </c>
      <c r="M1065" s="375">
        <f t="shared" si="893"/>
        <v>10.705109924894929</v>
      </c>
      <c r="N1065" s="354" t="s">
        <v>395</v>
      </c>
      <c r="O1065" s="354">
        <v>0</v>
      </c>
      <c r="P1065" s="374"/>
      <c r="Q1065" s="354">
        <v>0</v>
      </c>
      <c r="R1065" s="354">
        <v>0</v>
      </c>
      <c r="S1065" s="354">
        <v>0</v>
      </c>
      <c r="T1065" s="354">
        <v>0</v>
      </c>
      <c r="U1065" s="374"/>
      <c r="V1065" s="354">
        <v>0</v>
      </c>
      <c r="W1065" s="354">
        <v>0</v>
      </c>
      <c r="X1065" s="354">
        <v>0</v>
      </c>
      <c r="Y1065" s="374"/>
      <c r="Z1065" s="354">
        <v>0</v>
      </c>
      <c r="AA1065" s="354">
        <v>0</v>
      </c>
      <c r="AB1065" s="374"/>
      <c r="AC1065" s="376">
        <v>0</v>
      </c>
      <c r="AD1065" s="376">
        <v>0</v>
      </c>
      <c r="AE1065" s="376">
        <v>0</v>
      </c>
      <c r="AF1065" s="374"/>
      <c r="AG1065" s="376">
        <v>0</v>
      </c>
      <c r="AH1065" s="376">
        <v>0</v>
      </c>
      <c r="AI1065" s="376">
        <v>0</v>
      </c>
      <c r="AJ1065" s="376">
        <v>0</v>
      </c>
      <c r="AK1065" s="374"/>
      <c r="AL1065" s="376">
        <v>0</v>
      </c>
      <c r="AM1065" s="376">
        <v>0</v>
      </c>
      <c r="AN1065" s="376">
        <v>0</v>
      </c>
      <c r="AO1065" s="374"/>
      <c r="AP1065" s="376">
        <v>0</v>
      </c>
      <c r="AQ1065" s="376">
        <v>0</v>
      </c>
      <c r="AR1065" s="374"/>
      <c r="AS1065" s="376">
        <v>0</v>
      </c>
      <c r="AT1065" s="376">
        <v>0</v>
      </c>
      <c r="AU1065" s="355" t="s">
        <v>396</v>
      </c>
      <c r="AV1065" s="354" t="s">
        <v>397</v>
      </c>
      <c r="AW1065" s="355">
        <v>0</v>
      </c>
      <c r="AX1065" s="355">
        <v>0</v>
      </c>
      <c r="AY1065" s="355">
        <v>0</v>
      </c>
      <c r="AZ1065" s="355">
        <v>0</v>
      </c>
      <c r="BA1065" s="355">
        <v>0</v>
      </c>
      <c r="BB1065" s="355">
        <v>0</v>
      </c>
    </row>
    <row r="1066" spans="1:54" x14ac:dyDescent="0.25">
      <c r="A1066" s="350" t="s">
        <v>1414</v>
      </c>
      <c r="B1066" s="349">
        <v>152</v>
      </c>
      <c r="C1066" s="350" t="s">
        <v>1330</v>
      </c>
      <c r="D1066" s="351">
        <v>45197</v>
      </c>
      <c r="E1066" s="352"/>
      <c r="F1066" s="352">
        <v>6</v>
      </c>
      <c r="G1066" s="350" t="s">
        <v>1270</v>
      </c>
      <c r="H1066" s="350" t="s">
        <v>1354</v>
      </c>
      <c r="I1066" s="350" t="s">
        <v>393</v>
      </c>
      <c r="J1066" s="375">
        <v>15000</v>
      </c>
      <c r="K1066" s="350" t="s">
        <v>394</v>
      </c>
      <c r="L1066" s="354">
        <v>2802.3999950000002</v>
      </c>
      <c r="M1066" s="375">
        <f t="shared" si="893"/>
        <v>5.3525549624474644</v>
      </c>
      <c r="N1066" s="354" t="s">
        <v>395</v>
      </c>
      <c r="O1066" s="354">
        <v>0</v>
      </c>
      <c r="P1066" s="374"/>
      <c r="Q1066" s="354">
        <v>0</v>
      </c>
      <c r="R1066" s="354">
        <v>0</v>
      </c>
      <c r="S1066" s="354">
        <v>0</v>
      </c>
      <c r="T1066" s="354">
        <v>0</v>
      </c>
      <c r="U1066" s="374"/>
      <c r="V1066" s="354">
        <v>0</v>
      </c>
      <c r="W1066" s="354">
        <v>0</v>
      </c>
      <c r="X1066" s="354">
        <v>0</v>
      </c>
      <c r="Y1066" s="374"/>
      <c r="Z1066" s="354">
        <v>0</v>
      </c>
      <c r="AA1066" s="354">
        <v>0</v>
      </c>
      <c r="AB1066" s="374"/>
      <c r="AC1066" s="376">
        <v>0</v>
      </c>
      <c r="AD1066" s="376">
        <v>0</v>
      </c>
      <c r="AE1066" s="376">
        <v>0</v>
      </c>
      <c r="AF1066" s="374"/>
      <c r="AG1066" s="376">
        <v>0</v>
      </c>
      <c r="AH1066" s="376">
        <v>0</v>
      </c>
      <c r="AI1066" s="376">
        <v>0</v>
      </c>
      <c r="AJ1066" s="376">
        <v>0</v>
      </c>
      <c r="AK1066" s="374"/>
      <c r="AL1066" s="376">
        <v>0</v>
      </c>
      <c r="AM1066" s="376">
        <v>0</v>
      </c>
      <c r="AN1066" s="376">
        <v>0</v>
      </c>
      <c r="AO1066" s="374"/>
      <c r="AP1066" s="376">
        <v>0</v>
      </c>
      <c r="AQ1066" s="376">
        <v>0</v>
      </c>
      <c r="AR1066" s="374"/>
      <c r="AS1066" s="376">
        <v>0</v>
      </c>
      <c r="AT1066" s="376">
        <v>0</v>
      </c>
      <c r="AU1066" s="355" t="s">
        <v>396</v>
      </c>
      <c r="AV1066" s="354" t="s">
        <v>397</v>
      </c>
      <c r="AW1066" s="355">
        <v>0</v>
      </c>
      <c r="AX1066" s="355">
        <v>0</v>
      </c>
      <c r="AY1066" s="355">
        <v>0</v>
      </c>
      <c r="AZ1066" s="355">
        <v>0</v>
      </c>
      <c r="BA1066" s="355">
        <v>0</v>
      </c>
      <c r="BB1066" s="355">
        <v>0</v>
      </c>
    </row>
    <row r="1067" spans="1:54" x14ac:dyDescent="0.25">
      <c r="A1067" s="350" t="s">
        <v>1414</v>
      </c>
      <c r="B1067" s="349">
        <v>153</v>
      </c>
      <c r="C1067" s="350" t="s">
        <v>1330</v>
      </c>
      <c r="D1067" s="351">
        <v>45197</v>
      </c>
      <c r="E1067" s="352"/>
      <c r="F1067" s="352">
        <v>6</v>
      </c>
      <c r="G1067" s="350" t="s">
        <v>1270</v>
      </c>
      <c r="H1067" s="350" t="s">
        <v>1392</v>
      </c>
      <c r="I1067" s="350" t="s">
        <v>393</v>
      </c>
      <c r="J1067" s="375">
        <v>4000</v>
      </c>
      <c r="K1067" s="350" t="s">
        <v>394</v>
      </c>
      <c r="L1067" s="354">
        <v>2802.3999950000002</v>
      </c>
      <c r="M1067" s="375">
        <f t="shared" si="893"/>
        <v>1.4273479899859904</v>
      </c>
      <c r="N1067" s="354" t="s">
        <v>395</v>
      </c>
      <c r="O1067" s="354">
        <v>0</v>
      </c>
      <c r="P1067" s="374"/>
      <c r="Q1067" s="354">
        <v>0</v>
      </c>
      <c r="R1067" s="354">
        <v>0</v>
      </c>
      <c r="S1067" s="354">
        <v>0</v>
      </c>
      <c r="T1067" s="354">
        <v>0</v>
      </c>
      <c r="U1067" s="374"/>
      <c r="V1067" s="354">
        <v>0</v>
      </c>
      <c r="W1067" s="354">
        <v>0</v>
      </c>
      <c r="X1067" s="354">
        <v>0</v>
      </c>
      <c r="Y1067" s="374"/>
      <c r="Z1067" s="354">
        <v>0</v>
      </c>
      <c r="AA1067" s="354">
        <v>0</v>
      </c>
      <c r="AB1067" s="374"/>
      <c r="AC1067" s="376">
        <v>0</v>
      </c>
      <c r="AD1067" s="376">
        <v>0</v>
      </c>
      <c r="AE1067" s="376">
        <v>0</v>
      </c>
      <c r="AF1067" s="374"/>
      <c r="AG1067" s="376">
        <v>0</v>
      </c>
      <c r="AH1067" s="376">
        <v>0</v>
      </c>
      <c r="AI1067" s="376">
        <v>0</v>
      </c>
      <c r="AJ1067" s="376">
        <v>0</v>
      </c>
      <c r="AK1067" s="374"/>
      <c r="AL1067" s="376">
        <v>0</v>
      </c>
      <c r="AM1067" s="376">
        <v>0</v>
      </c>
      <c r="AN1067" s="376">
        <v>0</v>
      </c>
      <c r="AO1067" s="374"/>
      <c r="AP1067" s="376">
        <v>0</v>
      </c>
      <c r="AQ1067" s="376">
        <v>0</v>
      </c>
      <c r="AR1067" s="374"/>
      <c r="AS1067" s="376">
        <v>0</v>
      </c>
      <c r="AT1067" s="376">
        <v>0</v>
      </c>
      <c r="AU1067" s="355" t="s">
        <v>396</v>
      </c>
      <c r="AV1067" s="354" t="s">
        <v>397</v>
      </c>
      <c r="AW1067" s="355">
        <v>0</v>
      </c>
      <c r="AX1067" s="355">
        <v>0</v>
      </c>
      <c r="AY1067" s="355">
        <v>0</v>
      </c>
      <c r="AZ1067" s="355">
        <v>0</v>
      </c>
      <c r="BA1067" s="355">
        <v>0</v>
      </c>
      <c r="BB1067" s="355">
        <v>0</v>
      </c>
    </row>
    <row r="1068" spans="1:54" x14ac:dyDescent="0.25">
      <c r="A1068" s="350" t="s">
        <v>1414</v>
      </c>
      <c r="B1068" s="349">
        <v>154</v>
      </c>
      <c r="C1068" s="350" t="s">
        <v>1330</v>
      </c>
      <c r="D1068" s="351">
        <v>45197</v>
      </c>
      <c r="E1068" s="352"/>
      <c r="F1068" s="352">
        <v>6</v>
      </c>
      <c r="G1068" s="350" t="s">
        <v>1270</v>
      </c>
      <c r="H1068" s="350" t="s">
        <v>1417</v>
      </c>
      <c r="I1068" s="350" t="s">
        <v>393</v>
      </c>
      <c r="J1068" s="375">
        <f>314500+255170+311355</f>
        <v>881025</v>
      </c>
      <c r="K1068" s="350" t="s">
        <v>394</v>
      </c>
      <c r="L1068" s="354">
        <v>2802.3999950000002</v>
      </c>
      <c r="M1068" s="375">
        <f t="shared" si="893"/>
        <v>314.38231571935182</v>
      </c>
      <c r="N1068" s="354" t="s">
        <v>395</v>
      </c>
      <c r="O1068" s="354">
        <v>0</v>
      </c>
      <c r="P1068" s="374"/>
      <c r="Q1068" s="354">
        <v>0</v>
      </c>
      <c r="R1068" s="354">
        <v>0</v>
      </c>
      <c r="S1068" s="354">
        <v>0</v>
      </c>
      <c r="T1068" s="354">
        <v>0</v>
      </c>
      <c r="U1068" s="374"/>
      <c r="V1068" s="354">
        <v>0</v>
      </c>
      <c r="W1068" s="354">
        <v>0</v>
      </c>
      <c r="X1068" s="354">
        <v>0</v>
      </c>
      <c r="Y1068" s="374"/>
      <c r="Z1068" s="354">
        <v>0</v>
      </c>
      <c r="AA1068" s="354">
        <v>0</v>
      </c>
      <c r="AB1068" s="374"/>
      <c r="AC1068" s="376">
        <v>0</v>
      </c>
      <c r="AD1068" s="376">
        <v>0</v>
      </c>
      <c r="AE1068" s="376">
        <v>0</v>
      </c>
      <c r="AF1068" s="374"/>
      <c r="AG1068" s="376">
        <v>0</v>
      </c>
      <c r="AH1068" s="376">
        <v>0</v>
      </c>
      <c r="AI1068" s="376">
        <v>0</v>
      </c>
      <c r="AJ1068" s="376">
        <v>0</v>
      </c>
      <c r="AK1068" s="374"/>
      <c r="AL1068" s="376">
        <v>0</v>
      </c>
      <c r="AM1068" s="376">
        <v>0</v>
      </c>
      <c r="AN1068" s="376">
        <v>0</v>
      </c>
      <c r="AO1068" s="374"/>
      <c r="AP1068" s="376">
        <v>0</v>
      </c>
      <c r="AQ1068" s="376">
        <v>0</v>
      </c>
      <c r="AR1068" s="374"/>
      <c r="AS1068" s="376">
        <v>0</v>
      </c>
      <c r="AT1068" s="376">
        <v>0</v>
      </c>
      <c r="AU1068" s="355" t="s">
        <v>396</v>
      </c>
      <c r="AV1068" s="354" t="s">
        <v>397</v>
      </c>
      <c r="AW1068" s="355">
        <v>0</v>
      </c>
      <c r="AX1068" s="355">
        <v>0</v>
      </c>
      <c r="AY1068" s="355">
        <v>0</v>
      </c>
      <c r="AZ1068" s="355">
        <v>0</v>
      </c>
      <c r="BA1068" s="355">
        <v>0</v>
      </c>
      <c r="BB1068" s="355">
        <v>0</v>
      </c>
    </row>
    <row r="1069" spans="1:54" x14ac:dyDescent="0.25">
      <c r="A1069" s="350" t="s">
        <v>1418</v>
      </c>
      <c r="B1069" s="349">
        <v>155</v>
      </c>
      <c r="C1069" s="350" t="s">
        <v>1330</v>
      </c>
      <c r="D1069" s="351">
        <v>45201</v>
      </c>
      <c r="E1069" s="352"/>
      <c r="F1069" s="352">
        <v>6</v>
      </c>
      <c r="G1069" s="350" t="s">
        <v>1270</v>
      </c>
      <c r="H1069" s="350" t="s">
        <v>1419</v>
      </c>
      <c r="I1069" s="350" t="s">
        <v>393</v>
      </c>
      <c r="J1069" s="375">
        <v>150000</v>
      </c>
      <c r="K1069" s="350" t="s">
        <v>394</v>
      </c>
      <c r="L1069" s="354">
        <v>2802.3999950000002</v>
      </c>
      <c r="M1069" s="375">
        <f t="shared" si="893"/>
        <v>53.525549624474642</v>
      </c>
      <c r="N1069" s="354" t="s">
        <v>395</v>
      </c>
      <c r="O1069" s="354">
        <v>0</v>
      </c>
      <c r="P1069" s="374"/>
      <c r="Q1069" s="354">
        <v>0</v>
      </c>
      <c r="R1069" s="354">
        <v>0</v>
      </c>
      <c r="S1069" s="354">
        <v>0</v>
      </c>
      <c r="T1069" s="354">
        <v>0</v>
      </c>
      <c r="U1069" s="374"/>
      <c r="V1069" s="354">
        <v>0</v>
      </c>
      <c r="W1069" s="354">
        <v>0</v>
      </c>
      <c r="X1069" s="354">
        <v>0</v>
      </c>
      <c r="Y1069" s="374"/>
      <c r="Z1069" s="354">
        <v>0</v>
      </c>
      <c r="AA1069" s="354">
        <v>0</v>
      </c>
      <c r="AB1069" s="374"/>
      <c r="AC1069" s="376">
        <v>0</v>
      </c>
      <c r="AD1069" s="376">
        <v>0</v>
      </c>
      <c r="AE1069" s="376">
        <v>0</v>
      </c>
      <c r="AF1069" s="374"/>
      <c r="AG1069" s="376">
        <v>0</v>
      </c>
      <c r="AH1069" s="376">
        <v>0</v>
      </c>
      <c r="AI1069" s="376">
        <v>0</v>
      </c>
      <c r="AJ1069" s="376">
        <v>0</v>
      </c>
      <c r="AK1069" s="374"/>
      <c r="AL1069" s="376">
        <v>0</v>
      </c>
      <c r="AM1069" s="376">
        <v>0</v>
      </c>
      <c r="AN1069" s="376">
        <v>0</v>
      </c>
      <c r="AO1069" s="374"/>
      <c r="AP1069" s="376">
        <v>0</v>
      </c>
      <c r="AQ1069" s="376">
        <v>0</v>
      </c>
      <c r="AR1069" s="374"/>
      <c r="AS1069" s="376">
        <v>0</v>
      </c>
      <c r="AT1069" s="376">
        <v>0</v>
      </c>
      <c r="AU1069" s="355" t="s">
        <v>396</v>
      </c>
      <c r="AV1069" s="354" t="s">
        <v>397</v>
      </c>
      <c r="AW1069" s="355">
        <v>0</v>
      </c>
      <c r="AX1069" s="355">
        <v>0</v>
      </c>
      <c r="AY1069" s="355">
        <v>0</v>
      </c>
      <c r="AZ1069" s="355">
        <v>0</v>
      </c>
      <c r="BA1069" s="355">
        <v>0</v>
      </c>
      <c r="BB1069" s="355">
        <v>0</v>
      </c>
    </row>
    <row r="1070" spans="1:54" x14ac:dyDescent="0.25">
      <c r="A1070" s="350" t="s">
        <v>1420</v>
      </c>
      <c r="B1070" s="349">
        <v>156</v>
      </c>
      <c r="C1070" s="350" t="s">
        <v>1330</v>
      </c>
      <c r="D1070" s="351">
        <v>45202</v>
      </c>
      <c r="E1070" s="352"/>
      <c r="F1070" s="352">
        <v>6</v>
      </c>
      <c r="G1070" s="350" t="s">
        <v>1270</v>
      </c>
      <c r="H1070" s="350" t="s">
        <v>1408</v>
      </c>
      <c r="I1070" s="350" t="s">
        <v>393</v>
      </c>
      <c r="J1070" s="375">
        <v>8514000</v>
      </c>
      <c r="K1070" s="350" t="s">
        <v>394</v>
      </c>
      <c r="L1070" s="354">
        <v>2802.3999950000002</v>
      </c>
      <c r="M1070" s="375">
        <f t="shared" si="893"/>
        <v>3038.1101966851807</v>
      </c>
      <c r="N1070" s="354" t="s">
        <v>395</v>
      </c>
      <c r="O1070" s="354">
        <v>0</v>
      </c>
      <c r="P1070" s="374"/>
      <c r="Q1070" s="354">
        <v>0</v>
      </c>
      <c r="R1070" s="354">
        <v>0</v>
      </c>
      <c r="S1070" s="354">
        <v>0</v>
      </c>
      <c r="T1070" s="354">
        <v>0</v>
      </c>
      <c r="U1070" s="374"/>
      <c r="V1070" s="354">
        <v>0</v>
      </c>
      <c r="W1070" s="354">
        <v>0</v>
      </c>
      <c r="X1070" s="354">
        <v>0</v>
      </c>
      <c r="Y1070" s="374"/>
      <c r="Z1070" s="354">
        <v>0</v>
      </c>
      <c r="AA1070" s="354">
        <v>0</v>
      </c>
      <c r="AB1070" s="374"/>
      <c r="AC1070" s="376">
        <v>0</v>
      </c>
      <c r="AD1070" s="376">
        <v>0</v>
      </c>
      <c r="AE1070" s="376">
        <v>0</v>
      </c>
      <c r="AF1070" s="374"/>
      <c r="AG1070" s="376">
        <v>0</v>
      </c>
      <c r="AH1070" s="376">
        <v>0</v>
      </c>
      <c r="AI1070" s="376">
        <v>0</v>
      </c>
      <c r="AJ1070" s="376">
        <v>0</v>
      </c>
      <c r="AK1070" s="374"/>
      <c r="AL1070" s="376">
        <v>0</v>
      </c>
      <c r="AM1070" s="376">
        <v>0</v>
      </c>
      <c r="AN1070" s="376">
        <v>0</v>
      </c>
      <c r="AO1070" s="374"/>
      <c r="AP1070" s="376">
        <v>0</v>
      </c>
      <c r="AQ1070" s="376">
        <v>0</v>
      </c>
      <c r="AR1070" s="374"/>
      <c r="AS1070" s="376">
        <v>0</v>
      </c>
      <c r="AT1070" s="376">
        <v>0</v>
      </c>
      <c r="AU1070" s="355" t="s">
        <v>396</v>
      </c>
      <c r="AV1070" s="354" t="s">
        <v>397</v>
      </c>
      <c r="AW1070" s="355">
        <v>0</v>
      </c>
      <c r="AX1070" s="355">
        <v>0</v>
      </c>
      <c r="AY1070" s="355">
        <v>0</v>
      </c>
      <c r="AZ1070" s="355">
        <v>0</v>
      </c>
      <c r="BA1070" s="355">
        <v>0</v>
      </c>
      <c r="BB1070" s="355">
        <v>0</v>
      </c>
    </row>
    <row r="1071" spans="1:54" x14ac:dyDescent="0.25">
      <c r="A1071" s="350" t="s">
        <v>1421</v>
      </c>
      <c r="B1071" s="349">
        <v>157</v>
      </c>
      <c r="C1071" s="350" t="s">
        <v>1330</v>
      </c>
      <c r="D1071" s="351">
        <v>45202</v>
      </c>
      <c r="E1071" s="352"/>
      <c r="F1071" s="352">
        <v>6</v>
      </c>
      <c r="G1071" s="350" t="s">
        <v>1270</v>
      </c>
      <c r="H1071" s="350" t="s">
        <v>1408</v>
      </c>
      <c r="I1071" s="350" t="s">
        <v>393</v>
      </c>
      <c r="J1071" s="375">
        <v>916000</v>
      </c>
      <c r="K1071" s="350" t="s">
        <v>394</v>
      </c>
      <c r="L1071" s="354">
        <v>2802.3999950000002</v>
      </c>
      <c r="M1071" s="375">
        <f t="shared" si="893"/>
        <v>326.8626897067918</v>
      </c>
      <c r="N1071" s="354" t="s">
        <v>395</v>
      </c>
      <c r="O1071" s="354">
        <v>0</v>
      </c>
      <c r="P1071" s="374"/>
      <c r="Q1071" s="354">
        <v>0</v>
      </c>
      <c r="R1071" s="354">
        <v>0</v>
      </c>
      <c r="S1071" s="354">
        <v>0</v>
      </c>
      <c r="T1071" s="354">
        <v>0</v>
      </c>
      <c r="U1071" s="374"/>
      <c r="V1071" s="354">
        <v>0</v>
      </c>
      <c r="W1071" s="354">
        <v>0</v>
      </c>
      <c r="X1071" s="354">
        <v>0</v>
      </c>
      <c r="Y1071" s="374"/>
      <c r="Z1071" s="354">
        <v>0</v>
      </c>
      <c r="AA1071" s="354">
        <v>0</v>
      </c>
      <c r="AB1071" s="374"/>
      <c r="AC1071" s="376">
        <v>0</v>
      </c>
      <c r="AD1071" s="376">
        <v>0</v>
      </c>
      <c r="AE1071" s="376">
        <v>0</v>
      </c>
      <c r="AF1071" s="374"/>
      <c r="AG1071" s="376">
        <v>0</v>
      </c>
      <c r="AH1071" s="376">
        <v>0</v>
      </c>
      <c r="AI1071" s="376">
        <v>0</v>
      </c>
      <c r="AJ1071" s="376">
        <v>0</v>
      </c>
      <c r="AK1071" s="374"/>
      <c r="AL1071" s="376">
        <v>0</v>
      </c>
      <c r="AM1071" s="376">
        <v>0</v>
      </c>
      <c r="AN1071" s="376">
        <v>0</v>
      </c>
      <c r="AO1071" s="374"/>
      <c r="AP1071" s="376">
        <v>0</v>
      </c>
      <c r="AQ1071" s="376">
        <v>0</v>
      </c>
      <c r="AR1071" s="374"/>
      <c r="AS1071" s="376">
        <v>0</v>
      </c>
      <c r="AT1071" s="376">
        <v>0</v>
      </c>
      <c r="AU1071" s="355" t="s">
        <v>396</v>
      </c>
      <c r="AV1071" s="354" t="s">
        <v>397</v>
      </c>
      <c r="AW1071" s="355">
        <v>0</v>
      </c>
      <c r="AX1071" s="355">
        <v>0</v>
      </c>
      <c r="AY1071" s="355">
        <v>0</v>
      </c>
      <c r="AZ1071" s="355">
        <v>0</v>
      </c>
      <c r="BA1071" s="355">
        <v>0</v>
      </c>
      <c r="BB1071" s="355">
        <v>0</v>
      </c>
    </row>
    <row r="1072" spans="1:54" x14ac:dyDescent="0.25">
      <c r="A1072" s="350" t="s">
        <v>1422</v>
      </c>
      <c r="B1072" s="349">
        <v>158</v>
      </c>
      <c r="C1072" s="350" t="s">
        <v>1330</v>
      </c>
      <c r="D1072" s="351">
        <v>45204</v>
      </c>
      <c r="E1072" s="352"/>
      <c r="F1072" s="352">
        <v>6</v>
      </c>
      <c r="G1072" s="350" t="s">
        <v>1270</v>
      </c>
      <c r="H1072" s="350" t="s">
        <v>351</v>
      </c>
      <c r="I1072" s="350" t="s">
        <v>393</v>
      </c>
      <c r="J1072" s="375">
        <v>1080000</v>
      </c>
      <c r="K1072" s="350" t="s">
        <v>394</v>
      </c>
      <c r="L1072" s="354">
        <v>2802.3999950000002</v>
      </c>
      <c r="M1072" s="375">
        <f t="shared" si="893"/>
        <v>385.38395729621743</v>
      </c>
      <c r="N1072" s="354" t="s">
        <v>395</v>
      </c>
      <c r="O1072" s="354">
        <v>0</v>
      </c>
      <c r="P1072" s="374"/>
      <c r="Q1072" s="354">
        <v>0</v>
      </c>
      <c r="R1072" s="354">
        <v>0</v>
      </c>
      <c r="S1072" s="354">
        <v>0</v>
      </c>
      <c r="T1072" s="354">
        <v>0</v>
      </c>
      <c r="U1072" s="374"/>
      <c r="V1072" s="354">
        <v>0</v>
      </c>
      <c r="W1072" s="354">
        <v>0</v>
      </c>
      <c r="X1072" s="354">
        <v>0</v>
      </c>
      <c r="Y1072" s="374"/>
      <c r="Z1072" s="354">
        <v>0</v>
      </c>
      <c r="AA1072" s="354">
        <v>0</v>
      </c>
      <c r="AB1072" s="374"/>
      <c r="AC1072" s="376">
        <v>0</v>
      </c>
      <c r="AD1072" s="376">
        <v>0</v>
      </c>
      <c r="AE1072" s="376">
        <v>0</v>
      </c>
      <c r="AF1072" s="374"/>
      <c r="AG1072" s="376">
        <v>0</v>
      </c>
      <c r="AH1072" s="376">
        <v>0</v>
      </c>
      <c r="AI1072" s="376">
        <v>0</v>
      </c>
      <c r="AJ1072" s="376">
        <v>0</v>
      </c>
      <c r="AK1072" s="374"/>
      <c r="AL1072" s="376">
        <v>0</v>
      </c>
      <c r="AM1072" s="376">
        <v>0</v>
      </c>
      <c r="AN1072" s="376">
        <v>0</v>
      </c>
      <c r="AO1072" s="374"/>
      <c r="AP1072" s="376">
        <v>0</v>
      </c>
      <c r="AQ1072" s="376">
        <v>0</v>
      </c>
      <c r="AR1072" s="374"/>
      <c r="AS1072" s="376">
        <v>0</v>
      </c>
      <c r="AT1072" s="376">
        <v>0</v>
      </c>
      <c r="AU1072" s="355" t="s">
        <v>396</v>
      </c>
      <c r="AV1072" s="354" t="s">
        <v>397</v>
      </c>
      <c r="AW1072" s="355">
        <v>0</v>
      </c>
      <c r="AX1072" s="355">
        <v>0</v>
      </c>
      <c r="AY1072" s="355">
        <v>0</v>
      </c>
      <c r="AZ1072" s="355">
        <v>0</v>
      </c>
      <c r="BA1072" s="355">
        <v>0</v>
      </c>
      <c r="BB1072" s="355">
        <v>0</v>
      </c>
    </row>
    <row r="1073" spans="1:54" x14ac:dyDescent="0.25">
      <c r="A1073" s="348" t="s">
        <v>499</v>
      </c>
      <c r="B1073" s="349">
        <v>4492</v>
      </c>
      <c r="C1073" s="350" t="s">
        <v>402</v>
      </c>
      <c r="D1073" s="351">
        <v>45009</v>
      </c>
      <c r="E1073" s="352">
        <v>3570</v>
      </c>
      <c r="F1073" s="352">
        <v>7</v>
      </c>
      <c r="G1073" s="353" t="s">
        <v>1423</v>
      </c>
      <c r="H1073" s="350" t="s">
        <v>500</v>
      </c>
      <c r="I1073" s="350" t="s">
        <v>393</v>
      </c>
      <c r="J1073" s="354">
        <v>100000</v>
      </c>
      <c r="K1073" s="350" t="s">
        <v>394</v>
      </c>
      <c r="L1073" s="354">
        <v>0</v>
      </c>
      <c r="M1073" s="354">
        <v>48.8</v>
      </c>
      <c r="N1073" s="354" t="s">
        <v>395</v>
      </c>
      <c r="O1073" s="354">
        <v>40.44</v>
      </c>
      <c r="P1073" s="374"/>
      <c r="Q1073" s="354">
        <v>0</v>
      </c>
      <c r="R1073" s="354">
        <v>0</v>
      </c>
      <c r="S1073" s="354">
        <v>0</v>
      </c>
      <c r="T1073" s="354">
        <v>0</v>
      </c>
      <c r="U1073" s="374"/>
      <c r="V1073" s="354">
        <v>0</v>
      </c>
      <c r="W1073" s="354">
        <v>0</v>
      </c>
      <c r="X1073" s="354">
        <v>0</v>
      </c>
      <c r="Y1073" s="374"/>
      <c r="Z1073" s="354">
        <v>0</v>
      </c>
      <c r="AA1073" s="354">
        <v>0</v>
      </c>
      <c r="AB1073" s="374"/>
      <c r="AC1073" s="376">
        <v>0</v>
      </c>
      <c r="AD1073" s="376">
        <v>0</v>
      </c>
      <c r="AE1073" s="376">
        <v>0</v>
      </c>
      <c r="AF1073" s="374"/>
      <c r="AG1073" s="376">
        <v>0</v>
      </c>
      <c r="AH1073" s="376">
        <v>0</v>
      </c>
      <c r="AI1073" s="376">
        <v>0</v>
      </c>
      <c r="AJ1073" s="376">
        <v>0</v>
      </c>
      <c r="AK1073" s="374"/>
      <c r="AL1073" s="376">
        <v>0</v>
      </c>
      <c r="AM1073" s="376">
        <v>0</v>
      </c>
      <c r="AN1073" s="376">
        <v>0</v>
      </c>
      <c r="AO1073" s="374"/>
      <c r="AP1073" s="376">
        <v>0</v>
      </c>
      <c r="AQ1073" s="376">
        <v>0</v>
      </c>
      <c r="AR1073" s="374"/>
      <c r="AS1073" s="376">
        <v>0</v>
      </c>
      <c r="AT1073" s="376">
        <v>0</v>
      </c>
      <c r="AU1073" s="355" t="s">
        <v>396</v>
      </c>
      <c r="AV1073" s="353" t="s">
        <v>404</v>
      </c>
      <c r="AW1073" s="355" t="s">
        <v>405</v>
      </c>
      <c r="AX1073" s="355">
        <v>0</v>
      </c>
      <c r="AY1073" s="350" t="s">
        <v>410</v>
      </c>
      <c r="AZ1073" s="351">
        <v>45023</v>
      </c>
      <c r="BA1073" s="351">
        <v>45023</v>
      </c>
      <c r="BB1073" s="350" t="s">
        <v>407</v>
      </c>
    </row>
    <row r="1074" spans="1:54" x14ac:dyDescent="0.25">
      <c r="A1074" s="348" t="s">
        <v>501</v>
      </c>
      <c r="B1074" s="349">
        <v>4533</v>
      </c>
      <c r="C1074" s="350" t="s">
        <v>402</v>
      </c>
      <c r="D1074" s="351">
        <v>45002</v>
      </c>
      <c r="E1074" s="352">
        <v>3570</v>
      </c>
      <c r="F1074" s="352">
        <v>7</v>
      </c>
      <c r="G1074" s="353" t="s">
        <v>1423</v>
      </c>
      <c r="H1074" s="350" t="s">
        <v>502</v>
      </c>
      <c r="I1074" s="350" t="s">
        <v>393</v>
      </c>
      <c r="J1074" s="354">
        <v>534000</v>
      </c>
      <c r="K1074" s="350" t="s">
        <v>394</v>
      </c>
      <c r="L1074" s="354">
        <v>0</v>
      </c>
      <c r="M1074" s="354">
        <v>260.58</v>
      </c>
      <c r="N1074" s="354" t="s">
        <v>395</v>
      </c>
      <c r="O1074" s="354">
        <v>215.93</v>
      </c>
      <c r="P1074" s="374"/>
      <c r="Q1074" s="354">
        <v>0</v>
      </c>
      <c r="R1074" s="354">
        <v>0</v>
      </c>
      <c r="S1074" s="354">
        <v>0</v>
      </c>
      <c r="T1074" s="354">
        <v>0</v>
      </c>
      <c r="U1074" s="374"/>
      <c r="V1074" s="354">
        <v>0</v>
      </c>
      <c r="W1074" s="354">
        <v>0</v>
      </c>
      <c r="X1074" s="354">
        <v>0</v>
      </c>
      <c r="Y1074" s="374"/>
      <c r="Z1074" s="354">
        <v>0</v>
      </c>
      <c r="AA1074" s="354">
        <v>0</v>
      </c>
      <c r="AB1074" s="374"/>
      <c r="AC1074" s="376">
        <v>0</v>
      </c>
      <c r="AD1074" s="376">
        <v>0</v>
      </c>
      <c r="AE1074" s="376">
        <v>0</v>
      </c>
      <c r="AF1074" s="374"/>
      <c r="AG1074" s="376">
        <v>0</v>
      </c>
      <c r="AH1074" s="376">
        <v>0</v>
      </c>
      <c r="AI1074" s="376">
        <v>0</v>
      </c>
      <c r="AJ1074" s="376">
        <v>0</v>
      </c>
      <c r="AK1074" s="374"/>
      <c r="AL1074" s="376">
        <v>0</v>
      </c>
      <c r="AM1074" s="376">
        <v>0</v>
      </c>
      <c r="AN1074" s="376">
        <v>0</v>
      </c>
      <c r="AO1074" s="374"/>
      <c r="AP1074" s="376">
        <v>0</v>
      </c>
      <c r="AQ1074" s="376">
        <v>0</v>
      </c>
      <c r="AR1074" s="374"/>
      <c r="AS1074" s="376">
        <v>0</v>
      </c>
      <c r="AT1074" s="376">
        <v>0</v>
      </c>
      <c r="AU1074" s="355" t="s">
        <v>396</v>
      </c>
      <c r="AV1074" s="353" t="s">
        <v>404</v>
      </c>
      <c r="AW1074" s="355" t="s">
        <v>405</v>
      </c>
      <c r="AX1074" s="355">
        <v>0</v>
      </c>
      <c r="AY1074" s="350" t="s">
        <v>406</v>
      </c>
      <c r="AZ1074" s="351">
        <v>45023</v>
      </c>
      <c r="BA1074" s="351">
        <v>45026</v>
      </c>
      <c r="BB1074" s="350" t="s">
        <v>407</v>
      </c>
    </row>
    <row r="1075" spans="1:54" x14ac:dyDescent="0.25">
      <c r="A1075" s="348" t="s">
        <v>503</v>
      </c>
      <c r="B1075" s="349">
        <v>4580</v>
      </c>
      <c r="C1075" s="350" t="s">
        <v>402</v>
      </c>
      <c r="D1075" s="351">
        <v>45016</v>
      </c>
      <c r="E1075" s="352">
        <v>3570</v>
      </c>
      <c r="F1075" s="352">
        <v>7</v>
      </c>
      <c r="G1075" s="353" t="s">
        <v>1423</v>
      </c>
      <c r="H1075" s="350" t="s">
        <v>504</v>
      </c>
      <c r="I1075" s="350" t="s">
        <v>393</v>
      </c>
      <c r="J1075" s="354">
        <v>3784000</v>
      </c>
      <c r="K1075" s="350" t="s">
        <v>394</v>
      </c>
      <c r="L1075" s="354">
        <v>0</v>
      </c>
      <c r="M1075" s="354">
        <v>1846.5</v>
      </c>
      <c r="N1075" s="354" t="s">
        <v>395</v>
      </c>
      <c r="O1075" s="354">
        <v>1530.08</v>
      </c>
      <c r="P1075" s="374"/>
      <c r="Q1075" s="354">
        <v>0</v>
      </c>
      <c r="R1075" s="354">
        <v>0</v>
      </c>
      <c r="S1075" s="354">
        <v>0</v>
      </c>
      <c r="T1075" s="354">
        <v>0</v>
      </c>
      <c r="U1075" s="374"/>
      <c r="V1075" s="354">
        <v>0</v>
      </c>
      <c r="W1075" s="354">
        <v>0</v>
      </c>
      <c r="X1075" s="354">
        <v>0</v>
      </c>
      <c r="Y1075" s="374"/>
      <c r="Z1075" s="354">
        <v>0</v>
      </c>
      <c r="AA1075" s="354">
        <v>0</v>
      </c>
      <c r="AB1075" s="374"/>
      <c r="AC1075" s="376">
        <v>0</v>
      </c>
      <c r="AD1075" s="376">
        <v>0</v>
      </c>
      <c r="AE1075" s="376">
        <v>0</v>
      </c>
      <c r="AF1075" s="374"/>
      <c r="AG1075" s="376">
        <v>0</v>
      </c>
      <c r="AH1075" s="376">
        <v>0</v>
      </c>
      <c r="AI1075" s="376">
        <v>0</v>
      </c>
      <c r="AJ1075" s="376">
        <v>0</v>
      </c>
      <c r="AK1075" s="374"/>
      <c r="AL1075" s="376">
        <v>0</v>
      </c>
      <c r="AM1075" s="376">
        <v>0</v>
      </c>
      <c r="AN1075" s="376">
        <v>0</v>
      </c>
      <c r="AO1075" s="374"/>
      <c r="AP1075" s="376">
        <v>0</v>
      </c>
      <c r="AQ1075" s="376">
        <v>0</v>
      </c>
      <c r="AR1075" s="374"/>
      <c r="AS1075" s="376">
        <v>0</v>
      </c>
      <c r="AT1075" s="376">
        <v>0</v>
      </c>
      <c r="AU1075" s="355" t="s">
        <v>396</v>
      </c>
      <c r="AV1075" s="353" t="s">
        <v>404</v>
      </c>
      <c r="AW1075" s="355" t="s">
        <v>405</v>
      </c>
      <c r="AX1075" s="355">
        <v>0</v>
      </c>
      <c r="AY1075" s="350" t="s">
        <v>406</v>
      </c>
      <c r="AZ1075" s="351">
        <v>45026</v>
      </c>
      <c r="BA1075" s="351">
        <v>45026</v>
      </c>
      <c r="BB1075" s="350" t="s">
        <v>407</v>
      </c>
    </row>
    <row r="1076" spans="1:54" x14ac:dyDescent="0.25">
      <c r="A1076" s="348" t="s">
        <v>505</v>
      </c>
      <c r="B1076" s="349">
        <v>4776</v>
      </c>
      <c r="C1076" s="350" t="s">
        <v>441</v>
      </c>
      <c r="D1076" s="351">
        <v>45033</v>
      </c>
      <c r="E1076" s="352">
        <v>3570</v>
      </c>
      <c r="F1076" s="352">
        <v>7</v>
      </c>
      <c r="G1076" s="353" t="s">
        <v>1423</v>
      </c>
      <c r="H1076" s="350" t="s">
        <v>506</v>
      </c>
      <c r="I1076" s="350" t="s">
        <v>393</v>
      </c>
      <c r="J1076" s="354">
        <v>2029500</v>
      </c>
      <c r="K1076" s="350" t="s">
        <v>394</v>
      </c>
      <c r="L1076" s="354">
        <v>0</v>
      </c>
      <c r="M1076" s="354">
        <v>984.24</v>
      </c>
      <c r="N1076" s="354" t="s">
        <v>395</v>
      </c>
      <c r="O1076" s="354">
        <v>798.45</v>
      </c>
      <c r="P1076" s="374"/>
      <c r="Q1076" s="354">
        <v>0</v>
      </c>
      <c r="R1076" s="354">
        <v>0</v>
      </c>
      <c r="S1076" s="354">
        <v>0</v>
      </c>
      <c r="T1076" s="354">
        <v>0</v>
      </c>
      <c r="U1076" s="374"/>
      <c r="V1076" s="354">
        <v>0</v>
      </c>
      <c r="W1076" s="354">
        <v>0</v>
      </c>
      <c r="X1076" s="354">
        <v>0</v>
      </c>
      <c r="Y1076" s="374"/>
      <c r="Z1076" s="354">
        <v>0</v>
      </c>
      <c r="AA1076" s="354">
        <v>0</v>
      </c>
      <c r="AB1076" s="374"/>
      <c r="AC1076" s="376">
        <v>0</v>
      </c>
      <c r="AD1076" s="376">
        <v>0</v>
      </c>
      <c r="AE1076" s="376">
        <v>0</v>
      </c>
      <c r="AF1076" s="374"/>
      <c r="AG1076" s="376">
        <v>0</v>
      </c>
      <c r="AH1076" s="376">
        <v>0</v>
      </c>
      <c r="AI1076" s="376">
        <v>0</v>
      </c>
      <c r="AJ1076" s="376">
        <v>0</v>
      </c>
      <c r="AK1076" s="374"/>
      <c r="AL1076" s="376">
        <v>0</v>
      </c>
      <c r="AM1076" s="376">
        <v>0</v>
      </c>
      <c r="AN1076" s="376">
        <v>0</v>
      </c>
      <c r="AO1076" s="374"/>
      <c r="AP1076" s="376">
        <v>0</v>
      </c>
      <c r="AQ1076" s="376">
        <v>0</v>
      </c>
      <c r="AR1076" s="374"/>
      <c r="AS1076" s="376">
        <v>0</v>
      </c>
      <c r="AT1076" s="376">
        <v>0</v>
      </c>
      <c r="AU1076" s="355" t="s">
        <v>396</v>
      </c>
      <c r="AV1076" s="353" t="s">
        <v>404</v>
      </c>
      <c r="AW1076" s="355" t="s">
        <v>405</v>
      </c>
      <c r="AX1076" s="355">
        <v>117776</v>
      </c>
      <c r="AY1076" s="350" t="s">
        <v>410</v>
      </c>
      <c r="AZ1076" s="351">
        <v>45055</v>
      </c>
      <c r="BA1076" s="351">
        <v>45055</v>
      </c>
      <c r="BB1076" s="350" t="s">
        <v>407</v>
      </c>
    </row>
    <row r="1077" spans="1:54" x14ac:dyDescent="0.25">
      <c r="A1077" s="348" t="s">
        <v>507</v>
      </c>
      <c r="B1077" s="349">
        <v>4772</v>
      </c>
      <c r="C1077" s="350" t="s">
        <v>441</v>
      </c>
      <c r="D1077" s="351">
        <v>45023</v>
      </c>
      <c r="E1077" s="352">
        <v>3350</v>
      </c>
      <c r="F1077" s="352">
        <v>5</v>
      </c>
      <c r="G1077" s="353" t="s">
        <v>1423</v>
      </c>
      <c r="H1077" s="350" t="s">
        <v>508</v>
      </c>
      <c r="I1077" s="350" t="s">
        <v>393</v>
      </c>
      <c r="J1077" s="354">
        <v>207000</v>
      </c>
      <c r="K1077" s="350" t="s">
        <v>394</v>
      </c>
      <c r="L1077" s="354">
        <v>0</v>
      </c>
      <c r="M1077" s="354">
        <v>100.39</v>
      </c>
      <c r="N1077" s="354" t="s">
        <v>395</v>
      </c>
      <c r="O1077" s="354">
        <v>81.44</v>
      </c>
      <c r="P1077" s="374"/>
      <c r="Q1077" s="354">
        <v>0</v>
      </c>
      <c r="R1077" s="354">
        <v>0</v>
      </c>
      <c r="S1077" s="354">
        <v>0</v>
      </c>
      <c r="T1077" s="354">
        <v>0</v>
      </c>
      <c r="U1077" s="374"/>
      <c r="V1077" s="354">
        <v>0</v>
      </c>
      <c r="W1077" s="354">
        <v>0</v>
      </c>
      <c r="X1077" s="354">
        <v>0</v>
      </c>
      <c r="Y1077" s="374"/>
      <c r="Z1077" s="354">
        <v>0</v>
      </c>
      <c r="AA1077" s="354">
        <v>0</v>
      </c>
      <c r="AB1077" s="374"/>
      <c r="AC1077" s="376">
        <v>0</v>
      </c>
      <c r="AD1077" s="376">
        <v>0</v>
      </c>
      <c r="AE1077" s="376">
        <v>0</v>
      </c>
      <c r="AF1077" s="374"/>
      <c r="AG1077" s="376">
        <v>0</v>
      </c>
      <c r="AH1077" s="376">
        <v>0</v>
      </c>
      <c r="AI1077" s="376">
        <v>0</v>
      </c>
      <c r="AJ1077" s="376">
        <v>0</v>
      </c>
      <c r="AK1077" s="374"/>
      <c r="AL1077" s="376">
        <v>0</v>
      </c>
      <c r="AM1077" s="376">
        <v>0</v>
      </c>
      <c r="AN1077" s="376">
        <v>0</v>
      </c>
      <c r="AO1077" s="374"/>
      <c r="AP1077" s="376">
        <v>0</v>
      </c>
      <c r="AQ1077" s="376">
        <v>0</v>
      </c>
      <c r="AR1077" s="374"/>
      <c r="AS1077" s="376">
        <v>0</v>
      </c>
      <c r="AT1077" s="376">
        <v>0</v>
      </c>
      <c r="AU1077" s="355" t="s">
        <v>396</v>
      </c>
      <c r="AV1077" s="353" t="s">
        <v>404</v>
      </c>
      <c r="AW1077" s="355" t="s">
        <v>405</v>
      </c>
      <c r="AX1077" s="355">
        <v>0</v>
      </c>
      <c r="AY1077" s="350" t="s">
        <v>410</v>
      </c>
      <c r="AZ1077" s="351">
        <v>45055</v>
      </c>
      <c r="BA1077" s="351">
        <v>45055</v>
      </c>
      <c r="BB1077" s="350" t="s">
        <v>407</v>
      </c>
    </row>
    <row r="1078" spans="1:54" x14ac:dyDescent="0.25">
      <c r="A1078" s="348" t="s">
        <v>509</v>
      </c>
      <c r="B1078" s="349">
        <v>4735</v>
      </c>
      <c r="C1078" s="350" t="s">
        <v>441</v>
      </c>
      <c r="D1078" s="351">
        <v>45042</v>
      </c>
      <c r="E1078" s="352">
        <v>3350</v>
      </c>
      <c r="F1078" s="352">
        <v>5</v>
      </c>
      <c r="G1078" s="353" t="s">
        <v>1423</v>
      </c>
      <c r="H1078" s="350" t="s">
        <v>510</v>
      </c>
      <c r="I1078" s="350" t="s">
        <v>393</v>
      </c>
      <c r="J1078" s="354">
        <v>290250</v>
      </c>
      <c r="K1078" s="350" t="s">
        <v>394</v>
      </c>
      <c r="L1078" s="354">
        <v>0</v>
      </c>
      <c r="M1078" s="354">
        <v>140.76</v>
      </c>
      <c r="N1078" s="354" t="s">
        <v>395</v>
      </c>
      <c r="O1078" s="354">
        <v>114.19</v>
      </c>
      <c r="P1078" s="374"/>
      <c r="Q1078" s="354">
        <v>0</v>
      </c>
      <c r="R1078" s="354">
        <v>0</v>
      </c>
      <c r="S1078" s="354">
        <v>0</v>
      </c>
      <c r="T1078" s="354">
        <v>0</v>
      </c>
      <c r="U1078" s="374"/>
      <c r="V1078" s="354">
        <v>0</v>
      </c>
      <c r="W1078" s="354">
        <v>0</v>
      </c>
      <c r="X1078" s="354">
        <v>0</v>
      </c>
      <c r="Y1078" s="374"/>
      <c r="Z1078" s="354">
        <v>0</v>
      </c>
      <c r="AA1078" s="354">
        <v>0</v>
      </c>
      <c r="AB1078" s="374"/>
      <c r="AC1078" s="376">
        <v>0</v>
      </c>
      <c r="AD1078" s="376">
        <v>0</v>
      </c>
      <c r="AE1078" s="376">
        <v>0</v>
      </c>
      <c r="AF1078" s="374"/>
      <c r="AG1078" s="376">
        <v>0</v>
      </c>
      <c r="AH1078" s="376">
        <v>0</v>
      </c>
      <c r="AI1078" s="376">
        <v>0</v>
      </c>
      <c r="AJ1078" s="376">
        <v>0</v>
      </c>
      <c r="AK1078" s="374"/>
      <c r="AL1078" s="376">
        <v>0</v>
      </c>
      <c r="AM1078" s="376">
        <v>0</v>
      </c>
      <c r="AN1078" s="376">
        <v>0</v>
      </c>
      <c r="AO1078" s="374"/>
      <c r="AP1078" s="376">
        <v>0</v>
      </c>
      <c r="AQ1078" s="376">
        <v>0</v>
      </c>
      <c r="AR1078" s="374"/>
      <c r="AS1078" s="376">
        <v>0</v>
      </c>
      <c r="AT1078" s="376">
        <v>0</v>
      </c>
      <c r="AU1078" s="355" t="s">
        <v>396</v>
      </c>
      <c r="AV1078" s="353" t="s">
        <v>404</v>
      </c>
      <c r="AW1078" s="355" t="s">
        <v>405</v>
      </c>
      <c r="AX1078" s="355">
        <v>0</v>
      </c>
      <c r="AY1078" s="350" t="s">
        <v>406</v>
      </c>
      <c r="AZ1078" s="351">
        <v>45054</v>
      </c>
      <c r="BA1078" s="351">
        <v>45054</v>
      </c>
      <c r="BB1078" s="350" t="s">
        <v>407</v>
      </c>
    </row>
    <row r="1079" spans="1:54" x14ac:dyDescent="0.25">
      <c r="A1079" s="348" t="s">
        <v>509</v>
      </c>
      <c r="B1079" s="349">
        <v>4735</v>
      </c>
      <c r="C1079" s="350" t="s">
        <v>441</v>
      </c>
      <c r="D1079" s="351">
        <v>45042</v>
      </c>
      <c r="E1079" s="352">
        <v>3350</v>
      </c>
      <c r="F1079" s="352">
        <v>5</v>
      </c>
      <c r="G1079" s="353" t="s">
        <v>1423</v>
      </c>
      <c r="H1079" s="350" t="s">
        <v>511</v>
      </c>
      <c r="I1079" s="350" t="s">
        <v>393</v>
      </c>
      <c r="J1079" s="354">
        <v>199900</v>
      </c>
      <c r="K1079" s="350" t="s">
        <v>394</v>
      </c>
      <c r="L1079" s="354">
        <v>0</v>
      </c>
      <c r="M1079" s="354">
        <v>96.95</v>
      </c>
      <c r="N1079" s="354" t="s">
        <v>395</v>
      </c>
      <c r="O1079" s="354">
        <v>78.650000000000006</v>
      </c>
      <c r="P1079" s="374"/>
      <c r="Q1079" s="354">
        <v>0</v>
      </c>
      <c r="R1079" s="354">
        <v>0</v>
      </c>
      <c r="S1079" s="354">
        <v>0</v>
      </c>
      <c r="T1079" s="354">
        <v>0</v>
      </c>
      <c r="U1079" s="374"/>
      <c r="V1079" s="354">
        <v>0</v>
      </c>
      <c r="W1079" s="354">
        <v>0</v>
      </c>
      <c r="X1079" s="354">
        <v>0</v>
      </c>
      <c r="Y1079" s="374"/>
      <c r="Z1079" s="354">
        <v>0</v>
      </c>
      <c r="AA1079" s="354">
        <v>0</v>
      </c>
      <c r="AB1079" s="374"/>
      <c r="AC1079" s="376">
        <v>0</v>
      </c>
      <c r="AD1079" s="376">
        <v>0</v>
      </c>
      <c r="AE1079" s="376">
        <v>0</v>
      </c>
      <c r="AF1079" s="374"/>
      <c r="AG1079" s="376">
        <v>0</v>
      </c>
      <c r="AH1079" s="376">
        <v>0</v>
      </c>
      <c r="AI1079" s="376">
        <v>0</v>
      </c>
      <c r="AJ1079" s="376">
        <v>0</v>
      </c>
      <c r="AK1079" s="374"/>
      <c r="AL1079" s="376">
        <v>0</v>
      </c>
      <c r="AM1079" s="376">
        <v>0</v>
      </c>
      <c r="AN1079" s="376">
        <v>0</v>
      </c>
      <c r="AO1079" s="374"/>
      <c r="AP1079" s="376">
        <v>0</v>
      </c>
      <c r="AQ1079" s="376">
        <v>0</v>
      </c>
      <c r="AR1079" s="374"/>
      <c r="AS1079" s="376">
        <v>0</v>
      </c>
      <c r="AT1079" s="376">
        <v>0</v>
      </c>
      <c r="AU1079" s="355" t="s">
        <v>396</v>
      </c>
      <c r="AV1079" s="353" t="s">
        <v>404</v>
      </c>
      <c r="AW1079" s="355" t="s">
        <v>405</v>
      </c>
      <c r="AX1079" s="355">
        <v>0</v>
      </c>
      <c r="AY1079" s="350" t="s">
        <v>406</v>
      </c>
      <c r="AZ1079" s="351">
        <v>45054</v>
      </c>
      <c r="BA1079" s="351">
        <v>45054</v>
      </c>
      <c r="BB1079" s="350" t="s">
        <v>407</v>
      </c>
    </row>
    <row r="1080" spans="1:54" x14ac:dyDescent="0.25">
      <c r="A1080" s="348" t="s">
        <v>512</v>
      </c>
      <c r="B1080" s="349">
        <v>4769</v>
      </c>
      <c r="C1080" s="350" t="s">
        <v>441</v>
      </c>
      <c r="D1080" s="351">
        <v>45041</v>
      </c>
      <c r="E1080" s="352">
        <v>3640</v>
      </c>
      <c r="F1080" s="352">
        <v>4</v>
      </c>
      <c r="G1080" s="353" t="s">
        <v>1423</v>
      </c>
      <c r="H1080" s="350" t="s">
        <v>513</v>
      </c>
      <c r="I1080" s="350" t="s">
        <v>393</v>
      </c>
      <c r="J1080" s="354">
        <v>115000</v>
      </c>
      <c r="K1080" s="350" t="s">
        <v>394</v>
      </c>
      <c r="L1080" s="354">
        <v>0</v>
      </c>
      <c r="M1080" s="354">
        <v>55.77</v>
      </c>
      <c r="N1080" s="354" t="s">
        <v>395</v>
      </c>
      <c r="O1080" s="354">
        <v>45.24</v>
      </c>
      <c r="P1080" s="374"/>
      <c r="Q1080" s="354">
        <v>0</v>
      </c>
      <c r="R1080" s="354">
        <v>0</v>
      </c>
      <c r="S1080" s="354">
        <v>0</v>
      </c>
      <c r="T1080" s="354">
        <v>0</v>
      </c>
      <c r="U1080" s="374"/>
      <c r="V1080" s="354">
        <v>0</v>
      </c>
      <c r="W1080" s="354">
        <v>0</v>
      </c>
      <c r="X1080" s="354">
        <v>0</v>
      </c>
      <c r="Y1080" s="374"/>
      <c r="Z1080" s="354">
        <v>0</v>
      </c>
      <c r="AA1080" s="354">
        <v>0</v>
      </c>
      <c r="AB1080" s="374"/>
      <c r="AC1080" s="376">
        <v>0</v>
      </c>
      <c r="AD1080" s="376">
        <v>0</v>
      </c>
      <c r="AE1080" s="376">
        <v>0</v>
      </c>
      <c r="AF1080" s="374"/>
      <c r="AG1080" s="376">
        <v>0</v>
      </c>
      <c r="AH1080" s="376">
        <v>0</v>
      </c>
      <c r="AI1080" s="376">
        <v>0</v>
      </c>
      <c r="AJ1080" s="376">
        <v>0</v>
      </c>
      <c r="AK1080" s="374"/>
      <c r="AL1080" s="376">
        <v>0</v>
      </c>
      <c r="AM1080" s="376">
        <v>0</v>
      </c>
      <c r="AN1080" s="376">
        <v>0</v>
      </c>
      <c r="AO1080" s="374"/>
      <c r="AP1080" s="376">
        <v>0</v>
      </c>
      <c r="AQ1080" s="376">
        <v>0</v>
      </c>
      <c r="AR1080" s="374"/>
      <c r="AS1080" s="376">
        <v>0</v>
      </c>
      <c r="AT1080" s="376">
        <v>0</v>
      </c>
      <c r="AU1080" s="355" t="s">
        <v>396</v>
      </c>
      <c r="AV1080" s="353" t="s">
        <v>404</v>
      </c>
      <c r="AW1080" s="355" t="s">
        <v>405</v>
      </c>
      <c r="AX1080" s="355">
        <v>0</v>
      </c>
      <c r="AY1080" s="350" t="s">
        <v>406</v>
      </c>
      <c r="AZ1080" s="351">
        <v>45050</v>
      </c>
      <c r="BA1080" s="351">
        <v>45055</v>
      </c>
      <c r="BB1080" s="350" t="s">
        <v>407</v>
      </c>
    </row>
    <row r="1081" spans="1:54" x14ac:dyDescent="0.25">
      <c r="A1081" s="348" t="s">
        <v>514</v>
      </c>
      <c r="B1081" s="349">
        <v>4836</v>
      </c>
      <c r="C1081" s="350" t="s">
        <v>458</v>
      </c>
      <c r="D1081" s="351">
        <v>45056</v>
      </c>
      <c r="E1081" s="352">
        <v>3570</v>
      </c>
      <c r="F1081" s="352">
        <v>7</v>
      </c>
      <c r="G1081" s="353" t="s">
        <v>1423</v>
      </c>
      <c r="H1081" s="350" t="s">
        <v>515</v>
      </c>
      <c r="I1081" s="350" t="s">
        <v>393</v>
      </c>
      <c r="J1081" s="354">
        <v>35000</v>
      </c>
      <c r="K1081" s="350" t="s">
        <v>394</v>
      </c>
      <c r="L1081" s="354">
        <v>0</v>
      </c>
      <c r="M1081" s="354">
        <v>17.04</v>
      </c>
      <c r="N1081" s="354" t="s">
        <v>395</v>
      </c>
      <c r="O1081" s="354">
        <v>13.6</v>
      </c>
      <c r="P1081" s="374"/>
      <c r="Q1081" s="354">
        <v>0</v>
      </c>
      <c r="R1081" s="354">
        <v>0</v>
      </c>
      <c r="S1081" s="354">
        <v>0</v>
      </c>
      <c r="T1081" s="354">
        <v>0</v>
      </c>
      <c r="U1081" s="374"/>
      <c r="V1081" s="354">
        <v>0</v>
      </c>
      <c r="W1081" s="354">
        <v>0</v>
      </c>
      <c r="X1081" s="354">
        <v>0</v>
      </c>
      <c r="Y1081" s="374"/>
      <c r="Z1081" s="354">
        <v>0</v>
      </c>
      <c r="AA1081" s="354">
        <v>0</v>
      </c>
      <c r="AB1081" s="374"/>
      <c r="AC1081" s="376">
        <v>0</v>
      </c>
      <c r="AD1081" s="376">
        <v>0</v>
      </c>
      <c r="AE1081" s="376">
        <v>0</v>
      </c>
      <c r="AF1081" s="374"/>
      <c r="AG1081" s="376">
        <v>0</v>
      </c>
      <c r="AH1081" s="376">
        <v>0</v>
      </c>
      <c r="AI1081" s="376">
        <v>0</v>
      </c>
      <c r="AJ1081" s="376">
        <v>0</v>
      </c>
      <c r="AK1081" s="374"/>
      <c r="AL1081" s="376">
        <v>0</v>
      </c>
      <c r="AM1081" s="376">
        <v>0</v>
      </c>
      <c r="AN1081" s="376">
        <v>0</v>
      </c>
      <c r="AO1081" s="374"/>
      <c r="AP1081" s="376">
        <v>0</v>
      </c>
      <c r="AQ1081" s="376">
        <v>0</v>
      </c>
      <c r="AR1081" s="374"/>
      <c r="AS1081" s="376">
        <v>0</v>
      </c>
      <c r="AT1081" s="376">
        <v>0</v>
      </c>
      <c r="AU1081" s="355" t="s">
        <v>396</v>
      </c>
      <c r="AV1081" s="353" t="s">
        <v>404</v>
      </c>
      <c r="AW1081" s="355" t="s">
        <v>405</v>
      </c>
      <c r="AX1081" s="355">
        <v>0</v>
      </c>
      <c r="AY1081" s="350" t="s">
        <v>410</v>
      </c>
      <c r="AZ1081" s="351">
        <v>45081</v>
      </c>
      <c r="BA1081" s="351">
        <v>45082</v>
      </c>
      <c r="BB1081" s="350" t="s">
        <v>407</v>
      </c>
    </row>
    <row r="1082" spans="1:54" x14ac:dyDescent="0.25">
      <c r="A1082" s="348" t="s">
        <v>516</v>
      </c>
      <c r="B1082" s="349">
        <v>4844</v>
      </c>
      <c r="C1082" s="350" t="s">
        <v>458</v>
      </c>
      <c r="D1082" s="351">
        <v>45062</v>
      </c>
      <c r="E1082" s="352">
        <v>3570</v>
      </c>
      <c r="F1082" s="352">
        <v>7</v>
      </c>
      <c r="G1082" s="353" t="s">
        <v>1423</v>
      </c>
      <c r="H1082" s="350" t="s">
        <v>517</v>
      </c>
      <c r="I1082" s="350" t="s">
        <v>393</v>
      </c>
      <c r="J1082" s="354">
        <v>90000</v>
      </c>
      <c r="K1082" s="350" t="s">
        <v>394</v>
      </c>
      <c r="L1082" s="354">
        <v>0</v>
      </c>
      <c r="M1082" s="354">
        <v>43.81</v>
      </c>
      <c r="N1082" s="354" t="s">
        <v>395</v>
      </c>
      <c r="O1082" s="354">
        <v>34.979999999999997</v>
      </c>
      <c r="P1082" s="374"/>
      <c r="Q1082" s="354">
        <v>0</v>
      </c>
      <c r="R1082" s="354">
        <v>0</v>
      </c>
      <c r="S1082" s="354">
        <v>0</v>
      </c>
      <c r="T1082" s="354">
        <v>0</v>
      </c>
      <c r="U1082" s="374"/>
      <c r="V1082" s="354">
        <v>0</v>
      </c>
      <c r="W1082" s="354">
        <v>0</v>
      </c>
      <c r="X1082" s="354">
        <v>0</v>
      </c>
      <c r="Y1082" s="374"/>
      <c r="Z1082" s="354">
        <v>0</v>
      </c>
      <c r="AA1082" s="354">
        <v>0</v>
      </c>
      <c r="AB1082" s="374"/>
      <c r="AC1082" s="376">
        <v>0</v>
      </c>
      <c r="AD1082" s="376">
        <v>0</v>
      </c>
      <c r="AE1082" s="376">
        <v>0</v>
      </c>
      <c r="AF1082" s="374"/>
      <c r="AG1082" s="376">
        <v>0</v>
      </c>
      <c r="AH1082" s="376">
        <v>0</v>
      </c>
      <c r="AI1082" s="376">
        <v>0</v>
      </c>
      <c r="AJ1082" s="376">
        <v>0</v>
      </c>
      <c r="AK1082" s="374"/>
      <c r="AL1082" s="376">
        <v>0</v>
      </c>
      <c r="AM1082" s="376">
        <v>0</v>
      </c>
      <c r="AN1082" s="376">
        <v>0</v>
      </c>
      <c r="AO1082" s="374"/>
      <c r="AP1082" s="376">
        <v>0</v>
      </c>
      <c r="AQ1082" s="376">
        <v>0</v>
      </c>
      <c r="AR1082" s="374"/>
      <c r="AS1082" s="376">
        <v>0</v>
      </c>
      <c r="AT1082" s="376">
        <v>0</v>
      </c>
      <c r="AU1082" s="355" t="s">
        <v>396</v>
      </c>
      <c r="AV1082" s="353" t="s">
        <v>404</v>
      </c>
      <c r="AW1082" s="355" t="s">
        <v>405</v>
      </c>
      <c r="AX1082" s="355">
        <v>0</v>
      </c>
      <c r="AY1082" s="350" t="s">
        <v>410</v>
      </c>
      <c r="AZ1082" s="351">
        <v>45082</v>
      </c>
      <c r="BA1082" s="351">
        <v>45082</v>
      </c>
      <c r="BB1082" s="350" t="s">
        <v>407</v>
      </c>
    </row>
    <row r="1083" spans="1:54" x14ac:dyDescent="0.25">
      <c r="A1083" s="348" t="s">
        <v>518</v>
      </c>
      <c r="B1083" s="349">
        <v>4886</v>
      </c>
      <c r="C1083" s="350" t="s">
        <v>458</v>
      </c>
      <c r="D1083" s="351">
        <v>45054</v>
      </c>
      <c r="E1083" s="352">
        <v>3570</v>
      </c>
      <c r="F1083" s="352">
        <v>7</v>
      </c>
      <c r="G1083" s="353" t="s">
        <v>1423</v>
      </c>
      <c r="H1083" s="350" t="s">
        <v>519</v>
      </c>
      <c r="I1083" s="350" t="s">
        <v>393</v>
      </c>
      <c r="J1083" s="354">
        <v>5097000</v>
      </c>
      <c r="K1083" s="350" t="s">
        <v>394</v>
      </c>
      <c r="L1083" s="354">
        <v>0</v>
      </c>
      <c r="M1083" s="354">
        <v>2481.12</v>
      </c>
      <c r="N1083" s="354" t="s">
        <v>395</v>
      </c>
      <c r="O1083" s="354">
        <v>1981.25</v>
      </c>
      <c r="P1083" s="374"/>
      <c r="Q1083" s="354">
        <v>0</v>
      </c>
      <c r="R1083" s="354">
        <v>0</v>
      </c>
      <c r="S1083" s="354">
        <v>0</v>
      </c>
      <c r="T1083" s="354">
        <v>0</v>
      </c>
      <c r="U1083" s="374"/>
      <c r="V1083" s="354">
        <v>0</v>
      </c>
      <c r="W1083" s="354">
        <v>0</v>
      </c>
      <c r="X1083" s="354">
        <v>0</v>
      </c>
      <c r="Y1083" s="374"/>
      <c r="Z1083" s="354">
        <v>0</v>
      </c>
      <c r="AA1083" s="354">
        <v>0</v>
      </c>
      <c r="AB1083" s="374"/>
      <c r="AC1083" s="376">
        <v>0</v>
      </c>
      <c r="AD1083" s="376">
        <v>0</v>
      </c>
      <c r="AE1083" s="376">
        <v>0</v>
      </c>
      <c r="AF1083" s="374"/>
      <c r="AG1083" s="376">
        <v>0</v>
      </c>
      <c r="AH1083" s="376">
        <v>0</v>
      </c>
      <c r="AI1083" s="376">
        <v>0</v>
      </c>
      <c r="AJ1083" s="376">
        <v>0</v>
      </c>
      <c r="AK1083" s="374"/>
      <c r="AL1083" s="376">
        <v>0</v>
      </c>
      <c r="AM1083" s="376">
        <v>0</v>
      </c>
      <c r="AN1083" s="376">
        <v>0</v>
      </c>
      <c r="AO1083" s="374"/>
      <c r="AP1083" s="376">
        <v>0</v>
      </c>
      <c r="AQ1083" s="376">
        <v>0</v>
      </c>
      <c r="AR1083" s="374"/>
      <c r="AS1083" s="376">
        <v>0</v>
      </c>
      <c r="AT1083" s="376">
        <v>0</v>
      </c>
      <c r="AU1083" s="355" t="s">
        <v>396</v>
      </c>
      <c r="AV1083" s="353" t="s">
        <v>404</v>
      </c>
      <c r="AW1083" s="355" t="s">
        <v>405</v>
      </c>
      <c r="AX1083" s="355">
        <v>117871</v>
      </c>
      <c r="AY1083" s="350" t="s">
        <v>410</v>
      </c>
      <c r="AZ1083" s="351">
        <v>45082</v>
      </c>
      <c r="BA1083" s="351">
        <v>45082</v>
      </c>
      <c r="BB1083" s="350" t="s">
        <v>407</v>
      </c>
    </row>
    <row r="1084" spans="1:54" x14ac:dyDescent="0.25">
      <c r="A1084" s="348" t="s">
        <v>520</v>
      </c>
      <c r="B1084" s="349">
        <v>4904</v>
      </c>
      <c r="C1084" s="350" t="s">
        <v>458</v>
      </c>
      <c r="D1084" s="351">
        <v>45059</v>
      </c>
      <c r="E1084" s="352">
        <v>3350</v>
      </c>
      <c r="F1084" s="352">
        <v>5</v>
      </c>
      <c r="G1084" s="353" t="s">
        <v>1423</v>
      </c>
      <c r="H1084" s="350" t="s">
        <v>521</v>
      </c>
      <c r="I1084" s="350" t="s">
        <v>393</v>
      </c>
      <c r="J1084" s="354">
        <v>138125</v>
      </c>
      <c r="K1084" s="350" t="s">
        <v>394</v>
      </c>
      <c r="L1084" s="354">
        <v>0</v>
      </c>
      <c r="M1084" s="354">
        <v>67.239999999999995</v>
      </c>
      <c r="N1084" s="354" t="s">
        <v>395</v>
      </c>
      <c r="O1084" s="354">
        <v>53.69</v>
      </c>
      <c r="P1084" s="374"/>
      <c r="Q1084" s="354">
        <v>0</v>
      </c>
      <c r="R1084" s="354">
        <v>0</v>
      </c>
      <c r="S1084" s="354">
        <v>0</v>
      </c>
      <c r="T1084" s="354">
        <v>0</v>
      </c>
      <c r="U1084" s="374"/>
      <c r="V1084" s="354">
        <v>0</v>
      </c>
      <c r="W1084" s="354">
        <v>0</v>
      </c>
      <c r="X1084" s="354">
        <v>0</v>
      </c>
      <c r="Y1084" s="374"/>
      <c r="Z1084" s="354">
        <v>0</v>
      </c>
      <c r="AA1084" s="354">
        <v>0</v>
      </c>
      <c r="AB1084" s="374"/>
      <c r="AC1084" s="376">
        <v>0</v>
      </c>
      <c r="AD1084" s="376">
        <v>0</v>
      </c>
      <c r="AE1084" s="376">
        <v>0</v>
      </c>
      <c r="AF1084" s="374"/>
      <c r="AG1084" s="376">
        <v>0</v>
      </c>
      <c r="AH1084" s="376">
        <v>0</v>
      </c>
      <c r="AI1084" s="376">
        <v>0</v>
      </c>
      <c r="AJ1084" s="376">
        <v>0</v>
      </c>
      <c r="AK1084" s="374"/>
      <c r="AL1084" s="376">
        <v>0</v>
      </c>
      <c r="AM1084" s="376">
        <v>0</v>
      </c>
      <c r="AN1084" s="376">
        <v>0</v>
      </c>
      <c r="AO1084" s="374"/>
      <c r="AP1084" s="376">
        <v>0</v>
      </c>
      <c r="AQ1084" s="376">
        <v>0</v>
      </c>
      <c r="AR1084" s="374"/>
      <c r="AS1084" s="376">
        <v>0</v>
      </c>
      <c r="AT1084" s="376">
        <v>0</v>
      </c>
      <c r="AU1084" s="355" t="s">
        <v>396</v>
      </c>
      <c r="AV1084" s="353" t="s">
        <v>404</v>
      </c>
      <c r="AW1084" s="355" t="s">
        <v>405</v>
      </c>
      <c r="AX1084" s="355">
        <v>0</v>
      </c>
      <c r="AY1084" s="350" t="s">
        <v>410</v>
      </c>
      <c r="AZ1084" s="351">
        <v>45082</v>
      </c>
      <c r="BA1084" s="351">
        <v>45082</v>
      </c>
      <c r="BB1084" s="350" t="s">
        <v>407</v>
      </c>
    </row>
    <row r="1085" spans="1:54" x14ac:dyDescent="0.25">
      <c r="A1085" s="348" t="s">
        <v>522</v>
      </c>
      <c r="B1085" s="349">
        <v>4802</v>
      </c>
      <c r="C1085" s="350" t="s">
        <v>458</v>
      </c>
      <c r="D1085" s="351">
        <v>45051</v>
      </c>
      <c r="E1085" s="352">
        <v>3570</v>
      </c>
      <c r="F1085" s="352">
        <v>7</v>
      </c>
      <c r="G1085" s="353" t="s">
        <v>1423</v>
      </c>
      <c r="H1085" s="350" t="s">
        <v>523</v>
      </c>
      <c r="I1085" s="350" t="s">
        <v>393</v>
      </c>
      <c r="J1085" s="354">
        <v>90000</v>
      </c>
      <c r="K1085" s="350" t="s">
        <v>394</v>
      </c>
      <c r="L1085" s="354">
        <v>0</v>
      </c>
      <c r="M1085" s="354">
        <v>43.81</v>
      </c>
      <c r="N1085" s="354" t="s">
        <v>395</v>
      </c>
      <c r="O1085" s="354">
        <v>34.979999999999997</v>
      </c>
      <c r="P1085" s="374"/>
      <c r="Q1085" s="354">
        <v>0</v>
      </c>
      <c r="R1085" s="354">
        <v>0</v>
      </c>
      <c r="S1085" s="354">
        <v>0</v>
      </c>
      <c r="T1085" s="354">
        <v>0</v>
      </c>
      <c r="U1085" s="374"/>
      <c r="V1085" s="354">
        <v>0</v>
      </c>
      <c r="W1085" s="354">
        <v>0</v>
      </c>
      <c r="X1085" s="354">
        <v>0</v>
      </c>
      <c r="Y1085" s="374"/>
      <c r="Z1085" s="354">
        <v>0</v>
      </c>
      <c r="AA1085" s="354">
        <v>0</v>
      </c>
      <c r="AB1085" s="374"/>
      <c r="AC1085" s="376">
        <v>0</v>
      </c>
      <c r="AD1085" s="376">
        <v>0</v>
      </c>
      <c r="AE1085" s="376">
        <v>0</v>
      </c>
      <c r="AF1085" s="374"/>
      <c r="AG1085" s="376">
        <v>0</v>
      </c>
      <c r="AH1085" s="376">
        <v>0</v>
      </c>
      <c r="AI1085" s="376">
        <v>0</v>
      </c>
      <c r="AJ1085" s="376">
        <v>0</v>
      </c>
      <c r="AK1085" s="374"/>
      <c r="AL1085" s="376">
        <v>0</v>
      </c>
      <c r="AM1085" s="376">
        <v>0</v>
      </c>
      <c r="AN1085" s="376">
        <v>0</v>
      </c>
      <c r="AO1085" s="374"/>
      <c r="AP1085" s="376">
        <v>0</v>
      </c>
      <c r="AQ1085" s="376">
        <v>0</v>
      </c>
      <c r="AR1085" s="374"/>
      <c r="AS1085" s="376">
        <v>0</v>
      </c>
      <c r="AT1085" s="376">
        <v>0</v>
      </c>
      <c r="AU1085" s="355" t="s">
        <v>396</v>
      </c>
      <c r="AV1085" s="353" t="s">
        <v>404</v>
      </c>
      <c r="AW1085" s="355" t="s">
        <v>405</v>
      </c>
      <c r="AX1085" s="355">
        <v>0</v>
      </c>
      <c r="AY1085" s="350" t="s">
        <v>474</v>
      </c>
      <c r="AZ1085" s="351">
        <v>45079</v>
      </c>
      <c r="BA1085" s="351">
        <v>45082</v>
      </c>
      <c r="BB1085" s="350" t="s">
        <v>407</v>
      </c>
    </row>
    <row r="1086" spans="1:54" x14ac:dyDescent="0.25">
      <c r="A1086" s="348" t="s">
        <v>524</v>
      </c>
      <c r="B1086" s="349">
        <v>4815</v>
      </c>
      <c r="C1086" s="350" t="s">
        <v>458</v>
      </c>
      <c r="D1086" s="351">
        <v>45069</v>
      </c>
      <c r="E1086" s="352">
        <v>3570</v>
      </c>
      <c r="F1086" s="352">
        <v>7</v>
      </c>
      <c r="G1086" s="353" t="s">
        <v>1423</v>
      </c>
      <c r="H1086" s="350" t="s">
        <v>525</v>
      </c>
      <c r="I1086" s="350" t="s">
        <v>393</v>
      </c>
      <c r="J1086" s="354">
        <v>1556500</v>
      </c>
      <c r="K1086" s="350" t="s">
        <v>394</v>
      </c>
      <c r="L1086" s="354">
        <v>0</v>
      </c>
      <c r="M1086" s="354">
        <v>757.67</v>
      </c>
      <c r="N1086" s="354" t="s">
        <v>395</v>
      </c>
      <c r="O1086" s="354">
        <v>605.03</v>
      </c>
      <c r="P1086" s="374"/>
      <c r="Q1086" s="354">
        <v>0</v>
      </c>
      <c r="R1086" s="354">
        <v>0</v>
      </c>
      <c r="S1086" s="354">
        <v>0</v>
      </c>
      <c r="T1086" s="354">
        <v>0</v>
      </c>
      <c r="U1086" s="374"/>
      <c r="V1086" s="354">
        <v>0</v>
      </c>
      <c r="W1086" s="354">
        <v>0</v>
      </c>
      <c r="X1086" s="354">
        <v>0</v>
      </c>
      <c r="Y1086" s="374"/>
      <c r="Z1086" s="354">
        <v>0</v>
      </c>
      <c r="AA1086" s="354">
        <v>0</v>
      </c>
      <c r="AB1086" s="374"/>
      <c r="AC1086" s="376">
        <v>0</v>
      </c>
      <c r="AD1086" s="376">
        <v>0</v>
      </c>
      <c r="AE1086" s="376">
        <v>0</v>
      </c>
      <c r="AF1086" s="374"/>
      <c r="AG1086" s="376">
        <v>0</v>
      </c>
      <c r="AH1086" s="376">
        <v>0</v>
      </c>
      <c r="AI1086" s="376">
        <v>0</v>
      </c>
      <c r="AJ1086" s="376">
        <v>0</v>
      </c>
      <c r="AK1086" s="374"/>
      <c r="AL1086" s="376">
        <v>0</v>
      </c>
      <c r="AM1086" s="376">
        <v>0</v>
      </c>
      <c r="AN1086" s="376">
        <v>0</v>
      </c>
      <c r="AO1086" s="374"/>
      <c r="AP1086" s="376">
        <v>0</v>
      </c>
      <c r="AQ1086" s="376">
        <v>0</v>
      </c>
      <c r="AR1086" s="374"/>
      <c r="AS1086" s="376">
        <v>0</v>
      </c>
      <c r="AT1086" s="376">
        <v>0</v>
      </c>
      <c r="AU1086" s="355" t="s">
        <v>396</v>
      </c>
      <c r="AV1086" s="353" t="s">
        <v>404</v>
      </c>
      <c r="AW1086" s="355" t="s">
        <v>405</v>
      </c>
      <c r="AX1086" s="355">
        <v>0</v>
      </c>
      <c r="AY1086" s="350" t="s">
        <v>474</v>
      </c>
      <c r="AZ1086" s="351">
        <v>45079</v>
      </c>
      <c r="BA1086" s="351">
        <v>45082</v>
      </c>
      <c r="BB1086" s="350" t="s">
        <v>407</v>
      </c>
    </row>
    <row r="1087" spans="1:54" x14ac:dyDescent="0.25">
      <c r="A1087" s="348" t="s">
        <v>526</v>
      </c>
      <c r="B1087" s="349">
        <v>4825</v>
      </c>
      <c r="C1087" s="350" t="s">
        <v>458</v>
      </c>
      <c r="D1087" s="351">
        <v>45071</v>
      </c>
      <c r="E1087" s="352">
        <v>3570</v>
      </c>
      <c r="F1087" s="352">
        <v>7</v>
      </c>
      <c r="G1087" s="353" t="s">
        <v>1423</v>
      </c>
      <c r="H1087" s="350" t="s">
        <v>527</v>
      </c>
      <c r="I1087" s="350" t="s">
        <v>393</v>
      </c>
      <c r="J1087" s="354">
        <v>1095000</v>
      </c>
      <c r="K1087" s="350" t="s">
        <v>394</v>
      </c>
      <c r="L1087" s="354">
        <v>0</v>
      </c>
      <c r="M1087" s="354">
        <v>533.02</v>
      </c>
      <c r="N1087" s="354" t="s">
        <v>395</v>
      </c>
      <c r="O1087" s="354">
        <v>425.64</v>
      </c>
      <c r="P1087" s="374"/>
      <c r="Q1087" s="354">
        <v>0</v>
      </c>
      <c r="R1087" s="354">
        <v>0</v>
      </c>
      <c r="S1087" s="354">
        <v>0</v>
      </c>
      <c r="T1087" s="354">
        <v>0</v>
      </c>
      <c r="U1087" s="374"/>
      <c r="V1087" s="354">
        <v>0</v>
      </c>
      <c r="W1087" s="354">
        <v>0</v>
      </c>
      <c r="X1087" s="354">
        <v>0</v>
      </c>
      <c r="Y1087" s="374"/>
      <c r="Z1087" s="354">
        <v>0</v>
      </c>
      <c r="AA1087" s="354">
        <v>0</v>
      </c>
      <c r="AB1087" s="374"/>
      <c r="AC1087" s="376">
        <v>0</v>
      </c>
      <c r="AD1087" s="376">
        <v>0</v>
      </c>
      <c r="AE1087" s="376">
        <v>0</v>
      </c>
      <c r="AF1087" s="374"/>
      <c r="AG1087" s="376">
        <v>0</v>
      </c>
      <c r="AH1087" s="376">
        <v>0</v>
      </c>
      <c r="AI1087" s="376">
        <v>0</v>
      </c>
      <c r="AJ1087" s="376">
        <v>0</v>
      </c>
      <c r="AK1087" s="374"/>
      <c r="AL1087" s="376">
        <v>0</v>
      </c>
      <c r="AM1087" s="376">
        <v>0</v>
      </c>
      <c r="AN1087" s="376">
        <v>0</v>
      </c>
      <c r="AO1087" s="374"/>
      <c r="AP1087" s="376">
        <v>0</v>
      </c>
      <c r="AQ1087" s="376">
        <v>0</v>
      </c>
      <c r="AR1087" s="374"/>
      <c r="AS1087" s="376">
        <v>0</v>
      </c>
      <c r="AT1087" s="376">
        <v>0</v>
      </c>
      <c r="AU1087" s="355" t="s">
        <v>396</v>
      </c>
      <c r="AV1087" s="353" t="s">
        <v>404</v>
      </c>
      <c r="AW1087" s="355" t="s">
        <v>405</v>
      </c>
      <c r="AX1087" s="355">
        <v>0</v>
      </c>
      <c r="AY1087" s="350" t="s">
        <v>474</v>
      </c>
      <c r="AZ1087" s="351">
        <v>45080</v>
      </c>
      <c r="BA1087" s="351">
        <v>45082</v>
      </c>
      <c r="BB1087" s="350" t="s">
        <v>407</v>
      </c>
    </row>
    <row r="1088" spans="1:54" ht="19.5" customHeight="1" x14ac:dyDescent="0.25">
      <c r="A1088" s="348" t="s">
        <v>604</v>
      </c>
      <c r="B1088" s="349">
        <v>27</v>
      </c>
      <c r="C1088" s="350" t="s">
        <v>552</v>
      </c>
      <c r="D1088" s="351">
        <v>45026</v>
      </c>
      <c r="E1088" s="352"/>
      <c r="F1088" s="352">
        <v>6</v>
      </c>
      <c r="G1088" s="353" t="s">
        <v>1423</v>
      </c>
      <c r="H1088" s="437" t="s">
        <v>605</v>
      </c>
      <c r="I1088" s="350" t="s">
        <v>393</v>
      </c>
      <c r="J1088" s="438">
        <v>200000</v>
      </c>
      <c r="K1088" s="439" t="s">
        <v>394</v>
      </c>
      <c r="L1088" s="354">
        <v>2050.46</v>
      </c>
      <c r="M1088" s="440">
        <f>J1088/L1088</f>
        <v>97.539088789832519</v>
      </c>
      <c r="N1088" s="354" t="s">
        <v>395</v>
      </c>
      <c r="O1088" s="354">
        <v>0</v>
      </c>
      <c r="P1088" s="374"/>
      <c r="Q1088" s="354">
        <v>0</v>
      </c>
      <c r="R1088" s="354">
        <v>0</v>
      </c>
      <c r="S1088" s="354">
        <v>0</v>
      </c>
      <c r="T1088" s="354">
        <v>0</v>
      </c>
      <c r="U1088" s="374"/>
      <c r="V1088" s="354">
        <v>0</v>
      </c>
      <c r="W1088" s="354">
        <v>0</v>
      </c>
      <c r="X1088" s="354">
        <v>0</v>
      </c>
      <c r="Y1088" s="374"/>
      <c r="Z1088" s="354">
        <v>0</v>
      </c>
      <c r="AA1088" s="354">
        <v>0</v>
      </c>
      <c r="AB1088" s="374"/>
      <c r="AC1088" s="376">
        <v>0</v>
      </c>
      <c r="AD1088" s="376">
        <v>0</v>
      </c>
      <c r="AE1088" s="376">
        <v>0</v>
      </c>
      <c r="AF1088" s="374"/>
      <c r="AG1088" s="376">
        <v>0</v>
      </c>
      <c r="AH1088" s="376">
        <v>0</v>
      </c>
      <c r="AI1088" s="376">
        <v>0</v>
      </c>
      <c r="AJ1088" s="376">
        <v>0</v>
      </c>
      <c r="AK1088" s="374"/>
      <c r="AL1088" s="376">
        <v>0</v>
      </c>
      <c r="AM1088" s="376">
        <v>0</v>
      </c>
      <c r="AN1088" s="376">
        <v>0</v>
      </c>
      <c r="AO1088" s="374"/>
      <c r="AP1088" s="376">
        <v>0</v>
      </c>
      <c r="AQ1088" s="376">
        <v>0</v>
      </c>
      <c r="AR1088" s="374"/>
      <c r="AS1088" s="376">
        <v>0</v>
      </c>
      <c r="AT1088" s="376">
        <v>0</v>
      </c>
      <c r="AU1088" s="355" t="s">
        <v>396</v>
      </c>
      <c r="AV1088" s="354" t="s">
        <v>397</v>
      </c>
      <c r="AW1088" s="377">
        <v>0</v>
      </c>
      <c r="AX1088" s="377">
        <v>0</v>
      </c>
      <c r="AY1088" s="428">
        <v>0</v>
      </c>
      <c r="AZ1088" s="377">
        <v>0</v>
      </c>
      <c r="BA1088" s="377">
        <v>0</v>
      </c>
      <c r="BB1088" s="428">
        <v>0</v>
      </c>
    </row>
    <row r="1089" spans="1:54" ht="15.75" x14ac:dyDescent="0.25">
      <c r="A1089" s="348" t="s">
        <v>604</v>
      </c>
      <c r="B1089" s="349">
        <v>28</v>
      </c>
      <c r="C1089" s="350" t="s">
        <v>552</v>
      </c>
      <c r="D1089" s="351">
        <v>45026</v>
      </c>
      <c r="E1089" s="352"/>
      <c r="F1089" s="352">
        <v>6</v>
      </c>
      <c r="G1089" s="353" t="s">
        <v>1423</v>
      </c>
      <c r="H1089" s="437" t="s">
        <v>606</v>
      </c>
      <c r="I1089" s="350" t="s">
        <v>393</v>
      </c>
      <c r="J1089" s="438">
        <f>143664+103362</f>
        <v>247026</v>
      </c>
      <c r="K1089" s="439" t="s">
        <v>394</v>
      </c>
      <c r="L1089" s="354">
        <v>2050.46</v>
      </c>
      <c r="M1089" s="440">
        <f t="shared" ref="M1089:M1095" si="894">J1089/L1089</f>
        <v>120.47345473698584</v>
      </c>
      <c r="N1089" s="354" t="s">
        <v>395</v>
      </c>
      <c r="O1089" s="354">
        <v>0</v>
      </c>
      <c r="P1089" s="374"/>
      <c r="Q1089" s="354">
        <v>0</v>
      </c>
      <c r="R1089" s="354">
        <v>0</v>
      </c>
      <c r="S1089" s="354">
        <v>0</v>
      </c>
      <c r="T1089" s="354">
        <v>0</v>
      </c>
      <c r="U1089" s="374"/>
      <c r="V1089" s="354">
        <v>0</v>
      </c>
      <c r="W1089" s="354">
        <v>0</v>
      </c>
      <c r="X1089" s="354">
        <v>0</v>
      </c>
      <c r="Y1089" s="374"/>
      <c r="Z1089" s="354">
        <v>0</v>
      </c>
      <c r="AA1089" s="354">
        <v>0</v>
      </c>
      <c r="AB1089" s="374"/>
      <c r="AC1089" s="376">
        <v>0</v>
      </c>
      <c r="AD1089" s="376">
        <v>0</v>
      </c>
      <c r="AE1089" s="376">
        <v>0</v>
      </c>
      <c r="AF1089" s="374"/>
      <c r="AG1089" s="376">
        <v>0</v>
      </c>
      <c r="AH1089" s="376">
        <v>0</v>
      </c>
      <c r="AI1089" s="376">
        <v>0</v>
      </c>
      <c r="AJ1089" s="376">
        <v>0</v>
      </c>
      <c r="AK1089" s="374"/>
      <c r="AL1089" s="376">
        <v>0</v>
      </c>
      <c r="AM1089" s="376">
        <v>0</v>
      </c>
      <c r="AN1089" s="376">
        <v>0</v>
      </c>
      <c r="AO1089" s="374"/>
      <c r="AP1089" s="376">
        <v>0</v>
      </c>
      <c r="AQ1089" s="376">
        <v>0</v>
      </c>
      <c r="AR1089" s="374"/>
      <c r="AS1089" s="376">
        <v>0</v>
      </c>
      <c r="AT1089" s="376">
        <v>0</v>
      </c>
      <c r="AU1089" s="355" t="s">
        <v>396</v>
      </c>
      <c r="AV1089" s="354" t="s">
        <v>397</v>
      </c>
      <c r="AW1089" s="377">
        <v>0</v>
      </c>
      <c r="AX1089" s="377">
        <v>0</v>
      </c>
      <c r="AY1089" s="428">
        <v>0</v>
      </c>
      <c r="AZ1089" s="377">
        <v>0</v>
      </c>
      <c r="BA1089" s="377">
        <v>0</v>
      </c>
      <c r="BB1089" s="428">
        <v>0</v>
      </c>
    </row>
    <row r="1090" spans="1:54" ht="15.75" x14ac:dyDescent="0.25">
      <c r="A1090" s="348" t="s">
        <v>607</v>
      </c>
      <c r="B1090" s="349">
        <v>29</v>
      </c>
      <c r="C1090" s="350" t="s">
        <v>552</v>
      </c>
      <c r="D1090" s="351">
        <v>45049</v>
      </c>
      <c r="E1090" s="352"/>
      <c r="F1090" s="352">
        <v>6</v>
      </c>
      <c r="G1090" s="353" t="s">
        <v>1423</v>
      </c>
      <c r="H1090" s="437" t="s">
        <v>351</v>
      </c>
      <c r="I1090" s="350" t="s">
        <v>393</v>
      </c>
      <c r="J1090" s="438">
        <v>300000</v>
      </c>
      <c r="K1090" s="439" t="s">
        <v>394</v>
      </c>
      <c r="L1090" s="354">
        <v>2054.29</v>
      </c>
      <c r="M1090" s="440">
        <f t="shared" si="894"/>
        <v>146.03585667067455</v>
      </c>
      <c r="N1090" s="354" t="s">
        <v>395</v>
      </c>
      <c r="O1090" s="354">
        <v>0</v>
      </c>
      <c r="P1090" s="374"/>
      <c r="Q1090" s="354">
        <v>0</v>
      </c>
      <c r="R1090" s="354">
        <v>0</v>
      </c>
      <c r="S1090" s="354">
        <v>0</v>
      </c>
      <c r="T1090" s="354">
        <v>0</v>
      </c>
      <c r="U1090" s="374"/>
      <c r="V1090" s="354">
        <v>0</v>
      </c>
      <c r="W1090" s="354">
        <v>0</v>
      </c>
      <c r="X1090" s="354">
        <v>0</v>
      </c>
      <c r="Y1090" s="374"/>
      <c r="Z1090" s="354">
        <v>0</v>
      </c>
      <c r="AA1090" s="354">
        <v>0</v>
      </c>
      <c r="AB1090" s="374"/>
      <c r="AC1090" s="376">
        <v>0</v>
      </c>
      <c r="AD1090" s="376">
        <v>0</v>
      </c>
      <c r="AE1090" s="376">
        <v>0</v>
      </c>
      <c r="AF1090" s="374"/>
      <c r="AG1090" s="376">
        <v>0</v>
      </c>
      <c r="AH1090" s="376">
        <v>0</v>
      </c>
      <c r="AI1090" s="376">
        <v>0</v>
      </c>
      <c r="AJ1090" s="376">
        <v>0</v>
      </c>
      <c r="AK1090" s="374"/>
      <c r="AL1090" s="376">
        <v>0</v>
      </c>
      <c r="AM1090" s="376">
        <v>0</v>
      </c>
      <c r="AN1090" s="376">
        <v>0</v>
      </c>
      <c r="AO1090" s="374"/>
      <c r="AP1090" s="376">
        <v>0</v>
      </c>
      <c r="AQ1090" s="376">
        <v>0</v>
      </c>
      <c r="AR1090" s="374"/>
      <c r="AS1090" s="376">
        <v>0</v>
      </c>
      <c r="AT1090" s="376">
        <v>0</v>
      </c>
      <c r="AU1090" s="355" t="s">
        <v>396</v>
      </c>
      <c r="AV1090" s="354" t="s">
        <v>397</v>
      </c>
      <c r="AW1090" s="377">
        <v>0</v>
      </c>
      <c r="AX1090" s="377">
        <v>0</v>
      </c>
      <c r="AY1090" s="428">
        <v>0</v>
      </c>
      <c r="AZ1090" s="377">
        <v>0</v>
      </c>
      <c r="BA1090" s="377">
        <v>0</v>
      </c>
      <c r="BB1090" s="428">
        <v>0</v>
      </c>
    </row>
    <row r="1091" spans="1:54" ht="19.5" customHeight="1" x14ac:dyDescent="0.25">
      <c r="A1091" s="348" t="s">
        <v>608</v>
      </c>
      <c r="B1091" s="349">
        <v>30</v>
      </c>
      <c r="C1091" s="350" t="s">
        <v>552</v>
      </c>
      <c r="D1091" s="351">
        <v>45041</v>
      </c>
      <c r="E1091" s="352"/>
      <c r="F1091" s="352">
        <v>6</v>
      </c>
      <c r="G1091" s="353" t="s">
        <v>1423</v>
      </c>
      <c r="H1091" s="437" t="s">
        <v>609</v>
      </c>
      <c r="I1091" s="350" t="s">
        <v>393</v>
      </c>
      <c r="J1091" s="438">
        <v>300000</v>
      </c>
      <c r="K1091" s="439" t="s">
        <v>394</v>
      </c>
      <c r="L1091" s="354">
        <v>2050.46</v>
      </c>
      <c r="M1091" s="440">
        <f t="shared" si="894"/>
        <v>146.30863318474877</v>
      </c>
      <c r="N1091" s="354" t="s">
        <v>395</v>
      </c>
      <c r="O1091" s="354">
        <v>0</v>
      </c>
      <c r="P1091" s="374"/>
      <c r="Q1091" s="354">
        <v>0</v>
      </c>
      <c r="R1091" s="354">
        <v>0</v>
      </c>
      <c r="S1091" s="354">
        <v>0</v>
      </c>
      <c r="T1091" s="354">
        <v>0</v>
      </c>
      <c r="U1091" s="374"/>
      <c r="V1091" s="354">
        <v>0</v>
      </c>
      <c r="W1091" s="354">
        <v>0</v>
      </c>
      <c r="X1091" s="354">
        <v>0</v>
      </c>
      <c r="Y1091" s="374"/>
      <c r="Z1091" s="354">
        <v>0</v>
      </c>
      <c r="AA1091" s="354">
        <v>0</v>
      </c>
      <c r="AB1091" s="374"/>
      <c r="AC1091" s="376">
        <v>0</v>
      </c>
      <c r="AD1091" s="376">
        <v>0</v>
      </c>
      <c r="AE1091" s="376">
        <v>0</v>
      </c>
      <c r="AF1091" s="374"/>
      <c r="AG1091" s="376">
        <v>0</v>
      </c>
      <c r="AH1091" s="376">
        <v>0</v>
      </c>
      <c r="AI1091" s="376">
        <v>0</v>
      </c>
      <c r="AJ1091" s="376">
        <v>0</v>
      </c>
      <c r="AK1091" s="374"/>
      <c r="AL1091" s="376">
        <v>0</v>
      </c>
      <c r="AM1091" s="376">
        <v>0</v>
      </c>
      <c r="AN1091" s="376">
        <v>0</v>
      </c>
      <c r="AO1091" s="374"/>
      <c r="AP1091" s="376">
        <v>0</v>
      </c>
      <c r="AQ1091" s="376">
        <v>0</v>
      </c>
      <c r="AR1091" s="374"/>
      <c r="AS1091" s="376">
        <v>0</v>
      </c>
      <c r="AT1091" s="376">
        <v>0</v>
      </c>
      <c r="AU1091" s="355" t="s">
        <v>396</v>
      </c>
      <c r="AV1091" s="354" t="s">
        <v>397</v>
      </c>
      <c r="AW1091" s="377">
        <v>0</v>
      </c>
      <c r="AX1091" s="377">
        <v>0</v>
      </c>
      <c r="AY1091" s="428">
        <v>0</v>
      </c>
      <c r="AZ1091" s="377">
        <v>0</v>
      </c>
      <c r="BA1091" s="377">
        <v>0</v>
      </c>
      <c r="BB1091" s="428">
        <v>0</v>
      </c>
    </row>
    <row r="1092" spans="1:54" ht="15.75" x14ac:dyDescent="0.25">
      <c r="A1092" s="348" t="s">
        <v>608</v>
      </c>
      <c r="B1092" s="349">
        <v>31</v>
      </c>
      <c r="C1092" s="350" t="s">
        <v>552</v>
      </c>
      <c r="D1092" s="351">
        <v>45041</v>
      </c>
      <c r="E1092" s="352"/>
      <c r="F1092" s="352">
        <v>6</v>
      </c>
      <c r="G1092" s="353" t="s">
        <v>1423</v>
      </c>
      <c r="H1092" s="437" t="s">
        <v>606</v>
      </c>
      <c r="I1092" s="350" t="s">
        <v>393</v>
      </c>
      <c r="J1092" s="438">
        <v>224595</v>
      </c>
      <c r="K1092" s="439" t="s">
        <v>394</v>
      </c>
      <c r="L1092" s="354">
        <v>2050.46</v>
      </c>
      <c r="M1092" s="440">
        <f t="shared" si="894"/>
        <v>109.53395823376218</v>
      </c>
      <c r="N1092" s="354" t="s">
        <v>395</v>
      </c>
      <c r="O1092" s="354">
        <v>0</v>
      </c>
      <c r="P1092" s="374"/>
      <c r="Q1092" s="354">
        <v>0</v>
      </c>
      <c r="R1092" s="354">
        <v>0</v>
      </c>
      <c r="S1092" s="354">
        <v>0</v>
      </c>
      <c r="T1092" s="354">
        <v>0</v>
      </c>
      <c r="U1092" s="374"/>
      <c r="V1092" s="354">
        <v>0</v>
      </c>
      <c r="W1092" s="354">
        <v>0</v>
      </c>
      <c r="X1092" s="354">
        <v>0</v>
      </c>
      <c r="Y1092" s="374"/>
      <c r="Z1092" s="354">
        <v>0</v>
      </c>
      <c r="AA1092" s="354">
        <v>0</v>
      </c>
      <c r="AB1092" s="374"/>
      <c r="AC1092" s="376">
        <v>0</v>
      </c>
      <c r="AD1092" s="376">
        <v>0</v>
      </c>
      <c r="AE1092" s="376">
        <v>0</v>
      </c>
      <c r="AF1092" s="374"/>
      <c r="AG1092" s="376">
        <v>0</v>
      </c>
      <c r="AH1092" s="376">
        <v>0</v>
      </c>
      <c r="AI1092" s="376">
        <v>0</v>
      </c>
      <c r="AJ1092" s="376">
        <v>0</v>
      </c>
      <c r="AK1092" s="374"/>
      <c r="AL1092" s="376">
        <v>0</v>
      </c>
      <c r="AM1092" s="376">
        <v>0</v>
      </c>
      <c r="AN1092" s="376">
        <v>0</v>
      </c>
      <c r="AO1092" s="374"/>
      <c r="AP1092" s="376">
        <v>0</v>
      </c>
      <c r="AQ1092" s="376">
        <v>0</v>
      </c>
      <c r="AR1092" s="374"/>
      <c r="AS1092" s="376">
        <v>0</v>
      </c>
      <c r="AT1092" s="376">
        <v>0</v>
      </c>
      <c r="AU1092" s="355" t="s">
        <v>398</v>
      </c>
      <c r="AV1092" s="354" t="s">
        <v>397</v>
      </c>
      <c r="AW1092" s="377">
        <v>0</v>
      </c>
      <c r="AX1092" s="377">
        <v>0</v>
      </c>
      <c r="AY1092" s="428">
        <v>0</v>
      </c>
      <c r="AZ1092" s="377">
        <v>0</v>
      </c>
      <c r="BA1092" s="377">
        <v>0</v>
      </c>
      <c r="BB1092" s="428">
        <v>0</v>
      </c>
    </row>
    <row r="1093" spans="1:54" ht="28.5" customHeight="1" x14ac:dyDescent="0.25">
      <c r="A1093" s="348" t="s">
        <v>608</v>
      </c>
      <c r="B1093" s="349">
        <v>32</v>
      </c>
      <c r="C1093" s="350" t="s">
        <v>552</v>
      </c>
      <c r="D1093" s="351">
        <v>45041</v>
      </c>
      <c r="E1093" s="352"/>
      <c r="F1093" s="352">
        <v>6</v>
      </c>
      <c r="G1093" s="353" t="s">
        <v>1423</v>
      </c>
      <c r="H1093" s="441" t="s">
        <v>610</v>
      </c>
      <c r="I1093" s="350" t="s">
        <v>393</v>
      </c>
      <c r="J1093" s="438">
        <v>10000</v>
      </c>
      <c r="K1093" s="439" t="s">
        <v>394</v>
      </c>
      <c r="L1093" s="354">
        <v>2050.46</v>
      </c>
      <c r="M1093" s="440">
        <f t="shared" si="894"/>
        <v>4.8769544394916258</v>
      </c>
      <c r="N1093" s="354" t="s">
        <v>395</v>
      </c>
      <c r="O1093" s="354">
        <v>0</v>
      </c>
      <c r="P1093" s="374"/>
      <c r="Q1093" s="354">
        <v>0</v>
      </c>
      <c r="R1093" s="354">
        <v>0</v>
      </c>
      <c r="S1093" s="354">
        <v>0</v>
      </c>
      <c r="T1093" s="354">
        <v>0</v>
      </c>
      <c r="U1093" s="374"/>
      <c r="V1093" s="354">
        <v>0</v>
      </c>
      <c r="W1093" s="354">
        <v>0</v>
      </c>
      <c r="X1093" s="354">
        <v>0</v>
      </c>
      <c r="Y1093" s="374"/>
      <c r="Z1093" s="354">
        <v>0</v>
      </c>
      <c r="AA1093" s="354">
        <v>0</v>
      </c>
      <c r="AB1093" s="374"/>
      <c r="AC1093" s="376">
        <v>0</v>
      </c>
      <c r="AD1093" s="376">
        <v>0</v>
      </c>
      <c r="AE1093" s="376">
        <v>0</v>
      </c>
      <c r="AF1093" s="374"/>
      <c r="AG1093" s="376">
        <v>0</v>
      </c>
      <c r="AH1093" s="376">
        <v>0</v>
      </c>
      <c r="AI1093" s="376">
        <v>0</v>
      </c>
      <c r="AJ1093" s="376">
        <v>0</v>
      </c>
      <c r="AK1093" s="374"/>
      <c r="AL1093" s="376">
        <v>0</v>
      </c>
      <c r="AM1093" s="376">
        <v>0</v>
      </c>
      <c r="AN1093" s="376">
        <v>0</v>
      </c>
      <c r="AO1093" s="374"/>
      <c r="AP1093" s="376">
        <v>0</v>
      </c>
      <c r="AQ1093" s="376">
        <v>0</v>
      </c>
      <c r="AR1093" s="374"/>
      <c r="AS1093" s="376">
        <v>0</v>
      </c>
      <c r="AT1093" s="376">
        <v>0</v>
      </c>
      <c r="AU1093" s="355" t="s">
        <v>399</v>
      </c>
      <c r="AV1093" s="354" t="s">
        <v>397</v>
      </c>
      <c r="AW1093" s="377">
        <v>0</v>
      </c>
      <c r="AX1093" s="377">
        <v>0</v>
      </c>
      <c r="AY1093" s="428">
        <v>0</v>
      </c>
      <c r="AZ1093" s="377">
        <v>0</v>
      </c>
      <c r="BA1093" s="377">
        <v>0</v>
      </c>
      <c r="BB1093" s="428">
        <v>0</v>
      </c>
    </row>
    <row r="1094" spans="1:54" ht="15.75" x14ac:dyDescent="0.25">
      <c r="A1094" s="348" t="s">
        <v>611</v>
      </c>
      <c r="B1094" s="349">
        <v>33</v>
      </c>
      <c r="C1094" s="350" t="s">
        <v>552</v>
      </c>
      <c r="D1094" s="351">
        <v>45054</v>
      </c>
      <c r="E1094" s="352"/>
      <c r="F1094" s="352">
        <v>6</v>
      </c>
      <c r="G1094" s="353" t="s">
        <v>1423</v>
      </c>
      <c r="H1094" s="437" t="s">
        <v>351</v>
      </c>
      <c r="I1094" s="350" t="s">
        <v>393</v>
      </c>
      <c r="J1094" s="438">
        <v>300000</v>
      </c>
      <c r="K1094" s="439" t="s">
        <v>394</v>
      </c>
      <c r="L1094" s="354">
        <v>2054.29</v>
      </c>
      <c r="M1094" s="440">
        <f t="shared" si="894"/>
        <v>146.03585667067455</v>
      </c>
      <c r="N1094" s="354" t="s">
        <v>395</v>
      </c>
      <c r="O1094" s="354">
        <v>0</v>
      </c>
      <c r="P1094" s="374"/>
      <c r="Q1094" s="354">
        <v>0</v>
      </c>
      <c r="R1094" s="354">
        <v>0</v>
      </c>
      <c r="S1094" s="354">
        <v>0</v>
      </c>
      <c r="T1094" s="354">
        <v>0</v>
      </c>
      <c r="U1094" s="374"/>
      <c r="V1094" s="354">
        <v>0</v>
      </c>
      <c r="W1094" s="354">
        <v>0</v>
      </c>
      <c r="X1094" s="354">
        <v>0</v>
      </c>
      <c r="Y1094" s="374"/>
      <c r="Z1094" s="354">
        <v>0</v>
      </c>
      <c r="AA1094" s="354">
        <v>0</v>
      </c>
      <c r="AB1094" s="374"/>
      <c r="AC1094" s="376">
        <v>0</v>
      </c>
      <c r="AD1094" s="376">
        <v>0</v>
      </c>
      <c r="AE1094" s="376">
        <v>0</v>
      </c>
      <c r="AF1094" s="374"/>
      <c r="AG1094" s="376">
        <v>0</v>
      </c>
      <c r="AH1094" s="376">
        <v>0</v>
      </c>
      <c r="AI1094" s="376">
        <v>0</v>
      </c>
      <c r="AJ1094" s="376">
        <v>0</v>
      </c>
      <c r="AK1094" s="374"/>
      <c r="AL1094" s="376">
        <v>0</v>
      </c>
      <c r="AM1094" s="376">
        <v>0</v>
      </c>
      <c r="AN1094" s="376">
        <v>0</v>
      </c>
      <c r="AO1094" s="374"/>
      <c r="AP1094" s="376">
        <v>0</v>
      </c>
      <c r="AQ1094" s="376">
        <v>0</v>
      </c>
      <c r="AR1094" s="374"/>
      <c r="AS1094" s="376">
        <v>0</v>
      </c>
      <c r="AT1094" s="376">
        <v>0</v>
      </c>
      <c r="AU1094" s="355" t="s">
        <v>400</v>
      </c>
      <c r="AV1094" s="354" t="s">
        <v>397</v>
      </c>
      <c r="AW1094" s="377">
        <v>0</v>
      </c>
      <c r="AX1094" s="377">
        <v>0</v>
      </c>
      <c r="AY1094" s="428">
        <v>0</v>
      </c>
      <c r="AZ1094" s="377">
        <v>0</v>
      </c>
      <c r="BA1094" s="377">
        <v>0</v>
      </c>
      <c r="BB1094" s="428">
        <v>0</v>
      </c>
    </row>
    <row r="1095" spans="1:54" ht="15.75" x14ac:dyDescent="0.25">
      <c r="A1095" s="348" t="s">
        <v>612</v>
      </c>
      <c r="B1095" s="349">
        <v>34</v>
      </c>
      <c r="C1095" s="350" t="s">
        <v>560</v>
      </c>
      <c r="D1095" s="351">
        <v>45050</v>
      </c>
      <c r="E1095" s="352"/>
      <c r="F1095" s="352">
        <v>6</v>
      </c>
      <c r="G1095" s="353" t="s">
        <v>1423</v>
      </c>
      <c r="H1095" s="441" t="s">
        <v>613</v>
      </c>
      <c r="I1095" s="350" t="s">
        <v>393</v>
      </c>
      <c r="J1095" s="438">
        <v>300000</v>
      </c>
      <c r="K1095" s="439" t="s">
        <v>394</v>
      </c>
      <c r="L1095" s="354">
        <v>2054.29</v>
      </c>
      <c r="M1095" s="440">
        <f t="shared" si="894"/>
        <v>146.03585667067455</v>
      </c>
      <c r="N1095" s="354" t="s">
        <v>395</v>
      </c>
      <c r="O1095" s="354">
        <v>0</v>
      </c>
      <c r="P1095" s="374"/>
      <c r="Q1095" s="354">
        <v>0</v>
      </c>
      <c r="R1095" s="354">
        <v>0</v>
      </c>
      <c r="S1095" s="354">
        <v>0</v>
      </c>
      <c r="T1095" s="354">
        <v>0</v>
      </c>
      <c r="U1095" s="374"/>
      <c r="V1095" s="354">
        <v>0</v>
      </c>
      <c r="W1095" s="354">
        <v>0</v>
      </c>
      <c r="X1095" s="354">
        <v>0</v>
      </c>
      <c r="Y1095" s="374"/>
      <c r="Z1095" s="354">
        <v>0</v>
      </c>
      <c r="AA1095" s="354">
        <v>0</v>
      </c>
      <c r="AB1095" s="374"/>
      <c r="AC1095" s="376">
        <v>0</v>
      </c>
      <c r="AD1095" s="376">
        <v>0</v>
      </c>
      <c r="AE1095" s="376">
        <v>0</v>
      </c>
      <c r="AF1095" s="374"/>
      <c r="AG1095" s="376">
        <v>0</v>
      </c>
      <c r="AH1095" s="376">
        <v>0</v>
      </c>
      <c r="AI1095" s="376">
        <v>0</v>
      </c>
      <c r="AJ1095" s="376">
        <v>0</v>
      </c>
      <c r="AK1095" s="374"/>
      <c r="AL1095" s="376">
        <v>0</v>
      </c>
      <c r="AM1095" s="376">
        <v>0</v>
      </c>
      <c r="AN1095" s="376">
        <v>0</v>
      </c>
      <c r="AO1095" s="374"/>
      <c r="AP1095" s="376">
        <v>0</v>
      </c>
      <c r="AQ1095" s="376">
        <v>0</v>
      </c>
      <c r="AR1095" s="374"/>
      <c r="AS1095" s="376">
        <v>0</v>
      </c>
      <c r="AT1095" s="376">
        <v>0</v>
      </c>
      <c r="AU1095" s="355" t="s">
        <v>401</v>
      </c>
      <c r="AV1095" s="354" t="s">
        <v>397</v>
      </c>
      <c r="AW1095" s="377">
        <v>0</v>
      </c>
      <c r="AX1095" s="377">
        <v>0</v>
      </c>
      <c r="AY1095" s="428">
        <v>0</v>
      </c>
      <c r="AZ1095" s="377">
        <v>0</v>
      </c>
      <c r="BA1095" s="377">
        <v>0</v>
      </c>
      <c r="BB1095" s="428">
        <v>0</v>
      </c>
    </row>
    <row r="1096" spans="1:54" x14ac:dyDescent="0.25">
      <c r="A1096" s="348" t="s">
        <v>614</v>
      </c>
      <c r="B1096" s="349">
        <v>1</v>
      </c>
      <c r="C1096" s="442" t="s">
        <v>392</v>
      </c>
      <c r="D1096" s="351">
        <v>45042</v>
      </c>
      <c r="E1096" s="352"/>
      <c r="F1096" s="352">
        <v>6</v>
      </c>
      <c r="G1096" s="353" t="s">
        <v>1423</v>
      </c>
      <c r="H1096" s="350" t="s">
        <v>809</v>
      </c>
      <c r="I1096" s="350" t="s">
        <v>393</v>
      </c>
      <c r="J1096" s="375">
        <f>59900+296500</f>
        <v>356400</v>
      </c>
      <c r="K1096" s="350" t="s">
        <v>394</v>
      </c>
      <c r="L1096" s="354">
        <v>2050.46</v>
      </c>
      <c r="M1096" s="375">
        <f>J1096/L1096</f>
        <v>173.81465622348156</v>
      </c>
      <c r="N1096" s="354" t="s">
        <v>395</v>
      </c>
      <c r="O1096" s="354">
        <v>0</v>
      </c>
      <c r="P1096" s="374"/>
      <c r="Q1096" s="354">
        <v>0</v>
      </c>
      <c r="R1096" s="354">
        <v>0</v>
      </c>
      <c r="S1096" s="354">
        <v>0</v>
      </c>
      <c r="T1096" s="354">
        <v>0</v>
      </c>
      <c r="U1096" s="374"/>
      <c r="V1096" s="354">
        <v>0</v>
      </c>
      <c r="W1096" s="354">
        <v>0</v>
      </c>
      <c r="X1096" s="354">
        <v>0</v>
      </c>
      <c r="Y1096" s="374"/>
      <c r="Z1096" s="354">
        <v>0</v>
      </c>
      <c r="AA1096" s="354">
        <v>0</v>
      </c>
      <c r="AB1096" s="374"/>
      <c r="AC1096" s="376">
        <v>0</v>
      </c>
      <c r="AD1096" s="376">
        <v>0</v>
      </c>
      <c r="AE1096" s="376">
        <v>0</v>
      </c>
      <c r="AF1096" s="374"/>
      <c r="AG1096" s="376">
        <v>0</v>
      </c>
      <c r="AH1096" s="376">
        <v>0</v>
      </c>
      <c r="AI1096" s="376">
        <v>0</v>
      </c>
      <c r="AJ1096" s="376">
        <v>0</v>
      </c>
      <c r="AK1096" s="374"/>
      <c r="AL1096" s="376">
        <v>0</v>
      </c>
      <c r="AM1096" s="376">
        <v>0</v>
      </c>
      <c r="AN1096" s="376">
        <v>0</v>
      </c>
      <c r="AO1096" s="374"/>
      <c r="AP1096" s="376">
        <v>0</v>
      </c>
      <c r="AQ1096" s="376">
        <v>0</v>
      </c>
      <c r="AR1096" s="374"/>
      <c r="AS1096" s="376">
        <v>0</v>
      </c>
      <c r="AT1096" s="376">
        <v>0</v>
      </c>
      <c r="AU1096" s="355" t="s">
        <v>396</v>
      </c>
      <c r="AV1096" s="354" t="s">
        <v>346</v>
      </c>
      <c r="AW1096" s="377">
        <v>0</v>
      </c>
      <c r="AX1096" s="377">
        <v>0</v>
      </c>
      <c r="AY1096" s="428">
        <v>0</v>
      </c>
      <c r="AZ1096" s="377">
        <v>0</v>
      </c>
      <c r="BA1096" s="377">
        <v>0</v>
      </c>
      <c r="BB1096" s="428">
        <v>0</v>
      </c>
    </row>
    <row r="1097" spans="1:54" x14ac:dyDescent="0.25">
      <c r="A1097" s="348" t="s">
        <v>614</v>
      </c>
      <c r="B1097" s="349">
        <v>1</v>
      </c>
      <c r="C1097" s="442" t="s">
        <v>392</v>
      </c>
      <c r="D1097" s="351">
        <v>45042</v>
      </c>
      <c r="E1097" s="352"/>
      <c r="F1097" s="352">
        <v>6</v>
      </c>
      <c r="G1097" s="353" t="s">
        <v>1423</v>
      </c>
      <c r="H1097" s="350" t="s">
        <v>810</v>
      </c>
      <c r="I1097" s="350" t="s">
        <v>393</v>
      </c>
      <c r="J1097" s="375">
        <f>360000</f>
        <v>360000</v>
      </c>
      <c r="K1097" s="350" t="s">
        <v>394</v>
      </c>
      <c r="L1097" s="354">
        <v>2050.46</v>
      </c>
      <c r="M1097" s="375">
        <f>J1097/L1097</f>
        <v>175.57035982169853</v>
      </c>
      <c r="N1097" s="354" t="s">
        <v>395</v>
      </c>
      <c r="O1097" s="354">
        <v>0</v>
      </c>
      <c r="P1097" s="374"/>
      <c r="Q1097" s="354">
        <v>0</v>
      </c>
      <c r="R1097" s="354">
        <v>0</v>
      </c>
      <c r="S1097" s="354">
        <v>0</v>
      </c>
      <c r="T1097" s="354">
        <v>0</v>
      </c>
      <c r="U1097" s="374"/>
      <c r="V1097" s="354">
        <v>0</v>
      </c>
      <c r="W1097" s="354">
        <v>0</v>
      </c>
      <c r="X1097" s="354">
        <v>0</v>
      </c>
      <c r="Y1097" s="374"/>
      <c r="Z1097" s="354">
        <v>0</v>
      </c>
      <c r="AA1097" s="354">
        <v>0</v>
      </c>
      <c r="AB1097" s="374"/>
      <c r="AC1097" s="376">
        <v>0</v>
      </c>
      <c r="AD1097" s="376">
        <v>0</v>
      </c>
      <c r="AE1097" s="376">
        <v>0</v>
      </c>
      <c r="AF1097" s="374"/>
      <c r="AG1097" s="376">
        <v>0</v>
      </c>
      <c r="AH1097" s="376">
        <v>0</v>
      </c>
      <c r="AI1097" s="376">
        <v>0</v>
      </c>
      <c r="AJ1097" s="376">
        <v>0</v>
      </c>
      <c r="AK1097" s="374"/>
      <c r="AL1097" s="376">
        <v>0</v>
      </c>
      <c r="AM1097" s="376">
        <v>0</v>
      </c>
      <c r="AN1097" s="376">
        <v>0</v>
      </c>
      <c r="AO1097" s="374"/>
      <c r="AP1097" s="376">
        <v>0</v>
      </c>
      <c r="AQ1097" s="376">
        <v>0</v>
      </c>
      <c r="AR1097" s="374"/>
      <c r="AS1097" s="376">
        <v>0</v>
      </c>
      <c r="AT1097" s="376">
        <v>0</v>
      </c>
      <c r="AU1097" s="355" t="s">
        <v>396</v>
      </c>
      <c r="AV1097" s="354" t="s">
        <v>346</v>
      </c>
      <c r="AW1097" s="377">
        <v>0</v>
      </c>
      <c r="AX1097" s="377">
        <v>0</v>
      </c>
      <c r="AY1097" s="428">
        <v>0</v>
      </c>
      <c r="AZ1097" s="377">
        <v>0</v>
      </c>
      <c r="BA1097" s="377">
        <v>0</v>
      </c>
      <c r="BB1097" s="428">
        <v>0</v>
      </c>
    </row>
    <row r="1098" spans="1:54" x14ac:dyDescent="0.25">
      <c r="A1098" s="348" t="s">
        <v>614</v>
      </c>
      <c r="B1098" s="349">
        <v>1</v>
      </c>
      <c r="C1098" s="442" t="s">
        <v>392</v>
      </c>
      <c r="D1098" s="351">
        <v>45042</v>
      </c>
      <c r="E1098" s="352"/>
      <c r="F1098" s="352">
        <v>6</v>
      </c>
      <c r="G1098" s="353" t="s">
        <v>1423</v>
      </c>
      <c r="H1098" s="350" t="s">
        <v>811</v>
      </c>
      <c r="I1098" s="350" t="s">
        <v>393</v>
      </c>
      <c r="J1098" s="375">
        <f>30000</f>
        <v>30000</v>
      </c>
      <c r="K1098" s="350" t="s">
        <v>394</v>
      </c>
      <c r="L1098" s="354">
        <v>2050.46</v>
      </c>
      <c r="M1098" s="375">
        <f>J1098/L1098</f>
        <v>14.630863318474878</v>
      </c>
      <c r="N1098" s="354" t="s">
        <v>395</v>
      </c>
      <c r="O1098" s="354">
        <v>0</v>
      </c>
      <c r="P1098" s="374"/>
      <c r="Q1098" s="354">
        <v>0</v>
      </c>
      <c r="R1098" s="354">
        <v>0</v>
      </c>
      <c r="S1098" s="354">
        <v>0</v>
      </c>
      <c r="T1098" s="354">
        <v>0</v>
      </c>
      <c r="U1098" s="374"/>
      <c r="V1098" s="354">
        <v>0</v>
      </c>
      <c r="W1098" s="354">
        <v>0</v>
      </c>
      <c r="X1098" s="354">
        <v>0</v>
      </c>
      <c r="Y1098" s="374"/>
      <c r="Z1098" s="354">
        <v>0</v>
      </c>
      <c r="AA1098" s="354">
        <v>0</v>
      </c>
      <c r="AB1098" s="374"/>
      <c r="AC1098" s="376">
        <v>0</v>
      </c>
      <c r="AD1098" s="376">
        <v>0</v>
      </c>
      <c r="AE1098" s="376">
        <v>0</v>
      </c>
      <c r="AF1098" s="374"/>
      <c r="AG1098" s="376">
        <v>0</v>
      </c>
      <c r="AH1098" s="376">
        <v>0</v>
      </c>
      <c r="AI1098" s="376">
        <v>0</v>
      </c>
      <c r="AJ1098" s="376">
        <v>0</v>
      </c>
      <c r="AK1098" s="374"/>
      <c r="AL1098" s="376">
        <v>0</v>
      </c>
      <c r="AM1098" s="376">
        <v>0</v>
      </c>
      <c r="AN1098" s="376">
        <v>0</v>
      </c>
      <c r="AO1098" s="374"/>
      <c r="AP1098" s="376">
        <v>0</v>
      </c>
      <c r="AQ1098" s="376">
        <v>0</v>
      </c>
      <c r="AR1098" s="374"/>
      <c r="AS1098" s="376">
        <v>0</v>
      </c>
      <c r="AT1098" s="376">
        <v>0</v>
      </c>
      <c r="AU1098" s="355" t="s">
        <v>396</v>
      </c>
      <c r="AV1098" s="354" t="s">
        <v>346</v>
      </c>
      <c r="AW1098" s="377">
        <v>0</v>
      </c>
      <c r="AX1098" s="377">
        <v>0</v>
      </c>
      <c r="AY1098" s="428">
        <v>0</v>
      </c>
      <c r="AZ1098" s="377">
        <v>0</v>
      </c>
      <c r="BA1098" s="377">
        <v>0</v>
      </c>
      <c r="BB1098" s="428">
        <v>0</v>
      </c>
    </row>
    <row r="1099" spans="1:54" x14ac:dyDescent="0.25">
      <c r="A1099" s="348" t="s">
        <v>614</v>
      </c>
      <c r="B1099" s="349">
        <v>1</v>
      </c>
      <c r="C1099" s="442" t="s">
        <v>392</v>
      </c>
      <c r="D1099" s="351">
        <v>45042</v>
      </c>
      <c r="E1099" s="352"/>
      <c r="F1099" s="352">
        <v>6</v>
      </c>
      <c r="G1099" s="353" t="s">
        <v>1423</v>
      </c>
      <c r="H1099" s="350" t="s">
        <v>812</v>
      </c>
      <c r="I1099" s="350" t="s">
        <v>393</v>
      </c>
      <c r="J1099" s="375">
        <f>20000+20000</f>
        <v>40000</v>
      </c>
      <c r="K1099" s="350" t="s">
        <v>394</v>
      </c>
      <c r="L1099" s="354">
        <v>2050.46</v>
      </c>
      <c r="M1099" s="375">
        <f>J1099/L1099</f>
        <v>19.507817757966503</v>
      </c>
      <c r="N1099" s="354" t="s">
        <v>395</v>
      </c>
      <c r="O1099" s="354">
        <v>0</v>
      </c>
      <c r="P1099" s="374"/>
      <c r="Q1099" s="354">
        <v>0</v>
      </c>
      <c r="R1099" s="354">
        <v>0</v>
      </c>
      <c r="S1099" s="354">
        <v>0</v>
      </c>
      <c r="T1099" s="354">
        <v>0</v>
      </c>
      <c r="U1099" s="374"/>
      <c r="V1099" s="354">
        <v>0</v>
      </c>
      <c r="W1099" s="354">
        <v>0</v>
      </c>
      <c r="X1099" s="354">
        <v>0</v>
      </c>
      <c r="Y1099" s="374"/>
      <c r="Z1099" s="354">
        <v>0</v>
      </c>
      <c r="AA1099" s="354">
        <v>0</v>
      </c>
      <c r="AB1099" s="374"/>
      <c r="AC1099" s="376">
        <v>0</v>
      </c>
      <c r="AD1099" s="376">
        <v>0</v>
      </c>
      <c r="AE1099" s="376">
        <v>0</v>
      </c>
      <c r="AF1099" s="374"/>
      <c r="AG1099" s="376">
        <v>0</v>
      </c>
      <c r="AH1099" s="376">
        <v>0</v>
      </c>
      <c r="AI1099" s="376">
        <v>0</v>
      </c>
      <c r="AJ1099" s="376">
        <v>0</v>
      </c>
      <c r="AK1099" s="374"/>
      <c r="AL1099" s="376">
        <v>0</v>
      </c>
      <c r="AM1099" s="376">
        <v>0</v>
      </c>
      <c r="AN1099" s="376">
        <v>0</v>
      </c>
      <c r="AO1099" s="374"/>
      <c r="AP1099" s="376">
        <v>0</v>
      </c>
      <c r="AQ1099" s="376">
        <v>0</v>
      </c>
      <c r="AR1099" s="374"/>
      <c r="AS1099" s="376">
        <v>0</v>
      </c>
      <c r="AT1099" s="376">
        <v>0</v>
      </c>
      <c r="AU1099" s="355" t="s">
        <v>396</v>
      </c>
      <c r="AV1099" s="354" t="s">
        <v>346</v>
      </c>
      <c r="AW1099" s="377">
        <v>0</v>
      </c>
      <c r="AX1099" s="377">
        <v>0</v>
      </c>
      <c r="AY1099" s="428">
        <v>0</v>
      </c>
      <c r="AZ1099" s="377">
        <v>0</v>
      </c>
      <c r="BA1099" s="377">
        <v>0</v>
      </c>
      <c r="BB1099" s="428">
        <v>0</v>
      </c>
    </row>
    <row r="1100" spans="1:54" x14ac:dyDescent="0.25">
      <c r="A1100" s="348" t="s">
        <v>615</v>
      </c>
      <c r="B1100" s="349">
        <v>2</v>
      </c>
      <c r="C1100" s="350" t="s">
        <v>616</v>
      </c>
      <c r="D1100" s="351">
        <v>45051</v>
      </c>
      <c r="E1100" s="352"/>
      <c r="F1100" s="352">
        <v>6</v>
      </c>
      <c r="G1100" s="353" t="s">
        <v>1423</v>
      </c>
      <c r="H1100" s="350" t="s">
        <v>813</v>
      </c>
      <c r="I1100" s="350" t="s">
        <v>393</v>
      </c>
      <c r="J1100" s="375">
        <v>300000</v>
      </c>
      <c r="K1100" s="350" t="s">
        <v>394</v>
      </c>
      <c r="L1100" s="354">
        <v>2054.29</v>
      </c>
      <c r="M1100" s="375">
        <f>J1100/L1100</f>
        <v>146.03585667067455</v>
      </c>
      <c r="N1100" s="354" t="s">
        <v>395</v>
      </c>
      <c r="O1100" s="354">
        <v>0</v>
      </c>
      <c r="P1100" s="374"/>
      <c r="Q1100" s="354">
        <v>0</v>
      </c>
      <c r="R1100" s="354">
        <v>0</v>
      </c>
      <c r="S1100" s="354">
        <v>0</v>
      </c>
      <c r="T1100" s="354">
        <v>0</v>
      </c>
      <c r="U1100" s="374"/>
      <c r="V1100" s="354">
        <v>0</v>
      </c>
      <c r="W1100" s="354">
        <v>0</v>
      </c>
      <c r="X1100" s="354">
        <v>0</v>
      </c>
      <c r="Y1100" s="374"/>
      <c r="Z1100" s="354">
        <v>0</v>
      </c>
      <c r="AA1100" s="354">
        <v>0</v>
      </c>
      <c r="AB1100" s="374"/>
      <c r="AC1100" s="376">
        <v>0</v>
      </c>
      <c r="AD1100" s="376">
        <v>0</v>
      </c>
      <c r="AE1100" s="376">
        <v>0</v>
      </c>
      <c r="AF1100" s="374"/>
      <c r="AG1100" s="376">
        <v>0</v>
      </c>
      <c r="AH1100" s="376">
        <v>0</v>
      </c>
      <c r="AI1100" s="376">
        <v>0</v>
      </c>
      <c r="AJ1100" s="376">
        <v>0</v>
      </c>
      <c r="AK1100" s="374"/>
      <c r="AL1100" s="376">
        <v>0</v>
      </c>
      <c r="AM1100" s="376">
        <v>0</v>
      </c>
      <c r="AN1100" s="376">
        <v>0</v>
      </c>
      <c r="AO1100" s="374"/>
      <c r="AP1100" s="376">
        <v>0</v>
      </c>
      <c r="AQ1100" s="376">
        <v>0</v>
      </c>
      <c r="AR1100" s="374"/>
      <c r="AS1100" s="376">
        <v>0</v>
      </c>
      <c r="AT1100" s="376">
        <v>0</v>
      </c>
      <c r="AU1100" s="355" t="s">
        <v>396</v>
      </c>
      <c r="AV1100" s="354" t="s">
        <v>346</v>
      </c>
      <c r="AW1100" s="377">
        <v>0</v>
      </c>
      <c r="AX1100" s="377">
        <v>0</v>
      </c>
      <c r="AY1100" s="428">
        <v>0</v>
      </c>
      <c r="AZ1100" s="377">
        <v>0</v>
      </c>
      <c r="BA1100" s="377">
        <v>0</v>
      </c>
      <c r="BB1100" s="428">
        <v>0</v>
      </c>
    </row>
    <row r="1101" spans="1:54" x14ac:dyDescent="0.25">
      <c r="A1101" s="348" t="s">
        <v>1536</v>
      </c>
      <c r="B1101" s="349">
        <v>9</v>
      </c>
      <c r="C1101" s="380">
        <v>45078</v>
      </c>
      <c r="D1101" s="351">
        <v>45107</v>
      </c>
      <c r="E1101" s="352"/>
      <c r="F1101" s="352">
        <v>6</v>
      </c>
      <c r="G1101" s="351" t="s">
        <v>1423</v>
      </c>
      <c r="H1101" s="350" t="s">
        <v>1537</v>
      </c>
      <c r="I1101" s="350" t="s">
        <v>393</v>
      </c>
      <c r="J1101" s="375">
        <v>700000</v>
      </c>
      <c r="K1101" s="350" t="s">
        <v>394</v>
      </c>
      <c r="L1101" s="354">
        <v>2803.6597999999999</v>
      </c>
      <c r="M1101" s="375">
        <f t="shared" ref="M1101:M1103" si="895">J1101/L1101</f>
        <v>249.67365869425385</v>
      </c>
      <c r="N1101" s="354" t="s">
        <v>395</v>
      </c>
      <c r="O1101" s="354">
        <v>0</v>
      </c>
      <c r="P1101" s="374"/>
      <c r="Q1101" s="354">
        <v>0</v>
      </c>
      <c r="R1101" s="354">
        <v>0</v>
      </c>
      <c r="S1101" s="354">
        <v>0</v>
      </c>
      <c r="T1101" s="354">
        <v>0</v>
      </c>
      <c r="U1101" s="374"/>
      <c r="V1101" s="354">
        <v>0</v>
      </c>
      <c r="W1101" s="354">
        <v>0</v>
      </c>
      <c r="X1101" s="354">
        <v>0</v>
      </c>
      <c r="Y1101" s="374"/>
      <c r="Z1101" s="354">
        <v>0</v>
      </c>
      <c r="AA1101" s="354">
        <v>0</v>
      </c>
      <c r="AB1101" s="374"/>
      <c r="AC1101" s="376">
        <v>0</v>
      </c>
      <c r="AD1101" s="376">
        <v>0</v>
      </c>
      <c r="AE1101" s="376">
        <v>0</v>
      </c>
      <c r="AF1101" s="374"/>
      <c r="AG1101" s="376">
        <v>0</v>
      </c>
      <c r="AH1101" s="376">
        <v>0</v>
      </c>
      <c r="AI1101" s="376">
        <v>0</v>
      </c>
      <c r="AJ1101" s="376">
        <v>0</v>
      </c>
      <c r="AK1101" s="374"/>
      <c r="AL1101" s="376">
        <v>0</v>
      </c>
      <c r="AM1101" s="376">
        <v>0</v>
      </c>
      <c r="AN1101" s="376">
        <v>0</v>
      </c>
      <c r="AO1101" s="374"/>
      <c r="AP1101" s="376">
        <v>0</v>
      </c>
      <c r="AQ1101" s="376">
        <v>0</v>
      </c>
      <c r="AR1101" s="374"/>
      <c r="AS1101" s="376">
        <v>0</v>
      </c>
      <c r="AT1101" s="376">
        <v>0</v>
      </c>
      <c r="AU1101" s="355" t="s">
        <v>396</v>
      </c>
      <c r="AV1101" s="354" t="s">
        <v>346</v>
      </c>
      <c r="AW1101" s="377">
        <v>0</v>
      </c>
      <c r="AX1101" s="377">
        <v>0</v>
      </c>
      <c r="AY1101" s="428">
        <v>0</v>
      </c>
      <c r="AZ1101" s="377">
        <v>0</v>
      </c>
      <c r="BA1101" s="377">
        <v>0</v>
      </c>
      <c r="BB1101" s="428">
        <v>0</v>
      </c>
    </row>
    <row r="1102" spans="1:54" x14ac:dyDescent="0.25">
      <c r="A1102" s="348" t="s">
        <v>1538</v>
      </c>
      <c r="B1102" s="349">
        <v>10</v>
      </c>
      <c r="C1102" s="380">
        <v>45078</v>
      </c>
      <c r="D1102" s="351">
        <v>45107</v>
      </c>
      <c r="E1102" s="352"/>
      <c r="F1102" s="352">
        <v>6</v>
      </c>
      <c r="G1102" s="351" t="s">
        <v>1423</v>
      </c>
      <c r="H1102" s="350" t="s">
        <v>1539</v>
      </c>
      <c r="I1102" s="350" t="s">
        <v>393</v>
      </c>
      <c r="J1102" s="375">
        <v>3375000</v>
      </c>
      <c r="K1102" s="350" t="s">
        <v>394</v>
      </c>
      <c r="L1102" s="354">
        <v>2803.6597999999999</v>
      </c>
      <c r="M1102" s="375">
        <f t="shared" si="895"/>
        <v>1203.7837115615812</v>
      </c>
      <c r="N1102" s="354" t="s">
        <v>395</v>
      </c>
      <c r="O1102" s="354">
        <v>0</v>
      </c>
      <c r="P1102" s="374"/>
      <c r="Q1102" s="354">
        <v>0</v>
      </c>
      <c r="R1102" s="354">
        <v>0</v>
      </c>
      <c r="S1102" s="354">
        <v>0</v>
      </c>
      <c r="T1102" s="354">
        <v>0</v>
      </c>
      <c r="U1102" s="374"/>
      <c r="V1102" s="354">
        <v>0</v>
      </c>
      <c r="W1102" s="354">
        <v>0</v>
      </c>
      <c r="X1102" s="354">
        <v>0</v>
      </c>
      <c r="Y1102" s="374"/>
      <c r="Z1102" s="354">
        <v>0</v>
      </c>
      <c r="AA1102" s="354">
        <v>0</v>
      </c>
      <c r="AB1102" s="374"/>
      <c r="AC1102" s="376">
        <v>0</v>
      </c>
      <c r="AD1102" s="376">
        <v>0</v>
      </c>
      <c r="AE1102" s="376">
        <v>0</v>
      </c>
      <c r="AF1102" s="374"/>
      <c r="AG1102" s="376">
        <v>0</v>
      </c>
      <c r="AH1102" s="376">
        <v>0</v>
      </c>
      <c r="AI1102" s="376">
        <v>0</v>
      </c>
      <c r="AJ1102" s="376">
        <v>0</v>
      </c>
      <c r="AK1102" s="374"/>
      <c r="AL1102" s="376">
        <v>0</v>
      </c>
      <c r="AM1102" s="376">
        <v>0</v>
      </c>
      <c r="AN1102" s="376">
        <v>0</v>
      </c>
      <c r="AO1102" s="374"/>
      <c r="AP1102" s="376">
        <v>0</v>
      </c>
      <c r="AQ1102" s="376">
        <v>0</v>
      </c>
      <c r="AR1102" s="374"/>
      <c r="AS1102" s="376">
        <v>0</v>
      </c>
      <c r="AT1102" s="376">
        <v>0</v>
      </c>
      <c r="AU1102" s="355" t="s">
        <v>396</v>
      </c>
      <c r="AV1102" s="354" t="s">
        <v>346</v>
      </c>
      <c r="AW1102" s="377">
        <v>0</v>
      </c>
      <c r="AX1102" s="377">
        <v>0</v>
      </c>
      <c r="AY1102" s="428">
        <v>0</v>
      </c>
      <c r="AZ1102" s="377">
        <v>0</v>
      </c>
      <c r="BA1102" s="377">
        <v>0</v>
      </c>
      <c r="BB1102" s="428">
        <v>0</v>
      </c>
    </row>
    <row r="1103" spans="1:54" x14ac:dyDescent="0.25">
      <c r="A1103" s="348" t="s">
        <v>1540</v>
      </c>
      <c r="B1103" s="349">
        <v>11</v>
      </c>
      <c r="C1103" s="380">
        <v>45078</v>
      </c>
      <c r="D1103" s="351">
        <v>45107</v>
      </c>
      <c r="E1103" s="352"/>
      <c r="F1103" s="352">
        <v>6</v>
      </c>
      <c r="G1103" s="351" t="s">
        <v>1423</v>
      </c>
      <c r="H1103" s="350" t="s">
        <v>1541</v>
      </c>
      <c r="I1103" s="350" t="s">
        <v>393</v>
      </c>
      <c r="J1103" s="375">
        <v>70000</v>
      </c>
      <c r="K1103" s="350" t="s">
        <v>394</v>
      </c>
      <c r="L1103" s="354">
        <v>2803.6597999999999</v>
      </c>
      <c r="M1103" s="354">
        <f t="shared" si="895"/>
        <v>24.967365869425386</v>
      </c>
      <c r="N1103" s="354" t="s">
        <v>395</v>
      </c>
      <c r="O1103" s="354">
        <v>0</v>
      </c>
      <c r="P1103" s="374"/>
      <c r="Q1103" s="354">
        <v>0</v>
      </c>
      <c r="R1103" s="354">
        <v>0</v>
      </c>
      <c r="S1103" s="354">
        <v>0</v>
      </c>
      <c r="T1103" s="354">
        <v>0</v>
      </c>
      <c r="U1103" s="374"/>
      <c r="V1103" s="354">
        <v>0</v>
      </c>
      <c r="W1103" s="354">
        <v>0</v>
      </c>
      <c r="X1103" s="354">
        <v>0</v>
      </c>
      <c r="Y1103" s="374"/>
      <c r="Z1103" s="354">
        <v>0</v>
      </c>
      <c r="AA1103" s="354">
        <v>0</v>
      </c>
      <c r="AB1103" s="374"/>
      <c r="AC1103" s="376">
        <v>0</v>
      </c>
      <c r="AD1103" s="376">
        <v>0</v>
      </c>
      <c r="AE1103" s="376">
        <v>0</v>
      </c>
      <c r="AF1103" s="374"/>
      <c r="AG1103" s="376">
        <v>0</v>
      </c>
      <c r="AH1103" s="376">
        <v>0</v>
      </c>
      <c r="AI1103" s="376">
        <v>0</v>
      </c>
      <c r="AJ1103" s="376">
        <v>0</v>
      </c>
      <c r="AK1103" s="374"/>
      <c r="AL1103" s="376">
        <v>0</v>
      </c>
      <c r="AM1103" s="376">
        <v>0</v>
      </c>
      <c r="AN1103" s="376">
        <v>0</v>
      </c>
      <c r="AO1103" s="374"/>
      <c r="AP1103" s="376">
        <v>0</v>
      </c>
      <c r="AQ1103" s="376">
        <v>0</v>
      </c>
      <c r="AR1103" s="374"/>
      <c r="AS1103" s="376">
        <v>0</v>
      </c>
      <c r="AT1103" s="376">
        <v>0</v>
      </c>
      <c r="AU1103" s="355" t="s">
        <v>396</v>
      </c>
      <c r="AV1103" s="354" t="s">
        <v>346</v>
      </c>
      <c r="AW1103" s="377">
        <v>0</v>
      </c>
      <c r="AX1103" s="377">
        <v>0</v>
      </c>
      <c r="AY1103" s="428">
        <v>0</v>
      </c>
      <c r="AZ1103" s="377">
        <v>0</v>
      </c>
      <c r="BA1103" s="377">
        <v>0</v>
      </c>
      <c r="BB1103" s="428">
        <v>0</v>
      </c>
    </row>
    <row r="1104" spans="1:54" x14ac:dyDescent="0.25">
      <c r="A1104" s="348" t="s">
        <v>636</v>
      </c>
      <c r="B1104" s="349">
        <v>5035</v>
      </c>
      <c r="C1104" s="350" t="s">
        <v>628</v>
      </c>
      <c r="D1104" s="351">
        <v>45078</v>
      </c>
      <c r="E1104" s="352">
        <v>3730</v>
      </c>
      <c r="F1104" s="352">
        <v>4</v>
      </c>
      <c r="G1104" s="353" t="s">
        <v>1423</v>
      </c>
      <c r="H1104" s="350" t="s">
        <v>637</v>
      </c>
      <c r="I1104" s="350" t="s">
        <v>393</v>
      </c>
      <c r="J1104" s="375">
        <v>29000000</v>
      </c>
      <c r="K1104" s="350" t="s">
        <v>394</v>
      </c>
      <c r="L1104" s="354">
        <v>0</v>
      </c>
      <c r="M1104" s="375">
        <v>10385.049999999999</v>
      </c>
      <c r="N1104" s="354" t="s">
        <v>395</v>
      </c>
      <c r="O1104" s="375">
        <v>8378.39</v>
      </c>
      <c r="P1104" s="374"/>
      <c r="Q1104" s="354">
        <v>0</v>
      </c>
      <c r="R1104" s="354">
        <v>0</v>
      </c>
      <c r="S1104" s="354">
        <v>0</v>
      </c>
      <c r="T1104" s="354">
        <v>0</v>
      </c>
      <c r="U1104" s="374"/>
      <c r="V1104" s="354">
        <v>0</v>
      </c>
      <c r="W1104" s="354">
        <v>0</v>
      </c>
      <c r="X1104" s="354">
        <v>0</v>
      </c>
      <c r="Y1104" s="374"/>
      <c r="Z1104" s="354">
        <v>0</v>
      </c>
      <c r="AA1104" s="354">
        <v>0</v>
      </c>
      <c r="AB1104" s="374"/>
      <c r="AC1104" s="376">
        <v>0</v>
      </c>
      <c r="AD1104" s="376">
        <v>0</v>
      </c>
      <c r="AE1104" s="376">
        <v>0</v>
      </c>
      <c r="AF1104" s="374"/>
      <c r="AG1104" s="376">
        <v>0</v>
      </c>
      <c r="AH1104" s="376">
        <v>0</v>
      </c>
      <c r="AI1104" s="376">
        <v>0</v>
      </c>
      <c r="AJ1104" s="376">
        <v>0</v>
      </c>
      <c r="AK1104" s="374"/>
      <c r="AL1104" s="376">
        <v>0</v>
      </c>
      <c r="AM1104" s="376">
        <v>0</v>
      </c>
      <c r="AN1104" s="376">
        <v>0</v>
      </c>
      <c r="AO1104" s="374"/>
      <c r="AP1104" s="376">
        <v>0</v>
      </c>
      <c r="AQ1104" s="376">
        <v>0</v>
      </c>
      <c r="AR1104" s="374"/>
      <c r="AS1104" s="376">
        <v>0</v>
      </c>
      <c r="AT1104" s="376">
        <v>0</v>
      </c>
      <c r="AU1104" s="355" t="s">
        <v>396</v>
      </c>
      <c r="AV1104" s="354" t="s">
        <v>404</v>
      </c>
      <c r="AW1104" s="355" t="s">
        <v>405</v>
      </c>
      <c r="AX1104" s="377">
        <v>0</v>
      </c>
      <c r="AY1104" s="348" t="s">
        <v>406</v>
      </c>
      <c r="AZ1104" s="351">
        <v>45112</v>
      </c>
      <c r="BA1104" s="351">
        <v>45112</v>
      </c>
      <c r="BB1104" s="350" t="s">
        <v>407</v>
      </c>
    </row>
    <row r="1105" spans="1:54" x14ac:dyDescent="0.25">
      <c r="A1105" s="348" t="s">
        <v>843</v>
      </c>
      <c r="B1105" s="349">
        <v>4</v>
      </c>
      <c r="C1105" s="423" t="s">
        <v>827</v>
      </c>
      <c r="D1105" s="351">
        <v>45167</v>
      </c>
      <c r="E1105" s="352"/>
      <c r="F1105" s="352">
        <v>6</v>
      </c>
      <c r="G1105" s="353" t="s">
        <v>1423</v>
      </c>
      <c r="H1105" s="350" t="s">
        <v>844</v>
      </c>
      <c r="I1105" s="350" t="s">
        <v>393</v>
      </c>
      <c r="J1105" s="560">
        <v>292250</v>
      </c>
      <c r="K1105" s="350" t="s">
        <v>394</v>
      </c>
      <c r="L1105" s="353">
        <v>2830.26</v>
      </c>
      <c r="M1105" s="354">
        <f>J1105/L1105</f>
        <v>103.2590645382403</v>
      </c>
      <c r="N1105" s="354" t="s">
        <v>395</v>
      </c>
      <c r="O1105" s="354">
        <v>0</v>
      </c>
      <c r="P1105" s="374"/>
      <c r="Q1105" s="354">
        <v>0</v>
      </c>
      <c r="R1105" s="354">
        <v>0</v>
      </c>
      <c r="S1105" s="354">
        <v>0</v>
      </c>
      <c r="T1105" s="354">
        <v>0</v>
      </c>
      <c r="U1105" s="374"/>
      <c r="V1105" s="354">
        <v>0</v>
      </c>
      <c r="W1105" s="354">
        <v>0</v>
      </c>
      <c r="X1105" s="354">
        <v>0</v>
      </c>
      <c r="Y1105" s="374"/>
      <c r="Z1105" s="354">
        <v>0</v>
      </c>
      <c r="AA1105" s="354">
        <v>0</v>
      </c>
      <c r="AB1105" s="374"/>
      <c r="AC1105" s="376">
        <v>0</v>
      </c>
      <c r="AD1105" s="376">
        <v>0</v>
      </c>
      <c r="AE1105" s="376">
        <v>0</v>
      </c>
      <c r="AF1105" s="374"/>
      <c r="AG1105" s="376">
        <v>0</v>
      </c>
      <c r="AH1105" s="376">
        <v>0</v>
      </c>
      <c r="AI1105" s="376">
        <v>0</v>
      </c>
      <c r="AJ1105" s="376">
        <v>0</v>
      </c>
      <c r="AK1105" s="374"/>
      <c r="AL1105" s="376">
        <v>0</v>
      </c>
      <c r="AM1105" s="376">
        <v>0</v>
      </c>
      <c r="AN1105" s="376">
        <v>0</v>
      </c>
      <c r="AO1105" s="374"/>
      <c r="AP1105" s="376">
        <v>0</v>
      </c>
      <c r="AQ1105" s="376">
        <v>0</v>
      </c>
      <c r="AR1105" s="374"/>
      <c r="AS1105" s="376">
        <v>0</v>
      </c>
      <c r="AT1105" s="376">
        <v>0</v>
      </c>
      <c r="AU1105" s="355" t="s">
        <v>396</v>
      </c>
      <c r="AV1105" s="354" t="s">
        <v>344</v>
      </c>
      <c r="AW1105" s="377">
        <v>0</v>
      </c>
      <c r="AX1105" s="377">
        <v>0</v>
      </c>
      <c r="AY1105" s="428">
        <v>0</v>
      </c>
      <c r="AZ1105" s="377">
        <v>0</v>
      </c>
      <c r="BA1105" s="377">
        <v>0</v>
      </c>
      <c r="BB1105" s="428">
        <v>0</v>
      </c>
    </row>
    <row r="1106" spans="1:54" x14ac:dyDescent="0.25">
      <c r="A1106" s="348" t="s">
        <v>843</v>
      </c>
      <c r="B1106" s="349">
        <v>4</v>
      </c>
      <c r="C1106" s="423" t="s">
        <v>827</v>
      </c>
      <c r="D1106" s="351">
        <v>45167</v>
      </c>
      <c r="E1106" s="352"/>
      <c r="F1106" s="352">
        <v>6</v>
      </c>
      <c r="G1106" s="353" t="s">
        <v>1423</v>
      </c>
      <c r="H1106" s="350" t="s">
        <v>845</v>
      </c>
      <c r="I1106" s="350" t="s">
        <v>393</v>
      </c>
      <c r="J1106" s="560">
        <f>380000+470000</f>
        <v>850000</v>
      </c>
      <c r="K1106" s="350" t="s">
        <v>394</v>
      </c>
      <c r="L1106" s="353">
        <v>2830.26</v>
      </c>
      <c r="M1106" s="354">
        <f t="shared" ref="M1106:M1108" si="896">J1106/L1106</f>
        <v>300.32576512405217</v>
      </c>
      <c r="N1106" s="354" t="s">
        <v>395</v>
      </c>
      <c r="O1106" s="354">
        <v>0</v>
      </c>
      <c r="P1106" s="374"/>
      <c r="Q1106" s="354">
        <v>0</v>
      </c>
      <c r="R1106" s="354">
        <v>0</v>
      </c>
      <c r="S1106" s="354">
        <v>0</v>
      </c>
      <c r="T1106" s="354">
        <v>0</v>
      </c>
      <c r="U1106" s="374"/>
      <c r="V1106" s="354">
        <v>0</v>
      </c>
      <c r="W1106" s="354">
        <v>0</v>
      </c>
      <c r="X1106" s="354">
        <v>0</v>
      </c>
      <c r="Y1106" s="374"/>
      <c r="Z1106" s="354">
        <v>0</v>
      </c>
      <c r="AA1106" s="354">
        <v>0</v>
      </c>
      <c r="AB1106" s="374"/>
      <c r="AC1106" s="376">
        <v>0</v>
      </c>
      <c r="AD1106" s="376">
        <v>0</v>
      </c>
      <c r="AE1106" s="376">
        <v>0</v>
      </c>
      <c r="AF1106" s="374"/>
      <c r="AG1106" s="376">
        <v>0</v>
      </c>
      <c r="AH1106" s="376">
        <v>0</v>
      </c>
      <c r="AI1106" s="376">
        <v>0</v>
      </c>
      <c r="AJ1106" s="376">
        <v>0</v>
      </c>
      <c r="AK1106" s="374"/>
      <c r="AL1106" s="376">
        <v>0</v>
      </c>
      <c r="AM1106" s="376">
        <v>0</v>
      </c>
      <c r="AN1106" s="376">
        <v>0</v>
      </c>
      <c r="AO1106" s="374"/>
      <c r="AP1106" s="376">
        <v>0</v>
      </c>
      <c r="AQ1106" s="376">
        <v>0</v>
      </c>
      <c r="AR1106" s="374"/>
      <c r="AS1106" s="376">
        <v>0</v>
      </c>
      <c r="AT1106" s="376">
        <v>0</v>
      </c>
      <c r="AU1106" s="355" t="s">
        <v>396</v>
      </c>
      <c r="AV1106" s="354" t="s">
        <v>344</v>
      </c>
      <c r="AW1106" s="377">
        <v>0</v>
      </c>
      <c r="AX1106" s="377">
        <v>0</v>
      </c>
      <c r="AY1106" s="428">
        <v>0</v>
      </c>
      <c r="AZ1106" s="377">
        <v>0</v>
      </c>
      <c r="BA1106" s="377">
        <v>0</v>
      </c>
      <c r="BB1106" s="428">
        <v>0</v>
      </c>
    </row>
    <row r="1107" spans="1:54" x14ac:dyDescent="0.25">
      <c r="A1107" s="348" t="s">
        <v>843</v>
      </c>
      <c r="B1107" s="349">
        <v>4</v>
      </c>
      <c r="C1107" s="423" t="s">
        <v>827</v>
      </c>
      <c r="D1107" s="351">
        <v>45167</v>
      </c>
      <c r="E1107" s="352"/>
      <c r="F1107" s="352">
        <v>6</v>
      </c>
      <c r="G1107" s="353" t="s">
        <v>1423</v>
      </c>
      <c r="H1107" s="350" t="s">
        <v>846</v>
      </c>
      <c r="I1107" s="350" t="s">
        <v>393</v>
      </c>
      <c r="J1107" s="560">
        <v>50000</v>
      </c>
      <c r="K1107" s="350" t="s">
        <v>394</v>
      </c>
      <c r="L1107" s="353">
        <v>2830.26</v>
      </c>
      <c r="M1107" s="354">
        <f t="shared" si="896"/>
        <v>17.666221477885422</v>
      </c>
      <c r="N1107" s="354" t="s">
        <v>395</v>
      </c>
      <c r="O1107" s="354">
        <v>0</v>
      </c>
      <c r="P1107" s="374"/>
      <c r="Q1107" s="354">
        <v>0</v>
      </c>
      <c r="R1107" s="354">
        <v>0</v>
      </c>
      <c r="S1107" s="354">
        <v>0</v>
      </c>
      <c r="T1107" s="354">
        <v>0</v>
      </c>
      <c r="U1107" s="374"/>
      <c r="V1107" s="354">
        <v>0</v>
      </c>
      <c r="W1107" s="354">
        <v>0</v>
      </c>
      <c r="X1107" s="354">
        <v>0</v>
      </c>
      <c r="Y1107" s="374"/>
      <c r="Z1107" s="354">
        <v>0</v>
      </c>
      <c r="AA1107" s="354">
        <v>0</v>
      </c>
      <c r="AB1107" s="374"/>
      <c r="AC1107" s="376">
        <v>0</v>
      </c>
      <c r="AD1107" s="376">
        <v>0</v>
      </c>
      <c r="AE1107" s="376">
        <v>0</v>
      </c>
      <c r="AF1107" s="374"/>
      <c r="AG1107" s="376">
        <v>0</v>
      </c>
      <c r="AH1107" s="376">
        <v>0</v>
      </c>
      <c r="AI1107" s="376">
        <v>0</v>
      </c>
      <c r="AJ1107" s="376">
        <v>0</v>
      </c>
      <c r="AK1107" s="374"/>
      <c r="AL1107" s="376">
        <v>0</v>
      </c>
      <c r="AM1107" s="376">
        <v>0</v>
      </c>
      <c r="AN1107" s="376">
        <v>0</v>
      </c>
      <c r="AO1107" s="374"/>
      <c r="AP1107" s="376">
        <v>0</v>
      </c>
      <c r="AQ1107" s="376">
        <v>0</v>
      </c>
      <c r="AR1107" s="374"/>
      <c r="AS1107" s="376">
        <v>0</v>
      </c>
      <c r="AT1107" s="376">
        <v>0</v>
      </c>
      <c r="AU1107" s="355" t="s">
        <v>396</v>
      </c>
      <c r="AV1107" s="354" t="s">
        <v>344</v>
      </c>
      <c r="AW1107" s="377">
        <v>0</v>
      </c>
      <c r="AX1107" s="377">
        <v>0</v>
      </c>
      <c r="AY1107" s="428">
        <v>0</v>
      </c>
      <c r="AZ1107" s="377">
        <v>0</v>
      </c>
      <c r="BA1107" s="377">
        <v>0</v>
      </c>
      <c r="BB1107" s="428">
        <v>0</v>
      </c>
    </row>
    <row r="1108" spans="1:54" x14ac:dyDescent="0.25">
      <c r="A1108" s="348" t="s">
        <v>847</v>
      </c>
      <c r="B1108" s="349">
        <v>5</v>
      </c>
      <c r="C1108" s="380">
        <v>45170</v>
      </c>
      <c r="D1108" s="582">
        <v>45174</v>
      </c>
      <c r="E1108" s="352"/>
      <c r="F1108" s="352">
        <v>6</v>
      </c>
      <c r="G1108" s="353" t="s">
        <v>1423</v>
      </c>
      <c r="H1108" s="350" t="s">
        <v>848</v>
      </c>
      <c r="I1108" s="350" t="s">
        <v>393</v>
      </c>
      <c r="J1108" s="560">
        <v>390000</v>
      </c>
      <c r="K1108" s="350" t="s">
        <v>394</v>
      </c>
      <c r="L1108" s="353">
        <v>2830.26</v>
      </c>
      <c r="M1108" s="354">
        <f t="shared" si="896"/>
        <v>137.7965275275063</v>
      </c>
      <c r="N1108" s="354" t="s">
        <v>395</v>
      </c>
      <c r="O1108" s="354">
        <v>0</v>
      </c>
      <c r="P1108" s="374"/>
      <c r="Q1108" s="354">
        <v>0</v>
      </c>
      <c r="R1108" s="354">
        <v>0</v>
      </c>
      <c r="S1108" s="354">
        <v>0</v>
      </c>
      <c r="T1108" s="354">
        <v>0</v>
      </c>
      <c r="U1108" s="374"/>
      <c r="V1108" s="354">
        <v>0</v>
      </c>
      <c r="W1108" s="354">
        <v>0</v>
      </c>
      <c r="X1108" s="354">
        <v>0</v>
      </c>
      <c r="Y1108" s="374"/>
      <c r="Z1108" s="354">
        <v>0</v>
      </c>
      <c r="AA1108" s="354">
        <v>0</v>
      </c>
      <c r="AB1108" s="374"/>
      <c r="AC1108" s="376">
        <v>0</v>
      </c>
      <c r="AD1108" s="376">
        <v>0</v>
      </c>
      <c r="AE1108" s="376">
        <v>0</v>
      </c>
      <c r="AF1108" s="374"/>
      <c r="AG1108" s="376">
        <v>0</v>
      </c>
      <c r="AH1108" s="376">
        <v>0</v>
      </c>
      <c r="AI1108" s="376">
        <v>0</v>
      </c>
      <c r="AJ1108" s="376">
        <v>0</v>
      </c>
      <c r="AK1108" s="374"/>
      <c r="AL1108" s="376">
        <v>0</v>
      </c>
      <c r="AM1108" s="376">
        <v>0</v>
      </c>
      <c r="AN1108" s="376">
        <v>0</v>
      </c>
      <c r="AO1108" s="374"/>
      <c r="AP1108" s="376">
        <v>0</v>
      </c>
      <c r="AQ1108" s="376">
        <v>0</v>
      </c>
      <c r="AR1108" s="374"/>
      <c r="AS1108" s="376">
        <v>0</v>
      </c>
      <c r="AT1108" s="376">
        <v>0</v>
      </c>
      <c r="AU1108" s="355" t="s">
        <v>396</v>
      </c>
      <c r="AV1108" s="354" t="s">
        <v>344</v>
      </c>
      <c r="AW1108" s="377">
        <v>0</v>
      </c>
      <c r="AX1108" s="377">
        <v>0</v>
      </c>
      <c r="AY1108" s="428">
        <v>0</v>
      </c>
      <c r="AZ1108" s="377">
        <v>0</v>
      </c>
      <c r="BA1108" s="377">
        <v>0</v>
      </c>
      <c r="BB1108" s="428">
        <v>0</v>
      </c>
    </row>
    <row r="1109" spans="1:54" x14ac:dyDescent="0.25">
      <c r="A1109" s="348" t="s">
        <v>1455</v>
      </c>
      <c r="B1109" s="349">
        <v>5139</v>
      </c>
      <c r="C1109" s="350" t="s">
        <v>1429</v>
      </c>
      <c r="D1109" s="351">
        <v>45120</v>
      </c>
      <c r="E1109" s="352">
        <v>3540</v>
      </c>
      <c r="F1109" s="352">
        <v>2</v>
      </c>
      <c r="G1109" s="353" t="s">
        <v>1423</v>
      </c>
      <c r="H1109" s="350" t="s">
        <v>513</v>
      </c>
      <c r="I1109" s="350" t="s">
        <v>393</v>
      </c>
      <c r="J1109" s="354">
        <v>97450</v>
      </c>
      <c r="K1109" s="350" t="s">
        <v>394</v>
      </c>
      <c r="L1109" s="354">
        <v>2.8078499999999998E-4</v>
      </c>
      <c r="M1109" s="354">
        <v>34.74</v>
      </c>
      <c r="N1109" s="350" t="s">
        <v>395</v>
      </c>
      <c r="O1109" s="354">
        <v>27.36</v>
      </c>
      <c r="P1109" s="374"/>
      <c r="Q1109" s="354">
        <v>0</v>
      </c>
      <c r="R1109" s="354">
        <v>0</v>
      </c>
      <c r="S1109" s="354">
        <v>0</v>
      </c>
      <c r="T1109" s="354">
        <v>0</v>
      </c>
      <c r="U1109" s="374"/>
      <c r="V1109" s="354">
        <v>0</v>
      </c>
      <c r="W1109" s="354">
        <v>0</v>
      </c>
      <c r="X1109" s="354">
        <v>0</v>
      </c>
      <c r="Y1109" s="374"/>
      <c r="Z1109" s="354">
        <v>0</v>
      </c>
      <c r="AA1109" s="354">
        <v>0</v>
      </c>
      <c r="AB1109" s="374"/>
      <c r="AC1109" s="376">
        <v>0</v>
      </c>
      <c r="AD1109" s="376">
        <v>0</v>
      </c>
      <c r="AE1109" s="376">
        <v>0</v>
      </c>
      <c r="AF1109" s="374"/>
      <c r="AG1109" s="376">
        <v>0</v>
      </c>
      <c r="AH1109" s="376">
        <v>0</v>
      </c>
      <c r="AI1109" s="376">
        <v>0</v>
      </c>
      <c r="AJ1109" s="376">
        <v>0</v>
      </c>
      <c r="AK1109" s="374"/>
      <c r="AL1109" s="376">
        <v>0</v>
      </c>
      <c r="AM1109" s="376">
        <v>0</v>
      </c>
      <c r="AN1109" s="376">
        <v>0</v>
      </c>
      <c r="AO1109" s="374"/>
      <c r="AP1109" s="376">
        <v>0</v>
      </c>
      <c r="AQ1109" s="376">
        <v>0</v>
      </c>
      <c r="AR1109" s="374"/>
      <c r="AS1109" s="376">
        <v>0</v>
      </c>
      <c r="AT1109" s="376">
        <v>0</v>
      </c>
      <c r="AU1109" s="355" t="s">
        <v>396</v>
      </c>
      <c r="AV1109" s="354" t="s">
        <v>404</v>
      </c>
      <c r="AW1109" s="355" t="s">
        <v>405</v>
      </c>
      <c r="AX1109" s="355">
        <v>0</v>
      </c>
      <c r="AY1109" s="350" t="s">
        <v>406</v>
      </c>
      <c r="AZ1109" s="351">
        <v>45141</v>
      </c>
      <c r="BA1109" s="351">
        <v>45139</v>
      </c>
      <c r="BB1109" s="350" t="s">
        <v>407</v>
      </c>
    </row>
    <row r="1110" spans="1:54" x14ac:dyDescent="0.25">
      <c r="A1110" s="348" t="s">
        <v>1475</v>
      </c>
      <c r="B1110" s="349">
        <v>5410</v>
      </c>
      <c r="C1110" s="350" t="s">
        <v>1469</v>
      </c>
      <c r="D1110" s="351">
        <v>45138</v>
      </c>
      <c r="E1110" s="352">
        <v>3350</v>
      </c>
      <c r="F1110" s="352">
        <v>5</v>
      </c>
      <c r="G1110" s="353" t="s">
        <v>1423</v>
      </c>
      <c r="H1110" s="350" t="s">
        <v>1476</v>
      </c>
      <c r="I1110" s="350" t="s">
        <v>393</v>
      </c>
      <c r="J1110" s="354">
        <v>265800</v>
      </c>
      <c r="K1110" s="350" t="s">
        <v>394</v>
      </c>
      <c r="L1110" s="354">
        <v>2.7534199999999998E-4</v>
      </c>
      <c r="M1110" s="354">
        <v>94.18</v>
      </c>
      <c r="N1110" s="350" t="s">
        <v>395</v>
      </c>
      <c r="O1110" s="354">
        <v>73.19</v>
      </c>
      <c r="P1110" s="374"/>
      <c r="Q1110" s="354">
        <v>0</v>
      </c>
      <c r="R1110" s="354">
        <v>0</v>
      </c>
      <c r="S1110" s="354">
        <v>0</v>
      </c>
      <c r="T1110" s="354">
        <v>0</v>
      </c>
      <c r="U1110" s="374"/>
      <c r="V1110" s="354">
        <v>0</v>
      </c>
      <c r="W1110" s="354">
        <v>0</v>
      </c>
      <c r="X1110" s="354">
        <v>0</v>
      </c>
      <c r="Y1110" s="374"/>
      <c r="Z1110" s="354">
        <v>0</v>
      </c>
      <c r="AA1110" s="354">
        <v>0</v>
      </c>
      <c r="AB1110" s="374"/>
      <c r="AC1110" s="376">
        <v>0</v>
      </c>
      <c r="AD1110" s="376">
        <v>0</v>
      </c>
      <c r="AE1110" s="376">
        <v>0</v>
      </c>
      <c r="AF1110" s="374"/>
      <c r="AG1110" s="376">
        <v>0</v>
      </c>
      <c r="AH1110" s="376">
        <v>0</v>
      </c>
      <c r="AI1110" s="376">
        <v>0</v>
      </c>
      <c r="AJ1110" s="376">
        <v>0</v>
      </c>
      <c r="AK1110" s="374"/>
      <c r="AL1110" s="376">
        <v>0</v>
      </c>
      <c r="AM1110" s="376">
        <v>0</v>
      </c>
      <c r="AN1110" s="376">
        <v>0</v>
      </c>
      <c r="AO1110" s="374"/>
      <c r="AP1110" s="376">
        <v>0</v>
      </c>
      <c r="AQ1110" s="376">
        <v>0</v>
      </c>
      <c r="AR1110" s="374"/>
      <c r="AS1110" s="376">
        <v>0</v>
      </c>
      <c r="AT1110" s="376">
        <v>0</v>
      </c>
      <c r="AU1110" s="355" t="s">
        <v>396</v>
      </c>
      <c r="AV1110" s="354" t="s">
        <v>404</v>
      </c>
      <c r="AW1110" s="355" t="s">
        <v>405</v>
      </c>
      <c r="AX1110" s="355">
        <v>0</v>
      </c>
      <c r="AY1110" s="350" t="s">
        <v>410</v>
      </c>
      <c r="AZ1110" s="351">
        <v>45175</v>
      </c>
      <c r="BA1110" s="351">
        <v>45175</v>
      </c>
      <c r="BB1110" s="350" t="s">
        <v>407</v>
      </c>
    </row>
    <row r="1111" spans="1:54" x14ac:dyDescent="0.25">
      <c r="A1111" s="348" t="s">
        <v>1483</v>
      </c>
      <c r="B1111" s="349">
        <v>5450</v>
      </c>
      <c r="C1111" s="350" t="s">
        <v>1469</v>
      </c>
      <c r="D1111" s="351">
        <v>45159</v>
      </c>
      <c r="E1111" s="352">
        <v>3780</v>
      </c>
      <c r="F1111" s="352">
        <v>4</v>
      </c>
      <c r="G1111" s="353" t="s">
        <v>1423</v>
      </c>
      <c r="H1111" s="350" t="s">
        <v>1484</v>
      </c>
      <c r="I1111" s="350" t="s">
        <v>393</v>
      </c>
      <c r="J1111" s="354">
        <v>188000</v>
      </c>
      <c r="K1111" s="350" t="s">
        <v>394</v>
      </c>
      <c r="L1111" s="354">
        <v>2.7534199999999998E-4</v>
      </c>
      <c r="M1111" s="354">
        <v>66.61</v>
      </c>
      <c r="N1111" s="350" t="s">
        <v>395</v>
      </c>
      <c r="O1111" s="354">
        <v>51.76</v>
      </c>
      <c r="P1111" s="374"/>
      <c r="Q1111" s="354">
        <v>0</v>
      </c>
      <c r="R1111" s="354">
        <v>0</v>
      </c>
      <c r="S1111" s="354">
        <v>0</v>
      </c>
      <c r="T1111" s="354">
        <v>0</v>
      </c>
      <c r="U1111" s="374"/>
      <c r="V1111" s="354">
        <v>0</v>
      </c>
      <c r="W1111" s="354">
        <v>0</v>
      </c>
      <c r="X1111" s="354">
        <v>0</v>
      </c>
      <c r="Y1111" s="374"/>
      <c r="Z1111" s="354">
        <v>0</v>
      </c>
      <c r="AA1111" s="354">
        <v>0</v>
      </c>
      <c r="AB1111" s="374"/>
      <c r="AC1111" s="376">
        <v>0</v>
      </c>
      <c r="AD1111" s="376">
        <v>0</v>
      </c>
      <c r="AE1111" s="376">
        <v>0</v>
      </c>
      <c r="AF1111" s="374"/>
      <c r="AG1111" s="376">
        <v>0</v>
      </c>
      <c r="AH1111" s="376">
        <v>0</v>
      </c>
      <c r="AI1111" s="376">
        <v>0</v>
      </c>
      <c r="AJ1111" s="376">
        <v>0</v>
      </c>
      <c r="AK1111" s="374"/>
      <c r="AL1111" s="376">
        <v>0</v>
      </c>
      <c r="AM1111" s="376">
        <v>0</v>
      </c>
      <c r="AN1111" s="376">
        <v>0</v>
      </c>
      <c r="AO1111" s="374"/>
      <c r="AP1111" s="376">
        <v>0</v>
      </c>
      <c r="AQ1111" s="376">
        <v>0</v>
      </c>
      <c r="AR1111" s="374"/>
      <c r="AS1111" s="376">
        <v>0</v>
      </c>
      <c r="AT1111" s="376">
        <v>0</v>
      </c>
      <c r="AU1111" s="355" t="s">
        <v>396</v>
      </c>
      <c r="AV1111" s="354" t="s">
        <v>404</v>
      </c>
      <c r="AW1111" s="355" t="s">
        <v>405</v>
      </c>
      <c r="AX1111" s="355">
        <v>0</v>
      </c>
      <c r="AY1111" s="350" t="s">
        <v>410</v>
      </c>
      <c r="AZ1111" s="351">
        <v>45175</v>
      </c>
      <c r="BA1111" s="351">
        <v>45175</v>
      </c>
      <c r="BB1111" s="350" t="s">
        <v>407</v>
      </c>
    </row>
    <row r="1112" spans="1:54" x14ac:dyDescent="0.25">
      <c r="A1112" s="348" t="s">
        <v>1490</v>
      </c>
      <c r="B1112" s="349">
        <v>5323</v>
      </c>
      <c r="C1112" s="350" t="s">
        <v>1469</v>
      </c>
      <c r="D1112" s="351">
        <v>45152</v>
      </c>
      <c r="E1112" s="352">
        <v>3350</v>
      </c>
      <c r="F1112" s="352">
        <v>5</v>
      </c>
      <c r="G1112" s="353" t="s">
        <v>1423</v>
      </c>
      <c r="H1112" s="350" t="s">
        <v>1491</v>
      </c>
      <c r="I1112" s="350" t="s">
        <v>393</v>
      </c>
      <c r="J1112" s="354">
        <v>335895</v>
      </c>
      <c r="K1112" s="350" t="s">
        <v>394</v>
      </c>
      <c r="L1112" s="354">
        <v>2.7534199999999998E-4</v>
      </c>
      <c r="M1112" s="354">
        <v>119.01</v>
      </c>
      <c r="N1112" s="350" t="s">
        <v>395</v>
      </c>
      <c r="O1112" s="354">
        <v>92.49</v>
      </c>
      <c r="P1112" s="374"/>
      <c r="Q1112" s="354">
        <v>0</v>
      </c>
      <c r="R1112" s="354">
        <v>0</v>
      </c>
      <c r="S1112" s="354">
        <v>0</v>
      </c>
      <c r="T1112" s="354">
        <v>0</v>
      </c>
      <c r="U1112" s="374"/>
      <c r="V1112" s="354">
        <v>0</v>
      </c>
      <c r="W1112" s="354">
        <v>0</v>
      </c>
      <c r="X1112" s="354">
        <v>0</v>
      </c>
      <c r="Y1112" s="374"/>
      <c r="Z1112" s="354">
        <v>0</v>
      </c>
      <c r="AA1112" s="354">
        <v>0</v>
      </c>
      <c r="AB1112" s="374"/>
      <c r="AC1112" s="376">
        <v>0</v>
      </c>
      <c r="AD1112" s="376">
        <v>0</v>
      </c>
      <c r="AE1112" s="376">
        <v>0</v>
      </c>
      <c r="AF1112" s="374"/>
      <c r="AG1112" s="376">
        <v>0</v>
      </c>
      <c r="AH1112" s="376">
        <v>0</v>
      </c>
      <c r="AI1112" s="376">
        <v>0</v>
      </c>
      <c r="AJ1112" s="376">
        <v>0</v>
      </c>
      <c r="AK1112" s="374"/>
      <c r="AL1112" s="376">
        <v>0</v>
      </c>
      <c r="AM1112" s="376">
        <v>0</v>
      </c>
      <c r="AN1112" s="376">
        <v>0</v>
      </c>
      <c r="AO1112" s="374"/>
      <c r="AP1112" s="376">
        <v>0</v>
      </c>
      <c r="AQ1112" s="376">
        <v>0</v>
      </c>
      <c r="AR1112" s="374"/>
      <c r="AS1112" s="376">
        <v>0</v>
      </c>
      <c r="AT1112" s="376">
        <v>0</v>
      </c>
      <c r="AU1112" s="355" t="s">
        <v>396</v>
      </c>
      <c r="AV1112" s="354" t="s">
        <v>404</v>
      </c>
      <c r="AW1112" s="355" t="s">
        <v>405</v>
      </c>
      <c r="AX1112" s="355">
        <v>0</v>
      </c>
      <c r="AY1112" s="350" t="s">
        <v>406</v>
      </c>
      <c r="AZ1112" s="351">
        <v>45173</v>
      </c>
      <c r="BA1112" s="351">
        <v>45174</v>
      </c>
      <c r="BB1112" s="350" t="s">
        <v>407</v>
      </c>
    </row>
    <row r="1113" spans="1:54" x14ac:dyDescent="0.25">
      <c r="A1113" s="348" t="s">
        <v>1497</v>
      </c>
      <c r="B1113" s="349">
        <v>5379</v>
      </c>
      <c r="C1113" s="350" t="s">
        <v>1469</v>
      </c>
      <c r="D1113" s="351">
        <v>45168</v>
      </c>
      <c r="E1113" s="352">
        <v>3390</v>
      </c>
      <c r="F1113" s="352">
        <v>5</v>
      </c>
      <c r="G1113" s="353" t="s">
        <v>1423</v>
      </c>
      <c r="H1113" s="350" t="s">
        <v>1498</v>
      </c>
      <c r="I1113" s="350" t="s">
        <v>393</v>
      </c>
      <c r="J1113" s="354">
        <v>1761000</v>
      </c>
      <c r="K1113" s="350" t="s">
        <v>394</v>
      </c>
      <c r="L1113" s="354">
        <v>2.7534199999999998E-4</v>
      </c>
      <c r="M1113" s="354">
        <v>623.94000000000005</v>
      </c>
      <c r="N1113" s="350" t="s">
        <v>395</v>
      </c>
      <c r="O1113" s="354">
        <v>484.88</v>
      </c>
      <c r="P1113" s="374"/>
      <c r="Q1113" s="354">
        <v>0</v>
      </c>
      <c r="R1113" s="354">
        <v>0</v>
      </c>
      <c r="S1113" s="354">
        <v>0</v>
      </c>
      <c r="T1113" s="354">
        <v>0</v>
      </c>
      <c r="U1113" s="374"/>
      <c r="V1113" s="354">
        <v>0</v>
      </c>
      <c r="W1113" s="354">
        <v>0</v>
      </c>
      <c r="X1113" s="354">
        <v>0</v>
      </c>
      <c r="Y1113" s="374"/>
      <c r="Z1113" s="354">
        <v>0</v>
      </c>
      <c r="AA1113" s="354">
        <v>0</v>
      </c>
      <c r="AB1113" s="374"/>
      <c r="AC1113" s="376">
        <v>0</v>
      </c>
      <c r="AD1113" s="376">
        <v>0</v>
      </c>
      <c r="AE1113" s="376">
        <v>0</v>
      </c>
      <c r="AF1113" s="374"/>
      <c r="AG1113" s="376">
        <v>0</v>
      </c>
      <c r="AH1113" s="376">
        <v>0</v>
      </c>
      <c r="AI1113" s="376">
        <v>0</v>
      </c>
      <c r="AJ1113" s="376">
        <v>0</v>
      </c>
      <c r="AK1113" s="374"/>
      <c r="AL1113" s="376">
        <v>0</v>
      </c>
      <c r="AM1113" s="376">
        <v>0</v>
      </c>
      <c r="AN1113" s="376">
        <v>0</v>
      </c>
      <c r="AO1113" s="374"/>
      <c r="AP1113" s="376">
        <v>0</v>
      </c>
      <c r="AQ1113" s="376">
        <v>0</v>
      </c>
      <c r="AR1113" s="374"/>
      <c r="AS1113" s="376">
        <v>0</v>
      </c>
      <c r="AT1113" s="376">
        <v>0</v>
      </c>
      <c r="AU1113" s="355" t="s">
        <v>396</v>
      </c>
      <c r="AV1113" s="354" t="s">
        <v>404</v>
      </c>
      <c r="AW1113" s="355" t="s">
        <v>405</v>
      </c>
      <c r="AX1113" s="355">
        <v>0</v>
      </c>
      <c r="AY1113" s="350" t="s">
        <v>406</v>
      </c>
      <c r="AZ1113" s="351">
        <v>45173</v>
      </c>
      <c r="BA1113" s="351">
        <v>45174</v>
      </c>
      <c r="BB1113" s="350" t="s">
        <v>407</v>
      </c>
    </row>
    <row r="1114" spans="1:54" x14ac:dyDescent="0.25">
      <c r="A1114" s="348" t="s">
        <v>1499</v>
      </c>
      <c r="B1114" s="349">
        <v>5343</v>
      </c>
      <c r="C1114" s="350" t="s">
        <v>1469</v>
      </c>
      <c r="D1114" s="351">
        <v>45169</v>
      </c>
      <c r="E1114" s="352">
        <v>3780</v>
      </c>
      <c r="F1114" s="352">
        <v>4</v>
      </c>
      <c r="G1114" s="353" t="s">
        <v>1423</v>
      </c>
      <c r="H1114" s="591" t="s">
        <v>1500</v>
      </c>
      <c r="I1114" s="350" t="s">
        <v>393</v>
      </c>
      <c r="J1114" s="354">
        <v>7010000</v>
      </c>
      <c r="K1114" s="350" t="s">
        <v>394</v>
      </c>
      <c r="L1114" s="354">
        <v>2.7534199999999998E-4</v>
      </c>
      <c r="M1114" s="354">
        <v>2483.71</v>
      </c>
      <c r="N1114" s="350" t="s">
        <v>395</v>
      </c>
      <c r="O1114" s="354">
        <v>1930.15</v>
      </c>
      <c r="P1114" s="374"/>
      <c r="Q1114" s="354">
        <v>0</v>
      </c>
      <c r="R1114" s="354">
        <v>0</v>
      </c>
      <c r="S1114" s="354">
        <v>0</v>
      </c>
      <c r="T1114" s="354">
        <v>0</v>
      </c>
      <c r="U1114" s="374"/>
      <c r="V1114" s="354">
        <v>0</v>
      </c>
      <c r="W1114" s="354">
        <v>0</v>
      </c>
      <c r="X1114" s="354">
        <v>0</v>
      </c>
      <c r="Y1114" s="374"/>
      <c r="Z1114" s="354">
        <v>0</v>
      </c>
      <c r="AA1114" s="354">
        <v>0</v>
      </c>
      <c r="AB1114" s="374"/>
      <c r="AC1114" s="376">
        <v>0</v>
      </c>
      <c r="AD1114" s="376">
        <v>0</v>
      </c>
      <c r="AE1114" s="376">
        <v>0</v>
      </c>
      <c r="AF1114" s="374"/>
      <c r="AG1114" s="376">
        <v>0</v>
      </c>
      <c r="AH1114" s="376">
        <v>0</v>
      </c>
      <c r="AI1114" s="376">
        <v>0</v>
      </c>
      <c r="AJ1114" s="376">
        <v>0</v>
      </c>
      <c r="AK1114" s="374"/>
      <c r="AL1114" s="376">
        <v>0</v>
      </c>
      <c r="AM1114" s="376">
        <v>0</v>
      </c>
      <c r="AN1114" s="376">
        <v>0</v>
      </c>
      <c r="AO1114" s="374"/>
      <c r="AP1114" s="376">
        <v>0</v>
      </c>
      <c r="AQ1114" s="376">
        <v>0</v>
      </c>
      <c r="AR1114" s="374"/>
      <c r="AS1114" s="376">
        <v>0</v>
      </c>
      <c r="AT1114" s="376">
        <v>0</v>
      </c>
      <c r="AU1114" s="355" t="s">
        <v>396</v>
      </c>
      <c r="AV1114" s="354" t="s">
        <v>404</v>
      </c>
      <c r="AW1114" s="355" t="s">
        <v>405</v>
      </c>
      <c r="AX1114" s="355">
        <v>117872</v>
      </c>
      <c r="AY1114" s="350" t="s">
        <v>406</v>
      </c>
      <c r="AZ1114" s="351">
        <v>45173</v>
      </c>
      <c r="BA1114" s="351">
        <v>45174</v>
      </c>
      <c r="BB1114" s="350" t="s">
        <v>407</v>
      </c>
    </row>
    <row r="1115" spans="1:54" x14ac:dyDescent="0.25">
      <c r="A1115" s="348" t="s">
        <v>1529</v>
      </c>
      <c r="B1115" s="349">
        <v>5508</v>
      </c>
      <c r="C1115" s="350" t="s">
        <v>1501</v>
      </c>
      <c r="D1115" s="351">
        <v>45182</v>
      </c>
      <c r="E1115" s="352">
        <v>3780</v>
      </c>
      <c r="F1115" s="352">
        <v>4</v>
      </c>
      <c r="G1115" s="353" t="s">
        <v>1423</v>
      </c>
      <c r="H1115" s="350" t="s">
        <v>1530</v>
      </c>
      <c r="I1115" s="350" t="s">
        <v>393</v>
      </c>
      <c r="J1115" s="354">
        <v>2500000</v>
      </c>
      <c r="K1115" s="350" t="s">
        <v>394</v>
      </c>
      <c r="L1115" s="354">
        <v>2.7904399999999999E-4</v>
      </c>
      <c r="M1115" s="354">
        <v>883.87</v>
      </c>
      <c r="N1115" s="350" t="s">
        <v>395</v>
      </c>
      <c r="O1115" s="354">
        <v>697.61</v>
      </c>
      <c r="P1115" s="374"/>
      <c r="Q1115" s="354">
        <v>0</v>
      </c>
      <c r="R1115" s="354">
        <v>0</v>
      </c>
      <c r="S1115" s="354">
        <v>0</v>
      </c>
      <c r="T1115" s="354">
        <v>0</v>
      </c>
      <c r="U1115" s="374"/>
      <c r="V1115" s="354">
        <v>0</v>
      </c>
      <c r="W1115" s="354">
        <v>0</v>
      </c>
      <c r="X1115" s="354">
        <v>0</v>
      </c>
      <c r="Y1115" s="374"/>
      <c r="Z1115" s="354">
        <v>0</v>
      </c>
      <c r="AA1115" s="354">
        <v>0</v>
      </c>
      <c r="AB1115" s="374"/>
      <c r="AC1115" s="376">
        <v>0</v>
      </c>
      <c r="AD1115" s="376">
        <v>0</v>
      </c>
      <c r="AE1115" s="376">
        <v>0</v>
      </c>
      <c r="AF1115" s="374"/>
      <c r="AG1115" s="376">
        <v>0</v>
      </c>
      <c r="AH1115" s="376">
        <v>0</v>
      </c>
      <c r="AI1115" s="376">
        <v>0</v>
      </c>
      <c r="AJ1115" s="376">
        <v>0</v>
      </c>
      <c r="AK1115" s="374"/>
      <c r="AL1115" s="376">
        <v>0</v>
      </c>
      <c r="AM1115" s="376">
        <v>0</v>
      </c>
      <c r="AN1115" s="376">
        <v>0</v>
      </c>
      <c r="AO1115" s="374"/>
      <c r="AP1115" s="376">
        <v>0</v>
      </c>
      <c r="AQ1115" s="376">
        <v>0</v>
      </c>
      <c r="AR1115" s="374"/>
      <c r="AS1115" s="376">
        <v>0</v>
      </c>
      <c r="AT1115" s="376">
        <v>0</v>
      </c>
      <c r="AU1115" s="355" t="s">
        <v>396</v>
      </c>
      <c r="AV1115" s="354" t="s">
        <v>404</v>
      </c>
      <c r="AW1115" s="355" t="s">
        <v>405</v>
      </c>
      <c r="AX1115" s="355">
        <v>0</v>
      </c>
      <c r="AY1115" s="350" t="s">
        <v>406</v>
      </c>
      <c r="AZ1115" s="351">
        <v>45203</v>
      </c>
      <c r="BA1115" s="351">
        <v>45203</v>
      </c>
      <c r="BB1115" s="350" t="s">
        <v>407</v>
      </c>
    </row>
    <row r="1116" spans="1:54" x14ac:dyDescent="0.25">
      <c r="A1116" s="348" t="s">
        <v>1531</v>
      </c>
      <c r="B1116" s="349">
        <v>5547</v>
      </c>
      <c r="C1116" s="350" t="s">
        <v>1501</v>
      </c>
      <c r="D1116" s="351">
        <v>45173</v>
      </c>
      <c r="E1116" s="352">
        <v>3570</v>
      </c>
      <c r="F1116" s="352">
        <v>7</v>
      </c>
      <c r="G1116" s="353" t="s">
        <v>1423</v>
      </c>
      <c r="H1116" s="350" t="s">
        <v>1532</v>
      </c>
      <c r="I1116" s="350" t="s">
        <v>393</v>
      </c>
      <c r="J1116" s="354">
        <v>1920000</v>
      </c>
      <c r="K1116" s="350" t="s">
        <v>394</v>
      </c>
      <c r="L1116" s="354">
        <v>2.7904399999999999E-4</v>
      </c>
      <c r="M1116" s="354">
        <v>678.81</v>
      </c>
      <c r="N1116" s="350" t="s">
        <v>395</v>
      </c>
      <c r="O1116" s="354">
        <v>535.76</v>
      </c>
      <c r="P1116" s="374"/>
      <c r="Q1116" s="354">
        <v>0</v>
      </c>
      <c r="R1116" s="354">
        <v>0</v>
      </c>
      <c r="S1116" s="354">
        <v>0</v>
      </c>
      <c r="T1116" s="354">
        <v>0</v>
      </c>
      <c r="U1116" s="374"/>
      <c r="V1116" s="354">
        <v>0</v>
      </c>
      <c r="W1116" s="354">
        <v>0</v>
      </c>
      <c r="X1116" s="354">
        <v>0</v>
      </c>
      <c r="Y1116" s="374"/>
      <c r="Z1116" s="354">
        <v>0</v>
      </c>
      <c r="AA1116" s="354">
        <v>0</v>
      </c>
      <c r="AB1116" s="374"/>
      <c r="AC1116" s="376">
        <v>0</v>
      </c>
      <c r="AD1116" s="376">
        <v>0</v>
      </c>
      <c r="AE1116" s="376">
        <v>0</v>
      </c>
      <c r="AF1116" s="374"/>
      <c r="AG1116" s="376">
        <v>0</v>
      </c>
      <c r="AH1116" s="376">
        <v>0</v>
      </c>
      <c r="AI1116" s="376">
        <v>0</v>
      </c>
      <c r="AJ1116" s="376">
        <v>0</v>
      </c>
      <c r="AK1116" s="374"/>
      <c r="AL1116" s="376">
        <v>0</v>
      </c>
      <c r="AM1116" s="376">
        <v>0</v>
      </c>
      <c r="AN1116" s="376">
        <v>0</v>
      </c>
      <c r="AO1116" s="374"/>
      <c r="AP1116" s="376">
        <v>0</v>
      </c>
      <c r="AQ1116" s="376">
        <v>0</v>
      </c>
      <c r="AR1116" s="374"/>
      <c r="AS1116" s="376">
        <v>0</v>
      </c>
      <c r="AT1116" s="376">
        <v>0</v>
      </c>
      <c r="AU1116" s="355" t="s">
        <v>396</v>
      </c>
      <c r="AV1116" s="354" t="s">
        <v>404</v>
      </c>
      <c r="AW1116" s="355" t="s">
        <v>405</v>
      </c>
      <c r="AX1116" s="355">
        <v>0</v>
      </c>
      <c r="AY1116" s="350" t="s">
        <v>406</v>
      </c>
      <c r="AZ1116" s="351">
        <v>45205</v>
      </c>
      <c r="BA1116" s="351">
        <v>45205</v>
      </c>
      <c r="BB1116" s="350" t="s">
        <v>407</v>
      </c>
    </row>
    <row r="1117" spans="1:54" x14ac:dyDescent="0.25">
      <c r="A1117" s="348" t="s">
        <v>1533</v>
      </c>
      <c r="B1117" s="349">
        <v>5546</v>
      </c>
      <c r="C1117" s="350" t="s">
        <v>1501</v>
      </c>
      <c r="D1117" s="351">
        <v>45183</v>
      </c>
      <c r="E1117" s="352">
        <v>3570</v>
      </c>
      <c r="F1117" s="352">
        <v>7</v>
      </c>
      <c r="G1117" s="353" t="s">
        <v>1423</v>
      </c>
      <c r="H1117" s="350" t="s">
        <v>1534</v>
      </c>
      <c r="I1117" s="350" t="s">
        <v>393</v>
      </c>
      <c r="J1117" s="354">
        <v>444000</v>
      </c>
      <c r="K1117" s="350" t="s">
        <v>394</v>
      </c>
      <c r="L1117" s="354">
        <v>2.7904399999999999E-4</v>
      </c>
      <c r="M1117" s="354">
        <v>156.97999999999999</v>
      </c>
      <c r="N1117" s="350" t="s">
        <v>395</v>
      </c>
      <c r="O1117" s="354">
        <v>123.9</v>
      </c>
      <c r="P1117" s="374"/>
      <c r="Q1117" s="354">
        <v>0</v>
      </c>
      <c r="R1117" s="354">
        <v>0</v>
      </c>
      <c r="S1117" s="354">
        <v>0</v>
      </c>
      <c r="T1117" s="354">
        <v>0</v>
      </c>
      <c r="U1117" s="374"/>
      <c r="V1117" s="354">
        <v>0</v>
      </c>
      <c r="W1117" s="354">
        <v>0</v>
      </c>
      <c r="X1117" s="354">
        <v>0</v>
      </c>
      <c r="Y1117" s="374"/>
      <c r="Z1117" s="354">
        <v>0</v>
      </c>
      <c r="AA1117" s="354">
        <v>0</v>
      </c>
      <c r="AB1117" s="374"/>
      <c r="AC1117" s="376">
        <v>0</v>
      </c>
      <c r="AD1117" s="376">
        <v>0</v>
      </c>
      <c r="AE1117" s="376">
        <v>0</v>
      </c>
      <c r="AF1117" s="374"/>
      <c r="AG1117" s="376">
        <v>0</v>
      </c>
      <c r="AH1117" s="376">
        <v>0</v>
      </c>
      <c r="AI1117" s="376">
        <v>0</v>
      </c>
      <c r="AJ1117" s="376">
        <v>0</v>
      </c>
      <c r="AK1117" s="374"/>
      <c r="AL1117" s="376">
        <v>0</v>
      </c>
      <c r="AM1117" s="376">
        <v>0</v>
      </c>
      <c r="AN1117" s="376">
        <v>0</v>
      </c>
      <c r="AO1117" s="374"/>
      <c r="AP1117" s="376">
        <v>0</v>
      </c>
      <c r="AQ1117" s="376">
        <v>0</v>
      </c>
      <c r="AR1117" s="374"/>
      <c r="AS1117" s="376">
        <v>0</v>
      </c>
      <c r="AT1117" s="376">
        <v>0</v>
      </c>
      <c r="AU1117" s="355" t="s">
        <v>396</v>
      </c>
      <c r="AV1117" s="354" t="s">
        <v>404</v>
      </c>
      <c r="AW1117" s="355" t="s">
        <v>405</v>
      </c>
      <c r="AX1117" s="355">
        <v>0</v>
      </c>
      <c r="AY1117" s="350" t="s">
        <v>406</v>
      </c>
      <c r="AZ1117" s="351">
        <v>45203</v>
      </c>
      <c r="BA1117" s="351">
        <v>45205</v>
      </c>
      <c r="BB1117" s="350" t="s">
        <v>407</v>
      </c>
    </row>
    <row r="1118" spans="1:54" x14ac:dyDescent="0.25">
      <c r="A1118" s="348" t="s">
        <v>1565</v>
      </c>
      <c r="B1118" s="349">
        <v>168</v>
      </c>
      <c r="C1118" s="423">
        <v>45200</v>
      </c>
      <c r="D1118" s="351">
        <v>45208</v>
      </c>
      <c r="F1118" s="353">
        <v>6</v>
      </c>
      <c r="G1118" s="352" t="s">
        <v>1572</v>
      </c>
      <c r="H1118" s="350" t="s">
        <v>1168</v>
      </c>
      <c r="I1118" s="350" t="s">
        <v>393</v>
      </c>
      <c r="J1118" s="375">
        <f>257678+282730</f>
        <v>540408</v>
      </c>
      <c r="K1118" s="350" t="s">
        <v>394</v>
      </c>
      <c r="L1118" s="354">
        <v>2802.3999950000002</v>
      </c>
      <c r="M1118" s="354">
        <f>J1118/L1118</f>
        <v>192.83756814308728</v>
      </c>
      <c r="N1118" s="353" t="s">
        <v>395</v>
      </c>
      <c r="O1118" s="354">
        <v>0</v>
      </c>
      <c r="P1118" s="374"/>
      <c r="Q1118" s="354">
        <v>0</v>
      </c>
      <c r="R1118" s="354">
        <v>0</v>
      </c>
      <c r="S1118" s="354">
        <v>0</v>
      </c>
      <c r="T1118" s="354">
        <v>0</v>
      </c>
      <c r="U1118" s="374"/>
      <c r="V1118" s="354">
        <v>0</v>
      </c>
      <c r="W1118" s="354">
        <v>0</v>
      </c>
      <c r="X1118" s="354">
        <v>0</v>
      </c>
      <c r="Y1118" s="374"/>
      <c r="Z1118" s="354">
        <v>0</v>
      </c>
      <c r="AA1118" s="354">
        <v>0</v>
      </c>
      <c r="AB1118" s="374"/>
      <c r="AC1118" s="376">
        <v>0</v>
      </c>
      <c r="AD1118" s="376">
        <v>0</v>
      </c>
      <c r="AE1118" s="376">
        <v>0</v>
      </c>
      <c r="AF1118" s="374"/>
      <c r="AG1118" s="376">
        <v>0</v>
      </c>
      <c r="AH1118" s="376">
        <v>0</v>
      </c>
      <c r="AI1118" s="376">
        <v>0</v>
      </c>
      <c r="AJ1118" s="376">
        <v>0</v>
      </c>
      <c r="AK1118" s="374"/>
      <c r="AL1118" s="376">
        <v>0</v>
      </c>
      <c r="AM1118" s="376">
        <v>0</v>
      </c>
      <c r="AN1118" s="376">
        <v>0</v>
      </c>
      <c r="AO1118" s="374"/>
      <c r="AP1118" s="376">
        <v>0</v>
      </c>
      <c r="AQ1118" s="376">
        <v>0</v>
      </c>
      <c r="AR1118" s="374"/>
      <c r="AS1118" s="376">
        <v>0</v>
      </c>
      <c r="AT1118" s="376">
        <v>0</v>
      </c>
      <c r="AU1118" s="355" t="s">
        <v>396</v>
      </c>
      <c r="AV1118" s="353" t="s">
        <v>397</v>
      </c>
      <c r="AW1118" s="353">
        <v>0</v>
      </c>
      <c r="AX1118" s="353">
        <v>0</v>
      </c>
      <c r="AY1118" s="353">
        <v>0</v>
      </c>
      <c r="AZ1118" s="353">
        <v>0</v>
      </c>
      <c r="BA1118" s="353">
        <v>0</v>
      </c>
      <c r="BB1118" s="353">
        <v>0</v>
      </c>
    </row>
    <row r="1119" spans="1:54" x14ac:dyDescent="0.25">
      <c r="A1119" s="348" t="s">
        <v>1565</v>
      </c>
      <c r="B1119" s="349">
        <v>169</v>
      </c>
      <c r="C1119" s="423">
        <v>45200</v>
      </c>
      <c r="D1119" s="351">
        <v>45208</v>
      </c>
      <c r="F1119" s="353">
        <v>6</v>
      </c>
      <c r="G1119" s="352" t="s">
        <v>1572</v>
      </c>
      <c r="H1119" s="350" t="s">
        <v>1573</v>
      </c>
      <c r="I1119" s="350" t="s">
        <v>393</v>
      </c>
      <c r="J1119" s="375">
        <f>150000+150000</f>
        <v>300000</v>
      </c>
      <c r="K1119" s="350" t="s">
        <v>394</v>
      </c>
      <c r="L1119" s="354">
        <v>2802.3999950000002</v>
      </c>
      <c r="M1119" s="354">
        <f t="shared" ref="M1119:M1151" si="897">J1119/L1119</f>
        <v>107.05109924894928</v>
      </c>
      <c r="N1119" s="353" t="s">
        <v>395</v>
      </c>
      <c r="O1119" s="354">
        <v>0</v>
      </c>
      <c r="P1119" s="374"/>
      <c r="Q1119" s="354">
        <v>0</v>
      </c>
      <c r="R1119" s="354">
        <v>0</v>
      </c>
      <c r="S1119" s="354">
        <v>0</v>
      </c>
      <c r="T1119" s="354">
        <v>0</v>
      </c>
      <c r="U1119" s="374"/>
      <c r="V1119" s="354">
        <v>0</v>
      </c>
      <c r="W1119" s="354">
        <v>0</v>
      </c>
      <c r="X1119" s="354">
        <v>0</v>
      </c>
      <c r="Y1119" s="374"/>
      <c r="Z1119" s="354">
        <v>0</v>
      </c>
      <c r="AA1119" s="354">
        <v>0</v>
      </c>
      <c r="AB1119" s="374"/>
      <c r="AC1119" s="376">
        <v>0</v>
      </c>
      <c r="AD1119" s="376">
        <v>0</v>
      </c>
      <c r="AE1119" s="376">
        <v>0</v>
      </c>
      <c r="AF1119" s="374"/>
      <c r="AG1119" s="376">
        <v>0</v>
      </c>
      <c r="AH1119" s="376">
        <v>0</v>
      </c>
      <c r="AI1119" s="376">
        <v>0</v>
      </c>
      <c r="AJ1119" s="376">
        <v>0</v>
      </c>
      <c r="AK1119" s="374"/>
      <c r="AL1119" s="376">
        <v>0</v>
      </c>
      <c r="AM1119" s="376">
        <v>0</v>
      </c>
      <c r="AN1119" s="376">
        <v>0</v>
      </c>
      <c r="AO1119" s="374"/>
      <c r="AP1119" s="376">
        <v>0</v>
      </c>
      <c r="AQ1119" s="376">
        <v>0</v>
      </c>
      <c r="AR1119" s="374"/>
      <c r="AS1119" s="376">
        <v>0</v>
      </c>
      <c r="AT1119" s="376">
        <v>0</v>
      </c>
      <c r="AU1119" s="355" t="s">
        <v>396</v>
      </c>
      <c r="AV1119" s="353" t="s">
        <v>397</v>
      </c>
      <c r="AW1119" s="353">
        <v>0</v>
      </c>
      <c r="AX1119" s="353">
        <v>0</v>
      </c>
      <c r="AY1119" s="353">
        <v>0</v>
      </c>
      <c r="AZ1119" s="353">
        <v>0</v>
      </c>
      <c r="BA1119" s="353">
        <v>0</v>
      </c>
      <c r="BB1119" s="353">
        <v>0</v>
      </c>
    </row>
    <row r="1120" spans="1:54" x14ac:dyDescent="0.25">
      <c r="A1120" s="348" t="s">
        <v>1565</v>
      </c>
      <c r="B1120" s="349">
        <v>170</v>
      </c>
      <c r="C1120" s="423">
        <v>45200</v>
      </c>
      <c r="D1120" s="351">
        <v>45208</v>
      </c>
      <c r="F1120" s="353">
        <v>6</v>
      </c>
      <c r="G1120" s="352" t="s">
        <v>1572</v>
      </c>
      <c r="H1120" s="350" t="s">
        <v>1574</v>
      </c>
      <c r="I1120" s="350" t="s">
        <v>393</v>
      </c>
      <c r="J1120" s="375">
        <f>50000+50000</f>
        <v>100000</v>
      </c>
      <c r="K1120" s="350" t="s">
        <v>394</v>
      </c>
      <c r="L1120" s="354">
        <v>2802.3999950000002</v>
      </c>
      <c r="M1120" s="354">
        <f t="shared" si="897"/>
        <v>35.683699749649762</v>
      </c>
      <c r="N1120" s="353" t="s">
        <v>395</v>
      </c>
      <c r="O1120" s="354">
        <v>0</v>
      </c>
      <c r="P1120" s="374"/>
      <c r="Q1120" s="354">
        <v>0</v>
      </c>
      <c r="R1120" s="354">
        <v>0</v>
      </c>
      <c r="S1120" s="354">
        <v>0</v>
      </c>
      <c r="T1120" s="354">
        <v>0</v>
      </c>
      <c r="U1120" s="374"/>
      <c r="V1120" s="354">
        <v>0</v>
      </c>
      <c r="W1120" s="354">
        <v>0</v>
      </c>
      <c r="X1120" s="354">
        <v>0</v>
      </c>
      <c r="Y1120" s="374"/>
      <c r="Z1120" s="354">
        <v>0</v>
      </c>
      <c r="AA1120" s="354">
        <v>0</v>
      </c>
      <c r="AB1120" s="374"/>
      <c r="AC1120" s="376">
        <v>0</v>
      </c>
      <c r="AD1120" s="376">
        <v>0</v>
      </c>
      <c r="AE1120" s="376">
        <v>0</v>
      </c>
      <c r="AF1120" s="374"/>
      <c r="AG1120" s="376">
        <v>0</v>
      </c>
      <c r="AH1120" s="376">
        <v>0</v>
      </c>
      <c r="AI1120" s="376">
        <v>0</v>
      </c>
      <c r="AJ1120" s="376">
        <v>0</v>
      </c>
      <c r="AK1120" s="374"/>
      <c r="AL1120" s="376">
        <v>0</v>
      </c>
      <c r="AM1120" s="376">
        <v>0</v>
      </c>
      <c r="AN1120" s="376">
        <v>0</v>
      </c>
      <c r="AO1120" s="374"/>
      <c r="AP1120" s="376">
        <v>0</v>
      </c>
      <c r="AQ1120" s="376">
        <v>0</v>
      </c>
      <c r="AR1120" s="374"/>
      <c r="AS1120" s="376">
        <v>0</v>
      </c>
      <c r="AT1120" s="376">
        <v>0</v>
      </c>
      <c r="AU1120" s="355" t="s">
        <v>396</v>
      </c>
      <c r="AV1120" s="353" t="s">
        <v>397</v>
      </c>
      <c r="AW1120" s="353">
        <v>0</v>
      </c>
      <c r="AX1120" s="353">
        <v>0</v>
      </c>
      <c r="AY1120" s="353">
        <v>0</v>
      </c>
      <c r="AZ1120" s="353">
        <v>0</v>
      </c>
      <c r="BA1120" s="353">
        <v>0</v>
      </c>
      <c r="BB1120" s="353">
        <v>0</v>
      </c>
    </row>
    <row r="1121" spans="1:54" x14ac:dyDescent="0.25">
      <c r="A1121" s="348" t="s">
        <v>1565</v>
      </c>
      <c r="B1121" s="349">
        <v>171</v>
      </c>
      <c r="C1121" s="423">
        <v>45200</v>
      </c>
      <c r="D1121" s="351">
        <v>45208</v>
      </c>
      <c r="F1121" s="353">
        <v>6</v>
      </c>
      <c r="G1121" s="352" t="s">
        <v>1572</v>
      </c>
      <c r="H1121" s="350" t="s">
        <v>1575</v>
      </c>
      <c r="I1121" s="350" t="s">
        <v>393</v>
      </c>
      <c r="J1121" s="375">
        <v>50000</v>
      </c>
      <c r="K1121" s="350" t="s">
        <v>394</v>
      </c>
      <c r="L1121" s="354">
        <v>2802.3999950000002</v>
      </c>
      <c r="M1121" s="354">
        <f t="shared" si="897"/>
        <v>17.841849874824881</v>
      </c>
      <c r="N1121" s="353" t="s">
        <v>395</v>
      </c>
      <c r="O1121" s="354">
        <v>0</v>
      </c>
      <c r="P1121" s="374"/>
      <c r="Q1121" s="354">
        <v>0</v>
      </c>
      <c r="R1121" s="354">
        <v>0</v>
      </c>
      <c r="S1121" s="354">
        <v>0</v>
      </c>
      <c r="T1121" s="354">
        <v>0</v>
      </c>
      <c r="U1121" s="374"/>
      <c r="V1121" s="354">
        <v>0</v>
      </c>
      <c r="W1121" s="354">
        <v>0</v>
      </c>
      <c r="X1121" s="354">
        <v>0</v>
      </c>
      <c r="Y1121" s="374"/>
      <c r="Z1121" s="354">
        <v>0</v>
      </c>
      <c r="AA1121" s="354">
        <v>0</v>
      </c>
      <c r="AB1121" s="374"/>
      <c r="AC1121" s="376">
        <v>0</v>
      </c>
      <c r="AD1121" s="376">
        <v>0</v>
      </c>
      <c r="AE1121" s="376">
        <v>0</v>
      </c>
      <c r="AF1121" s="374"/>
      <c r="AG1121" s="376">
        <v>0</v>
      </c>
      <c r="AH1121" s="376">
        <v>0</v>
      </c>
      <c r="AI1121" s="376">
        <v>0</v>
      </c>
      <c r="AJ1121" s="376">
        <v>0</v>
      </c>
      <c r="AK1121" s="374"/>
      <c r="AL1121" s="376">
        <v>0</v>
      </c>
      <c r="AM1121" s="376">
        <v>0</v>
      </c>
      <c r="AN1121" s="376">
        <v>0</v>
      </c>
      <c r="AO1121" s="374"/>
      <c r="AP1121" s="376">
        <v>0</v>
      </c>
      <c r="AQ1121" s="376">
        <v>0</v>
      </c>
      <c r="AR1121" s="374"/>
      <c r="AS1121" s="376">
        <v>0</v>
      </c>
      <c r="AT1121" s="376">
        <v>0</v>
      </c>
      <c r="AU1121" s="355" t="s">
        <v>396</v>
      </c>
      <c r="AV1121" s="353" t="s">
        <v>397</v>
      </c>
      <c r="AW1121" s="353">
        <v>0</v>
      </c>
      <c r="AX1121" s="353">
        <v>0</v>
      </c>
      <c r="AY1121" s="353">
        <v>0</v>
      </c>
      <c r="AZ1121" s="353">
        <v>0</v>
      </c>
      <c r="BA1121" s="353">
        <v>0</v>
      </c>
      <c r="BB1121" s="353">
        <v>0</v>
      </c>
    </row>
    <row r="1122" spans="1:54" x14ac:dyDescent="0.25">
      <c r="A1122" s="348" t="s">
        <v>1565</v>
      </c>
      <c r="B1122" s="349">
        <v>172</v>
      </c>
      <c r="C1122" s="423">
        <v>45200</v>
      </c>
      <c r="D1122" s="351">
        <v>45208</v>
      </c>
      <c r="F1122" s="353">
        <v>6</v>
      </c>
      <c r="G1122" s="352" t="s">
        <v>1572</v>
      </c>
      <c r="H1122" s="350" t="s">
        <v>1576</v>
      </c>
      <c r="I1122" s="350" t="s">
        <v>393</v>
      </c>
      <c r="J1122" s="375">
        <v>3000</v>
      </c>
      <c r="K1122" s="350" t="s">
        <v>394</v>
      </c>
      <c r="L1122" s="354">
        <v>2802.3999950000002</v>
      </c>
      <c r="M1122" s="354">
        <f t="shared" si="897"/>
        <v>1.0705109924894929</v>
      </c>
      <c r="N1122" s="353" t="s">
        <v>395</v>
      </c>
      <c r="O1122" s="354">
        <v>0</v>
      </c>
      <c r="P1122" s="374"/>
      <c r="Q1122" s="354">
        <v>0</v>
      </c>
      <c r="R1122" s="354">
        <v>0</v>
      </c>
      <c r="S1122" s="354">
        <v>0</v>
      </c>
      <c r="T1122" s="354">
        <v>0</v>
      </c>
      <c r="U1122" s="374"/>
      <c r="V1122" s="354">
        <v>0</v>
      </c>
      <c r="W1122" s="354">
        <v>0</v>
      </c>
      <c r="X1122" s="354">
        <v>0</v>
      </c>
      <c r="Y1122" s="374"/>
      <c r="Z1122" s="354">
        <v>0</v>
      </c>
      <c r="AA1122" s="354">
        <v>0</v>
      </c>
      <c r="AB1122" s="374"/>
      <c r="AC1122" s="376">
        <v>0</v>
      </c>
      <c r="AD1122" s="376">
        <v>0</v>
      </c>
      <c r="AE1122" s="376">
        <v>0</v>
      </c>
      <c r="AF1122" s="374"/>
      <c r="AG1122" s="376">
        <v>0</v>
      </c>
      <c r="AH1122" s="376">
        <v>0</v>
      </c>
      <c r="AI1122" s="376">
        <v>0</v>
      </c>
      <c r="AJ1122" s="376">
        <v>0</v>
      </c>
      <c r="AK1122" s="374"/>
      <c r="AL1122" s="376">
        <v>0</v>
      </c>
      <c r="AM1122" s="376">
        <v>0</v>
      </c>
      <c r="AN1122" s="376">
        <v>0</v>
      </c>
      <c r="AO1122" s="374"/>
      <c r="AP1122" s="376">
        <v>0</v>
      </c>
      <c r="AQ1122" s="376">
        <v>0</v>
      </c>
      <c r="AR1122" s="374"/>
      <c r="AS1122" s="376">
        <v>0</v>
      </c>
      <c r="AT1122" s="376">
        <v>0</v>
      </c>
      <c r="AU1122" s="355" t="s">
        <v>396</v>
      </c>
      <c r="AV1122" s="353" t="s">
        <v>397</v>
      </c>
      <c r="AW1122" s="353">
        <v>0</v>
      </c>
      <c r="AX1122" s="353">
        <v>0</v>
      </c>
      <c r="AY1122" s="353">
        <v>0</v>
      </c>
      <c r="AZ1122" s="353">
        <v>0</v>
      </c>
      <c r="BA1122" s="353">
        <v>0</v>
      </c>
      <c r="BB1122" s="353">
        <v>0</v>
      </c>
    </row>
    <row r="1123" spans="1:54" x14ac:dyDescent="0.25">
      <c r="A1123" s="348" t="s">
        <v>1565</v>
      </c>
      <c r="B1123" s="349">
        <v>173</v>
      </c>
      <c r="C1123" s="423">
        <v>45200</v>
      </c>
      <c r="D1123" s="351">
        <v>45208</v>
      </c>
      <c r="F1123" s="353">
        <v>6</v>
      </c>
      <c r="G1123" s="352" t="s">
        <v>1572</v>
      </c>
      <c r="H1123" s="350" t="s">
        <v>1593</v>
      </c>
      <c r="I1123" s="350" t="s">
        <v>393</v>
      </c>
      <c r="J1123" s="375">
        <f>250000+250000+300000+350000+350000</f>
        <v>1500000</v>
      </c>
      <c r="K1123" s="350" t="s">
        <v>394</v>
      </c>
      <c r="L1123" s="354">
        <v>2802.3999950000002</v>
      </c>
      <c r="M1123" s="354">
        <f t="shared" si="897"/>
        <v>535.25549624474638</v>
      </c>
      <c r="N1123" s="353" t="s">
        <v>395</v>
      </c>
      <c r="O1123" s="354">
        <v>0</v>
      </c>
      <c r="P1123" s="374"/>
      <c r="Q1123" s="354">
        <v>0</v>
      </c>
      <c r="R1123" s="354">
        <v>0</v>
      </c>
      <c r="S1123" s="354">
        <v>0</v>
      </c>
      <c r="T1123" s="354">
        <v>0</v>
      </c>
      <c r="U1123" s="374"/>
      <c r="V1123" s="354">
        <v>0</v>
      </c>
      <c r="W1123" s="354">
        <v>0</v>
      </c>
      <c r="X1123" s="354">
        <v>0</v>
      </c>
      <c r="Y1123" s="374"/>
      <c r="Z1123" s="354">
        <v>0</v>
      </c>
      <c r="AA1123" s="354">
        <v>0</v>
      </c>
      <c r="AB1123" s="374"/>
      <c r="AC1123" s="376">
        <v>0</v>
      </c>
      <c r="AD1123" s="376">
        <v>0</v>
      </c>
      <c r="AE1123" s="376">
        <v>0</v>
      </c>
      <c r="AF1123" s="374"/>
      <c r="AG1123" s="376">
        <v>0</v>
      </c>
      <c r="AH1123" s="376">
        <v>0</v>
      </c>
      <c r="AI1123" s="376">
        <v>0</v>
      </c>
      <c r="AJ1123" s="376">
        <v>0</v>
      </c>
      <c r="AK1123" s="374"/>
      <c r="AL1123" s="376">
        <v>0</v>
      </c>
      <c r="AM1123" s="376">
        <v>0</v>
      </c>
      <c r="AN1123" s="376">
        <v>0</v>
      </c>
      <c r="AO1123" s="374"/>
      <c r="AP1123" s="376">
        <v>0</v>
      </c>
      <c r="AQ1123" s="376">
        <v>0</v>
      </c>
      <c r="AR1123" s="374"/>
      <c r="AS1123" s="376">
        <v>0</v>
      </c>
      <c r="AT1123" s="376">
        <v>0</v>
      </c>
      <c r="AU1123" s="355" t="s">
        <v>396</v>
      </c>
      <c r="AV1123" s="353" t="s">
        <v>397</v>
      </c>
      <c r="AW1123" s="353">
        <v>0</v>
      </c>
      <c r="AX1123" s="353">
        <v>0</v>
      </c>
      <c r="AY1123" s="353">
        <v>0</v>
      </c>
      <c r="AZ1123" s="353">
        <v>0</v>
      </c>
      <c r="BA1123" s="353">
        <v>0</v>
      </c>
      <c r="BB1123" s="353">
        <v>0</v>
      </c>
    </row>
    <row r="1124" spans="1:54" x14ac:dyDescent="0.25">
      <c r="A1124" s="348" t="s">
        <v>1565</v>
      </c>
      <c r="B1124" s="349">
        <v>174</v>
      </c>
      <c r="C1124" s="423">
        <v>45200</v>
      </c>
      <c r="D1124" s="351">
        <v>45208</v>
      </c>
      <c r="F1124" s="353">
        <v>6</v>
      </c>
      <c r="G1124" s="352" t="s">
        <v>1572</v>
      </c>
      <c r="H1124" s="350" t="s">
        <v>1164</v>
      </c>
      <c r="I1124" s="350" t="s">
        <v>393</v>
      </c>
      <c r="J1124" s="375">
        <f>105000+105000+120000+150000+150000+200000+200000+200000</f>
        <v>1230000</v>
      </c>
      <c r="K1124" s="350" t="s">
        <v>394</v>
      </c>
      <c r="L1124" s="354">
        <v>2802.3999950000002</v>
      </c>
      <c r="M1124" s="354">
        <f t="shared" si="897"/>
        <v>438.90950692069208</v>
      </c>
      <c r="N1124" s="353" t="s">
        <v>395</v>
      </c>
      <c r="O1124" s="354">
        <v>0</v>
      </c>
      <c r="P1124" s="374"/>
      <c r="Q1124" s="354">
        <v>0</v>
      </c>
      <c r="R1124" s="354">
        <v>0</v>
      </c>
      <c r="S1124" s="354">
        <v>0</v>
      </c>
      <c r="T1124" s="354">
        <v>0</v>
      </c>
      <c r="U1124" s="374"/>
      <c r="V1124" s="354">
        <v>0</v>
      </c>
      <c r="W1124" s="354">
        <v>0</v>
      </c>
      <c r="X1124" s="354">
        <v>0</v>
      </c>
      <c r="Y1124" s="374"/>
      <c r="Z1124" s="354">
        <v>0</v>
      </c>
      <c r="AA1124" s="354">
        <v>0</v>
      </c>
      <c r="AB1124" s="374"/>
      <c r="AC1124" s="376">
        <v>0</v>
      </c>
      <c r="AD1124" s="376">
        <v>0</v>
      </c>
      <c r="AE1124" s="376">
        <v>0</v>
      </c>
      <c r="AF1124" s="374"/>
      <c r="AG1124" s="376">
        <v>0</v>
      </c>
      <c r="AH1124" s="376">
        <v>0</v>
      </c>
      <c r="AI1124" s="376">
        <v>0</v>
      </c>
      <c r="AJ1124" s="376">
        <v>0</v>
      </c>
      <c r="AK1124" s="374"/>
      <c r="AL1124" s="376">
        <v>0</v>
      </c>
      <c r="AM1124" s="376">
        <v>0</v>
      </c>
      <c r="AN1124" s="376">
        <v>0</v>
      </c>
      <c r="AO1124" s="374"/>
      <c r="AP1124" s="376">
        <v>0</v>
      </c>
      <c r="AQ1124" s="376">
        <v>0</v>
      </c>
      <c r="AR1124" s="374"/>
      <c r="AS1124" s="376">
        <v>0</v>
      </c>
      <c r="AT1124" s="376">
        <v>0</v>
      </c>
      <c r="AU1124" s="355" t="s">
        <v>396</v>
      </c>
      <c r="AV1124" s="353" t="s">
        <v>397</v>
      </c>
      <c r="AW1124" s="353">
        <v>0</v>
      </c>
      <c r="AX1124" s="353">
        <v>0</v>
      </c>
      <c r="AY1124" s="353">
        <v>0</v>
      </c>
      <c r="AZ1124" s="353">
        <v>0</v>
      </c>
      <c r="BA1124" s="353">
        <v>0</v>
      </c>
      <c r="BB1124" s="353">
        <v>0</v>
      </c>
    </row>
    <row r="1125" spans="1:54" x14ac:dyDescent="0.25">
      <c r="A1125" s="348" t="s">
        <v>1566</v>
      </c>
      <c r="B1125" s="349">
        <v>175</v>
      </c>
      <c r="C1125" s="423">
        <v>45200</v>
      </c>
      <c r="D1125" s="351">
        <v>45224</v>
      </c>
      <c r="F1125" s="353">
        <v>6</v>
      </c>
      <c r="G1125" s="352" t="s">
        <v>1572</v>
      </c>
      <c r="H1125" s="350" t="s">
        <v>1577</v>
      </c>
      <c r="I1125" s="350" t="s">
        <v>393</v>
      </c>
      <c r="J1125" s="375">
        <v>222600</v>
      </c>
      <c r="K1125" s="350" t="s">
        <v>394</v>
      </c>
      <c r="L1125" s="354">
        <v>2802.3999950000002</v>
      </c>
      <c r="M1125" s="354">
        <f t="shared" si="897"/>
        <v>79.431915642720369</v>
      </c>
      <c r="N1125" s="353" t="s">
        <v>395</v>
      </c>
      <c r="O1125" s="354">
        <v>0</v>
      </c>
      <c r="P1125" s="374"/>
      <c r="Q1125" s="354">
        <v>0</v>
      </c>
      <c r="R1125" s="354">
        <v>0</v>
      </c>
      <c r="S1125" s="354">
        <v>0</v>
      </c>
      <c r="T1125" s="354">
        <v>0</v>
      </c>
      <c r="U1125" s="374"/>
      <c r="V1125" s="354">
        <v>0</v>
      </c>
      <c r="W1125" s="354">
        <v>0</v>
      </c>
      <c r="X1125" s="354">
        <v>0</v>
      </c>
      <c r="Y1125" s="374"/>
      <c r="Z1125" s="354">
        <v>0</v>
      </c>
      <c r="AA1125" s="354">
        <v>0</v>
      </c>
      <c r="AB1125" s="374"/>
      <c r="AC1125" s="376">
        <v>0</v>
      </c>
      <c r="AD1125" s="376">
        <v>0</v>
      </c>
      <c r="AE1125" s="376">
        <v>0</v>
      </c>
      <c r="AF1125" s="374"/>
      <c r="AG1125" s="376">
        <v>0</v>
      </c>
      <c r="AH1125" s="376">
        <v>0</v>
      </c>
      <c r="AI1125" s="376">
        <v>0</v>
      </c>
      <c r="AJ1125" s="376">
        <v>0</v>
      </c>
      <c r="AK1125" s="374"/>
      <c r="AL1125" s="376">
        <v>0</v>
      </c>
      <c r="AM1125" s="376">
        <v>0</v>
      </c>
      <c r="AN1125" s="376">
        <v>0</v>
      </c>
      <c r="AO1125" s="374"/>
      <c r="AP1125" s="376">
        <v>0</v>
      </c>
      <c r="AQ1125" s="376">
        <v>0</v>
      </c>
      <c r="AR1125" s="374"/>
      <c r="AS1125" s="376">
        <v>0</v>
      </c>
      <c r="AT1125" s="376">
        <v>0</v>
      </c>
      <c r="AU1125" s="355" t="s">
        <v>396</v>
      </c>
      <c r="AV1125" s="353" t="s">
        <v>397</v>
      </c>
      <c r="AW1125" s="353">
        <v>0</v>
      </c>
      <c r="AX1125" s="353">
        <v>0</v>
      </c>
      <c r="AY1125" s="353">
        <v>0</v>
      </c>
      <c r="AZ1125" s="353">
        <v>0</v>
      </c>
      <c r="BA1125" s="353">
        <v>0</v>
      </c>
      <c r="BB1125" s="353">
        <v>0</v>
      </c>
    </row>
    <row r="1126" spans="1:54" x14ac:dyDescent="0.25">
      <c r="A1126" s="348" t="s">
        <v>1567</v>
      </c>
      <c r="B1126" s="349">
        <v>176</v>
      </c>
      <c r="C1126" s="423">
        <v>45200</v>
      </c>
      <c r="D1126" s="351">
        <v>45224</v>
      </c>
      <c r="F1126" s="353">
        <v>6</v>
      </c>
      <c r="G1126" s="352" t="s">
        <v>1572</v>
      </c>
      <c r="H1126" s="350" t="s">
        <v>1578</v>
      </c>
      <c r="I1126" s="350" t="s">
        <v>393</v>
      </c>
      <c r="J1126" s="375">
        <v>200000</v>
      </c>
      <c r="K1126" s="350" t="s">
        <v>394</v>
      </c>
      <c r="L1126" s="354">
        <v>2802.3999950000002</v>
      </c>
      <c r="M1126" s="354">
        <f t="shared" si="897"/>
        <v>71.367399499299523</v>
      </c>
      <c r="N1126" s="353" t="s">
        <v>395</v>
      </c>
      <c r="O1126" s="354">
        <v>0</v>
      </c>
      <c r="P1126" s="374"/>
      <c r="Q1126" s="354">
        <v>0</v>
      </c>
      <c r="R1126" s="354">
        <v>0</v>
      </c>
      <c r="S1126" s="354">
        <v>0</v>
      </c>
      <c r="T1126" s="354">
        <v>0</v>
      </c>
      <c r="U1126" s="374"/>
      <c r="V1126" s="354">
        <v>0</v>
      </c>
      <c r="W1126" s="354">
        <v>0</v>
      </c>
      <c r="X1126" s="354">
        <v>0</v>
      </c>
      <c r="Y1126" s="374"/>
      <c r="Z1126" s="354">
        <v>0</v>
      </c>
      <c r="AA1126" s="354">
        <v>0</v>
      </c>
      <c r="AB1126" s="374"/>
      <c r="AC1126" s="376">
        <v>0</v>
      </c>
      <c r="AD1126" s="376">
        <v>0</v>
      </c>
      <c r="AE1126" s="376">
        <v>0</v>
      </c>
      <c r="AF1126" s="374"/>
      <c r="AG1126" s="376">
        <v>0</v>
      </c>
      <c r="AH1126" s="376">
        <v>0</v>
      </c>
      <c r="AI1126" s="376">
        <v>0</v>
      </c>
      <c r="AJ1126" s="376">
        <v>0</v>
      </c>
      <c r="AK1126" s="374"/>
      <c r="AL1126" s="376">
        <v>0</v>
      </c>
      <c r="AM1126" s="376">
        <v>0</v>
      </c>
      <c r="AN1126" s="376">
        <v>0</v>
      </c>
      <c r="AO1126" s="374"/>
      <c r="AP1126" s="376">
        <v>0</v>
      </c>
      <c r="AQ1126" s="376">
        <v>0</v>
      </c>
      <c r="AR1126" s="374"/>
      <c r="AS1126" s="376">
        <v>0</v>
      </c>
      <c r="AT1126" s="376">
        <v>0</v>
      </c>
      <c r="AU1126" s="355" t="s">
        <v>396</v>
      </c>
      <c r="AV1126" s="353" t="s">
        <v>397</v>
      </c>
      <c r="AW1126" s="353">
        <v>0</v>
      </c>
      <c r="AX1126" s="353">
        <v>0</v>
      </c>
      <c r="AY1126" s="353">
        <v>0</v>
      </c>
      <c r="AZ1126" s="353">
        <v>0</v>
      </c>
      <c r="BA1126" s="353">
        <v>0</v>
      </c>
      <c r="BB1126" s="353">
        <v>0</v>
      </c>
    </row>
    <row r="1127" spans="1:54" x14ac:dyDescent="0.25">
      <c r="A1127" s="348" t="s">
        <v>1567</v>
      </c>
      <c r="B1127" s="349">
        <v>176</v>
      </c>
      <c r="C1127" s="423">
        <v>45200</v>
      </c>
      <c r="D1127" s="351">
        <v>45224</v>
      </c>
      <c r="F1127" s="353">
        <v>6</v>
      </c>
      <c r="G1127" s="352" t="s">
        <v>1572</v>
      </c>
      <c r="H1127" s="350" t="s">
        <v>1016</v>
      </c>
      <c r="I1127" s="350" t="s">
        <v>393</v>
      </c>
      <c r="J1127" s="375">
        <v>410000</v>
      </c>
      <c r="K1127" s="350" t="s">
        <v>394</v>
      </c>
      <c r="L1127" s="354">
        <v>2802.3999950000002</v>
      </c>
      <c r="M1127" s="354">
        <f t="shared" si="897"/>
        <v>146.30316897356403</v>
      </c>
      <c r="N1127" s="353" t="s">
        <v>395</v>
      </c>
      <c r="O1127" s="354">
        <v>0</v>
      </c>
      <c r="P1127" s="374"/>
      <c r="Q1127" s="354">
        <v>0</v>
      </c>
      <c r="R1127" s="354">
        <v>0</v>
      </c>
      <c r="S1127" s="354">
        <v>0</v>
      </c>
      <c r="T1127" s="354">
        <v>0</v>
      </c>
      <c r="U1127" s="374"/>
      <c r="V1127" s="354">
        <v>0</v>
      </c>
      <c r="W1127" s="354">
        <v>0</v>
      </c>
      <c r="X1127" s="354">
        <v>0</v>
      </c>
      <c r="Y1127" s="374"/>
      <c r="Z1127" s="354">
        <v>0</v>
      </c>
      <c r="AA1127" s="354">
        <v>0</v>
      </c>
      <c r="AB1127" s="374"/>
      <c r="AC1127" s="376">
        <v>0</v>
      </c>
      <c r="AD1127" s="376">
        <v>0</v>
      </c>
      <c r="AE1127" s="376">
        <v>0</v>
      </c>
      <c r="AF1127" s="374"/>
      <c r="AG1127" s="376">
        <v>0</v>
      </c>
      <c r="AH1127" s="376">
        <v>0</v>
      </c>
      <c r="AI1127" s="376">
        <v>0</v>
      </c>
      <c r="AJ1127" s="376">
        <v>0</v>
      </c>
      <c r="AK1127" s="374"/>
      <c r="AL1127" s="376">
        <v>0</v>
      </c>
      <c r="AM1127" s="376">
        <v>0</v>
      </c>
      <c r="AN1127" s="376">
        <v>0</v>
      </c>
      <c r="AO1127" s="374"/>
      <c r="AP1127" s="376">
        <v>0</v>
      </c>
      <c r="AQ1127" s="376">
        <v>0</v>
      </c>
      <c r="AR1127" s="374"/>
      <c r="AS1127" s="376">
        <v>0</v>
      </c>
      <c r="AT1127" s="376">
        <v>0</v>
      </c>
      <c r="AU1127" s="355" t="s">
        <v>396</v>
      </c>
      <c r="AV1127" s="353" t="s">
        <v>397</v>
      </c>
      <c r="AW1127" s="353">
        <v>0</v>
      </c>
      <c r="AX1127" s="353">
        <v>0</v>
      </c>
      <c r="AY1127" s="353">
        <v>0</v>
      </c>
      <c r="AZ1127" s="353">
        <v>0</v>
      </c>
      <c r="BA1127" s="353">
        <v>0</v>
      </c>
      <c r="BB1127" s="353">
        <v>0</v>
      </c>
    </row>
    <row r="1128" spans="1:54" x14ac:dyDescent="0.25">
      <c r="A1128" s="348" t="s">
        <v>1567</v>
      </c>
      <c r="B1128" s="349">
        <v>176</v>
      </c>
      <c r="C1128" s="423">
        <v>45200</v>
      </c>
      <c r="D1128" s="351">
        <v>45224</v>
      </c>
      <c r="F1128" s="353">
        <v>6</v>
      </c>
      <c r="G1128" s="352" t="s">
        <v>1572</v>
      </c>
      <c r="H1128" s="350" t="s">
        <v>1234</v>
      </c>
      <c r="I1128" s="350" t="s">
        <v>393</v>
      </c>
      <c r="J1128" s="375">
        <v>1394000</v>
      </c>
      <c r="K1128" s="350" t="s">
        <v>394</v>
      </c>
      <c r="L1128" s="354">
        <v>2802.3999950000002</v>
      </c>
      <c r="M1128" s="354">
        <f t="shared" si="897"/>
        <v>497.43077451011766</v>
      </c>
      <c r="N1128" s="353" t="s">
        <v>395</v>
      </c>
      <c r="O1128" s="354">
        <v>0</v>
      </c>
      <c r="P1128" s="374"/>
      <c r="Q1128" s="354">
        <v>0</v>
      </c>
      <c r="R1128" s="354">
        <v>0</v>
      </c>
      <c r="S1128" s="354">
        <v>0</v>
      </c>
      <c r="T1128" s="354">
        <v>0</v>
      </c>
      <c r="U1128" s="374"/>
      <c r="V1128" s="354">
        <v>0</v>
      </c>
      <c r="W1128" s="354">
        <v>0</v>
      </c>
      <c r="X1128" s="354">
        <v>0</v>
      </c>
      <c r="Y1128" s="374"/>
      <c r="Z1128" s="354">
        <v>0</v>
      </c>
      <c r="AA1128" s="354">
        <v>0</v>
      </c>
      <c r="AB1128" s="374"/>
      <c r="AC1128" s="376">
        <v>0</v>
      </c>
      <c r="AD1128" s="376">
        <v>0</v>
      </c>
      <c r="AE1128" s="376">
        <v>0</v>
      </c>
      <c r="AF1128" s="374"/>
      <c r="AG1128" s="376">
        <v>0</v>
      </c>
      <c r="AH1128" s="376">
        <v>0</v>
      </c>
      <c r="AI1128" s="376">
        <v>0</v>
      </c>
      <c r="AJ1128" s="376">
        <v>0</v>
      </c>
      <c r="AK1128" s="374"/>
      <c r="AL1128" s="376">
        <v>0</v>
      </c>
      <c r="AM1128" s="376">
        <v>0</v>
      </c>
      <c r="AN1128" s="376">
        <v>0</v>
      </c>
      <c r="AO1128" s="374"/>
      <c r="AP1128" s="376">
        <v>0</v>
      </c>
      <c r="AQ1128" s="376">
        <v>0</v>
      </c>
      <c r="AR1128" s="374"/>
      <c r="AS1128" s="376">
        <v>0</v>
      </c>
      <c r="AT1128" s="376">
        <v>0</v>
      </c>
      <c r="AU1128" s="355" t="s">
        <v>396</v>
      </c>
      <c r="AV1128" s="353" t="s">
        <v>397</v>
      </c>
      <c r="AW1128" s="353">
        <v>0</v>
      </c>
      <c r="AX1128" s="353">
        <v>0</v>
      </c>
      <c r="AY1128" s="353">
        <v>0</v>
      </c>
      <c r="AZ1128" s="353">
        <v>0</v>
      </c>
      <c r="BA1128" s="353">
        <v>0</v>
      </c>
      <c r="BB1128" s="353">
        <v>0</v>
      </c>
    </row>
    <row r="1129" spans="1:54" x14ac:dyDescent="0.25">
      <c r="A1129" s="348" t="s">
        <v>1567</v>
      </c>
      <c r="B1129" s="349">
        <v>176</v>
      </c>
      <c r="C1129" s="423">
        <v>45200</v>
      </c>
      <c r="D1129" s="351">
        <v>45224</v>
      </c>
      <c r="F1129" s="353">
        <v>6</v>
      </c>
      <c r="G1129" s="352" t="s">
        <v>1572</v>
      </c>
      <c r="H1129" s="350" t="s">
        <v>1579</v>
      </c>
      <c r="I1129" s="350" t="s">
        <v>393</v>
      </c>
      <c r="J1129" s="375">
        <v>164000</v>
      </c>
      <c r="K1129" s="350" t="s">
        <v>394</v>
      </c>
      <c r="L1129" s="354">
        <v>2802.3999950000002</v>
      </c>
      <c r="M1129" s="354">
        <f t="shared" si="897"/>
        <v>58.521267589425605</v>
      </c>
      <c r="N1129" s="353" t="s">
        <v>395</v>
      </c>
      <c r="O1129" s="354">
        <v>0</v>
      </c>
      <c r="P1129" s="374"/>
      <c r="Q1129" s="354">
        <v>0</v>
      </c>
      <c r="R1129" s="354">
        <v>0</v>
      </c>
      <c r="S1129" s="354">
        <v>0</v>
      </c>
      <c r="T1129" s="354">
        <v>0</v>
      </c>
      <c r="U1129" s="374"/>
      <c r="V1129" s="354">
        <v>0</v>
      </c>
      <c r="W1129" s="354">
        <v>0</v>
      </c>
      <c r="X1129" s="354">
        <v>0</v>
      </c>
      <c r="Y1129" s="374"/>
      <c r="Z1129" s="354">
        <v>0</v>
      </c>
      <c r="AA1129" s="354">
        <v>0</v>
      </c>
      <c r="AB1129" s="374"/>
      <c r="AC1129" s="376">
        <v>0</v>
      </c>
      <c r="AD1129" s="376">
        <v>0</v>
      </c>
      <c r="AE1129" s="376">
        <v>0</v>
      </c>
      <c r="AF1129" s="374"/>
      <c r="AG1129" s="376">
        <v>0</v>
      </c>
      <c r="AH1129" s="376">
        <v>0</v>
      </c>
      <c r="AI1129" s="376">
        <v>0</v>
      </c>
      <c r="AJ1129" s="376">
        <v>0</v>
      </c>
      <c r="AK1129" s="374"/>
      <c r="AL1129" s="376">
        <v>0</v>
      </c>
      <c r="AM1129" s="376">
        <v>0</v>
      </c>
      <c r="AN1129" s="376">
        <v>0</v>
      </c>
      <c r="AO1129" s="374"/>
      <c r="AP1129" s="376">
        <v>0</v>
      </c>
      <c r="AQ1129" s="376">
        <v>0</v>
      </c>
      <c r="AR1129" s="374"/>
      <c r="AS1129" s="376">
        <v>0</v>
      </c>
      <c r="AT1129" s="376">
        <v>0</v>
      </c>
      <c r="AU1129" s="355" t="s">
        <v>396</v>
      </c>
      <c r="AV1129" s="353" t="s">
        <v>397</v>
      </c>
      <c r="AW1129" s="353">
        <v>0</v>
      </c>
      <c r="AX1129" s="353">
        <v>0</v>
      </c>
      <c r="AY1129" s="353">
        <v>0</v>
      </c>
      <c r="AZ1129" s="353">
        <v>0</v>
      </c>
      <c r="BA1129" s="353">
        <v>0</v>
      </c>
      <c r="BB1129" s="353">
        <v>0</v>
      </c>
    </row>
    <row r="1130" spans="1:54" x14ac:dyDescent="0.25">
      <c r="A1130" s="348" t="s">
        <v>1568</v>
      </c>
      <c r="B1130" s="349">
        <v>177</v>
      </c>
      <c r="C1130" s="423">
        <v>45200</v>
      </c>
      <c r="D1130" s="351">
        <v>45224</v>
      </c>
      <c r="F1130" s="353">
        <v>6</v>
      </c>
      <c r="G1130" s="352" t="s">
        <v>1572</v>
      </c>
      <c r="H1130" s="350" t="s">
        <v>351</v>
      </c>
      <c r="I1130" s="350" t="s">
        <v>393</v>
      </c>
      <c r="J1130" s="375">
        <v>720000</v>
      </c>
      <c r="K1130" s="350" t="s">
        <v>394</v>
      </c>
      <c r="L1130" s="354">
        <v>2802.3999950000002</v>
      </c>
      <c r="M1130" s="354">
        <f t="shared" si="897"/>
        <v>256.92263819747831</v>
      </c>
      <c r="N1130" s="353" t="s">
        <v>395</v>
      </c>
      <c r="O1130" s="354">
        <v>0</v>
      </c>
      <c r="P1130" s="374"/>
      <c r="Q1130" s="354">
        <v>0</v>
      </c>
      <c r="R1130" s="354">
        <v>0</v>
      </c>
      <c r="S1130" s="354">
        <v>0</v>
      </c>
      <c r="T1130" s="354">
        <v>0</v>
      </c>
      <c r="U1130" s="374"/>
      <c r="V1130" s="354">
        <v>0</v>
      </c>
      <c r="W1130" s="354">
        <v>0</v>
      </c>
      <c r="X1130" s="354">
        <v>0</v>
      </c>
      <c r="Y1130" s="374"/>
      <c r="Z1130" s="354">
        <v>0</v>
      </c>
      <c r="AA1130" s="354">
        <v>0</v>
      </c>
      <c r="AB1130" s="374"/>
      <c r="AC1130" s="376">
        <v>0</v>
      </c>
      <c r="AD1130" s="376">
        <v>0</v>
      </c>
      <c r="AE1130" s="376">
        <v>0</v>
      </c>
      <c r="AF1130" s="374"/>
      <c r="AG1130" s="376">
        <v>0</v>
      </c>
      <c r="AH1130" s="376">
        <v>0</v>
      </c>
      <c r="AI1130" s="376">
        <v>0</v>
      </c>
      <c r="AJ1130" s="376">
        <v>0</v>
      </c>
      <c r="AK1130" s="374"/>
      <c r="AL1130" s="376">
        <v>0</v>
      </c>
      <c r="AM1130" s="376">
        <v>0</v>
      </c>
      <c r="AN1130" s="376">
        <v>0</v>
      </c>
      <c r="AO1130" s="374"/>
      <c r="AP1130" s="376">
        <v>0</v>
      </c>
      <c r="AQ1130" s="376">
        <v>0</v>
      </c>
      <c r="AR1130" s="374"/>
      <c r="AS1130" s="376">
        <v>0</v>
      </c>
      <c r="AT1130" s="376">
        <v>0</v>
      </c>
      <c r="AU1130" s="355" t="s">
        <v>396</v>
      </c>
      <c r="AV1130" s="353" t="s">
        <v>397</v>
      </c>
      <c r="AW1130" s="353">
        <v>0</v>
      </c>
      <c r="AX1130" s="353">
        <v>0</v>
      </c>
      <c r="AY1130" s="353">
        <v>0</v>
      </c>
      <c r="AZ1130" s="353">
        <v>0</v>
      </c>
      <c r="BA1130" s="353">
        <v>0</v>
      </c>
      <c r="BB1130" s="353">
        <v>0</v>
      </c>
    </row>
    <row r="1131" spans="1:54" x14ac:dyDescent="0.25">
      <c r="A1131" s="348" t="s">
        <v>1569</v>
      </c>
      <c r="B1131" s="349">
        <v>178</v>
      </c>
      <c r="C1131" s="423">
        <v>45200</v>
      </c>
      <c r="D1131" s="351">
        <v>45230</v>
      </c>
      <c r="F1131" s="353">
        <v>6</v>
      </c>
      <c r="G1131" s="352" t="s">
        <v>1572</v>
      </c>
      <c r="H1131" s="350" t="s">
        <v>351</v>
      </c>
      <c r="I1131" s="350" t="s">
        <v>393</v>
      </c>
      <c r="J1131" s="375">
        <v>240000</v>
      </c>
      <c r="K1131" s="350" t="s">
        <v>394</v>
      </c>
      <c r="L1131" s="354">
        <v>2802.3999950000002</v>
      </c>
      <c r="M1131" s="354">
        <f t="shared" si="897"/>
        <v>85.640879399159431</v>
      </c>
      <c r="N1131" s="353" t="s">
        <v>395</v>
      </c>
      <c r="O1131" s="354">
        <v>0</v>
      </c>
      <c r="P1131" s="374"/>
      <c r="Q1131" s="354">
        <v>0</v>
      </c>
      <c r="R1131" s="354">
        <v>0</v>
      </c>
      <c r="S1131" s="354">
        <v>0</v>
      </c>
      <c r="T1131" s="354">
        <v>0</v>
      </c>
      <c r="U1131" s="374"/>
      <c r="V1131" s="354">
        <v>0</v>
      </c>
      <c r="W1131" s="354">
        <v>0</v>
      </c>
      <c r="X1131" s="354">
        <v>0</v>
      </c>
      <c r="Y1131" s="374"/>
      <c r="Z1131" s="354">
        <v>0</v>
      </c>
      <c r="AA1131" s="354">
        <v>0</v>
      </c>
      <c r="AB1131" s="374"/>
      <c r="AC1131" s="376">
        <v>0</v>
      </c>
      <c r="AD1131" s="376">
        <v>0</v>
      </c>
      <c r="AE1131" s="376">
        <v>0</v>
      </c>
      <c r="AF1131" s="374"/>
      <c r="AG1131" s="376">
        <v>0</v>
      </c>
      <c r="AH1131" s="376">
        <v>0</v>
      </c>
      <c r="AI1131" s="376">
        <v>0</v>
      </c>
      <c r="AJ1131" s="376">
        <v>0</v>
      </c>
      <c r="AK1131" s="374"/>
      <c r="AL1131" s="376">
        <v>0</v>
      </c>
      <c r="AM1131" s="376">
        <v>0</v>
      </c>
      <c r="AN1131" s="376">
        <v>0</v>
      </c>
      <c r="AO1131" s="374"/>
      <c r="AP1131" s="376">
        <v>0</v>
      </c>
      <c r="AQ1131" s="376">
        <v>0</v>
      </c>
      <c r="AR1131" s="374"/>
      <c r="AS1131" s="376">
        <v>0</v>
      </c>
      <c r="AT1131" s="376">
        <v>0</v>
      </c>
      <c r="AU1131" s="355" t="s">
        <v>396</v>
      </c>
      <c r="AV1131" s="353" t="s">
        <v>397</v>
      </c>
      <c r="AW1131" s="353">
        <v>0</v>
      </c>
      <c r="AX1131" s="353">
        <v>0</v>
      </c>
      <c r="AY1131" s="353">
        <v>0</v>
      </c>
      <c r="AZ1131" s="353">
        <v>0</v>
      </c>
      <c r="BA1131" s="353">
        <v>0</v>
      </c>
      <c r="BB1131" s="353">
        <v>0</v>
      </c>
    </row>
    <row r="1132" spans="1:54" x14ac:dyDescent="0.25">
      <c r="A1132" s="348" t="s">
        <v>1570</v>
      </c>
      <c r="B1132" s="349">
        <v>179</v>
      </c>
      <c r="C1132" s="423">
        <v>45200</v>
      </c>
      <c r="D1132" s="351">
        <v>45217</v>
      </c>
      <c r="F1132" s="353">
        <v>6</v>
      </c>
      <c r="G1132" s="352" t="s">
        <v>1572</v>
      </c>
      <c r="H1132" s="350" t="s">
        <v>1385</v>
      </c>
      <c r="I1132" s="350" t="s">
        <v>393</v>
      </c>
      <c r="J1132" s="375">
        <v>2456000</v>
      </c>
      <c r="K1132" s="350" t="s">
        <v>394</v>
      </c>
      <c r="L1132" s="354">
        <v>2802.3999950000002</v>
      </c>
      <c r="M1132" s="354">
        <f t="shared" si="897"/>
        <v>876.3916658513981</v>
      </c>
      <c r="N1132" s="353" t="s">
        <v>395</v>
      </c>
      <c r="O1132" s="354">
        <v>0</v>
      </c>
      <c r="P1132" s="374"/>
      <c r="Q1132" s="354">
        <v>0</v>
      </c>
      <c r="R1132" s="354">
        <v>0</v>
      </c>
      <c r="S1132" s="354">
        <v>0</v>
      </c>
      <c r="T1132" s="354">
        <v>0</v>
      </c>
      <c r="U1132" s="374"/>
      <c r="V1132" s="354">
        <v>0</v>
      </c>
      <c r="W1132" s="354">
        <v>0</v>
      </c>
      <c r="X1132" s="354">
        <v>0</v>
      </c>
      <c r="Y1132" s="374"/>
      <c r="Z1132" s="354">
        <v>0</v>
      </c>
      <c r="AA1132" s="354">
        <v>0</v>
      </c>
      <c r="AB1132" s="374"/>
      <c r="AC1132" s="376">
        <v>0</v>
      </c>
      <c r="AD1132" s="376">
        <v>0</v>
      </c>
      <c r="AE1132" s="376">
        <v>0</v>
      </c>
      <c r="AF1132" s="374"/>
      <c r="AG1132" s="376">
        <v>0</v>
      </c>
      <c r="AH1132" s="376">
        <v>0</v>
      </c>
      <c r="AI1132" s="376">
        <v>0</v>
      </c>
      <c r="AJ1132" s="376">
        <v>0</v>
      </c>
      <c r="AK1132" s="374"/>
      <c r="AL1132" s="376">
        <v>0</v>
      </c>
      <c r="AM1132" s="376">
        <v>0</v>
      </c>
      <c r="AN1132" s="376">
        <v>0</v>
      </c>
      <c r="AO1132" s="374"/>
      <c r="AP1132" s="376">
        <v>0</v>
      </c>
      <c r="AQ1132" s="376">
        <v>0</v>
      </c>
      <c r="AR1132" s="374"/>
      <c r="AS1132" s="376">
        <v>0</v>
      </c>
      <c r="AT1132" s="376">
        <v>0</v>
      </c>
      <c r="AU1132" s="355" t="s">
        <v>396</v>
      </c>
      <c r="AV1132" s="353" t="s">
        <v>397</v>
      </c>
      <c r="AW1132" s="353">
        <v>0</v>
      </c>
      <c r="AX1132" s="353">
        <v>0</v>
      </c>
      <c r="AY1132" s="353">
        <v>0</v>
      </c>
      <c r="AZ1132" s="353">
        <v>0</v>
      </c>
      <c r="BA1132" s="353">
        <v>0</v>
      </c>
      <c r="BB1132" s="353">
        <v>0</v>
      </c>
    </row>
    <row r="1133" spans="1:54" x14ac:dyDescent="0.25">
      <c r="A1133" s="348" t="s">
        <v>1571</v>
      </c>
      <c r="B1133" s="349">
        <v>180</v>
      </c>
      <c r="C1133" s="423">
        <v>45200</v>
      </c>
      <c r="D1133" s="351">
        <v>45224</v>
      </c>
      <c r="F1133" s="353">
        <v>6</v>
      </c>
      <c r="G1133" s="352" t="s">
        <v>1572</v>
      </c>
      <c r="H1133" s="350" t="s">
        <v>1385</v>
      </c>
      <c r="I1133" s="350" t="s">
        <v>393</v>
      </c>
      <c r="J1133" s="375">
        <v>3684000</v>
      </c>
      <c r="K1133" s="350" t="s">
        <v>394</v>
      </c>
      <c r="L1133" s="354">
        <v>2802.3999950000002</v>
      </c>
      <c r="M1133" s="354">
        <f t="shared" si="897"/>
        <v>1314.5874987770972</v>
      </c>
      <c r="N1133" s="353" t="s">
        <v>395</v>
      </c>
      <c r="O1133" s="354">
        <v>0</v>
      </c>
      <c r="P1133" s="374"/>
      <c r="Q1133" s="354">
        <v>0</v>
      </c>
      <c r="R1133" s="354">
        <v>0</v>
      </c>
      <c r="S1133" s="354">
        <v>0</v>
      </c>
      <c r="T1133" s="354">
        <v>0</v>
      </c>
      <c r="U1133" s="374"/>
      <c r="V1133" s="354">
        <v>0</v>
      </c>
      <c r="W1133" s="354">
        <v>0</v>
      </c>
      <c r="X1133" s="354">
        <v>0</v>
      </c>
      <c r="Y1133" s="374"/>
      <c r="Z1133" s="354">
        <v>0</v>
      </c>
      <c r="AA1133" s="354">
        <v>0</v>
      </c>
      <c r="AB1133" s="374"/>
      <c r="AC1133" s="376">
        <v>0</v>
      </c>
      <c r="AD1133" s="376">
        <v>0</v>
      </c>
      <c r="AE1133" s="376">
        <v>0</v>
      </c>
      <c r="AF1133" s="374"/>
      <c r="AG1133" s="376">
        <v>0</v>
      </c>
      <c r="AH1133" s="376">
        <v>0</v>
      </c>
      <c r="AI1133" s="376">
        <v>0</v>
      </c>
      <c r="AJ1133" s="376">
        <v>0</v>
      </c>
      <c r="AK1133" s="374"/>
      <c r="AL1133" s="376">
        <v>0</v>
      </c>
      <c r="AM1133" s="376">
        <v>0</v>
      </c>
      <c r="AN1133" s="376">
        <v>0</v>
      </c>
      <c r="AO1133" s="374"/>
      <c r="AP1133" s="376">
        <v>0</v>
      </c>
      <c r="AQ1133" s="376">
        <v>0</v>
      </c>
      <c r="AR1133" s="374"/>
      <c r="AS1133" s="376">
        <v>0</v>
      </c>
      <c r="AT1133" s="376">
        <v>0</v>
      </c>
      <c r="AU1133" s="355" t="s">
        <v>396</v>
      </c>
      <c r="AV1133" s="353" t="s">
        <v>397</v>
      </c>
      <c r="AW1133" s="353">
        <v>0</v>
      </c>
      <c r="AX1133" s="353">
        <v>0</v>
      </c>
      <c r="AY1133" s="353">
        <v>0</v>
      </c>
      <c r="AZ1133" s="353">
        <v>0</v>
      </c>
      <c r="BA1133" s="353">
        <v>0</v>
      </c>
      <c r="BB1133" s="353">
        <v>0</v>
      </c>
    </row>
    <row r="1134" spans="1:54" x14ac:dyDescent="0.25">
      <c r="A1134" s="348" t="s">
        <v>1580</v>
      </c>
      <c r="B1134" s="349">
        <v>181</v>
      </c>
      <c r="C1134" s="423">
        <v>45200</v>
      </c>
      <c r="D1134" s="351">
        <v>45216</v>
      </c>
      <c r="F1134" s="353">
        <v>6</v>
      </c>
      <c r="G1134" s="427" t="s">
        <v>1587</v>
      </c>
      <c r="H1134" s="350" t="s">
        <v>1592</v>
      </c>
      <c r="I1134" s="350" t="s">
        <v>393</v>
      </c>
      <c r="J1134" s="375">
        <v>7150000</v>
      </c>
      <c r="K1134" s="350" t="s">
        <v>394</v>
      </c>
      <c r="L1134" s="354">
        <v>2802.3999950000002</v>
      </c>
      <c r="M1134" s="375">
        <f t="shared" si="897"/>
        <v>2551.3845320999581</v>
      </c>
      <c r="N1134" s="354" t="s">
        <v>395</v>
      </c>
      <c r="O1134" s="354">
        <v>0</v>
      </c>
      <c r="P1134" s="374"/>
      <c r="Q1134" s="354">
        <v>0</v>
      </c>
      <c r="R1134" s="354">
        <v>0</v>
      </c>
      <c r="S1134" s="354">
        <v>0</v>
      </c>
      <c r="T1134" s="354">
        <v>0</v>
      </c>
      <c r="U1134" s="374"/>
      <c r="V1134" s="354">
        <v>0</v>
      </c>
      <c r="W1134" s="354">
        <v>0</v>
      </c>
      <c r="X1134" s="354">
        <v>0</v>
      </c>
      <c r="Y1134" s="374"/>
      <c r="Z1134" s="354">
        <v>0</v>
      </c>
      <c r="AA1134" s="354">
        <v>0</v>
      </c>
      <c r="AB1134" s="374"/>
      <c r="AC1134" s="376">
        <v>0</v>
      </c>
      <c r="AD1134" s="376">
        <v>0</v>
      </c>
      <c r="AE1134" s="376">
        <v>0</v>
      </c>
      <c r="AF1134" s="374"/>
      <c r="AG1134" s="376">
        <v>0</v>
      </c>
      <c r="AH1134" s="376">
        <v>0</v>
      </c>
      <c r="AI1134" s="376">
        <v>0</v>
      </c>
      <c r="AJ1134" s="376">
        <v>0</v>
      </c>
      <c r="AK1134" s="374"/>
      <c r="AL1134" s="376">
        <v>0</v>
      </c>
      <c r="AM1134" s="376">
        <v>0</v>
      </c>
      <c r="AN1134" s="376">
        <v>0</v>
      </c>
      <c r="AO1134" s="374"/>
      <c r="AP1134" s="376">
        <v>0</v>
      </c>
      <c r="AQ1134" s="376">
        <v>0</v>
      </c>
      <c r="AR1134" s="374"/>
      <c r="AS1134" s="376">
        <v>0</v>
      </c>
      <c r="AT1134" s="376">
        <v>0</v>
      </c>
      <c r="AU1134" s="355" t="s">
        <v>396</v>
      </c>
      <c r="AV1134" s="353" t="s">
        <v>397</v>
      </c>
      <c r="AW1134" s="353">
        <v>0</v>
      </c>
      <c r="AX1134" s="353">
        <v>0</v>
      </c>
      <c r="AY1134" s="353">
        <v>0</v>
      </c>
      <c r="AZ1134" s="353">
        <v>0</v>
      </c>
      <c r="BA1134" s="353">
        <v>0</v>
      </c>
      <c r="BB1134" s="353">
        <v>0</v>
      </c>
    </row>
    <row r="1135" spans="1:54" x14ac:dyDescent="0.25">
      <c r="A1135" s="348" t="s">
        <v>1581</v>
      </c>
      <c r="B1135" s="349">
        <v>182</v>
      </c>
      <c r="C1135" s="423">
        <v>45200</v>
      </c>
      <c r="D1135" s="351">
        <v>45216</v>
      </c>
      <c r="F1135" s="353">
        <v>6</v>
      </c>
      <c r="G1135" s="427" t="s">
        <v>1587</v>
      </c>
      <c r="H1135" s="350" t="s">
        <v>1168</v>
      </c>
      <c r="I1135" s="350" t="s">
        <v>393</v>
      </c>
      <c r="J1135" s="375">
        <f>261238+265941</f>
        <v>527179</v>
      </c>
      <c r="K1135" s="350" t="s">
        <v>394</v>
      </c>
      <c r="L1135" s="354">
        <v>2802.3999950000002</v>
      </c>
      <c r="M1135" s="375">
        <f t="shared" si="897"/>
        <v>188.11697150320612</v>
      </c>
      <c r="N1135" s="354" t="s">
        <v>395</v>
      </c>
      <c r="O1135" s="354">
        <v>0</v>
      </c>
      <c r="P1135" s="374"/>
      <c r="Q1135" s="354">
        <v>0</v>
      </c>
      <c r="R1135" s="354">
        <v>0</v>
      </c>
      <c r="S1135" s="354">
        <v>0</v>
      </c>
      <c r="T1135" s="354">
        <v>0</v>
      </c>
      <c r="U1135" s="374"/>
      <c r="V1135" s="354">
        <v>0</v>
      </c>
      <c r="W1135" s="354">
        <v>0</v>
      </c>
      <c r="X1135" s="354">
        <v>0</v>
      </c>
      <c r="Y1135" s="374"/>
      <c r="Z1135" s="354">
        <v>0</v>
      </c>
      <c r="AA1135" s="354">
        <v>0</v>
      </c>
      <c r="AB1135" s="374"/>
      <c r="AC1135" s="376">
        <v>0</v>
      </c>
      <c r="AD1135" s="376">
        <v>0</v>
      </c>
      <c r="AE1135" s="376">
        <v>0</v>
      </c>
      <c r="AF1135" s="374"/>
      <c r="AG1135" s="376">
        <v>0</v>
      </c>
      <c r="AH1135" s="376">
        <v>0</v>
      </c>
      <c r="AI1135" s="376">
        <v>0</v>
      </c>
      <c r="AJ1135" s="376">
        <v>0</v>
      </c>
      <c r="AK1135" s="374"/>
      <c r="AL1135" s="376">
        <v>0</v>
      </c>
      <c r="AM1135" s="376">
        <v>0</v>
      </c>
      <c r="AN1135" s="376">
        <v>0</v>
      </c>
      <c r="AO1135" s="374"/>
      <c r="AP1135" s="376">
        <v>0</v>
      </c>
      <c r="AQ1135" s="376">
        <v>0</v>
      </c>
      <c r="AR1135" s="374"/>
      <c r="AS1135" s="376">
        <v>0</v>
      </c>
      <c r="AT1135" s="376">
        <v>0</v>
      </c>
      <c r="AU1135" s="355" t="s">
        <v>396</v>
      </c>
      <c r="AV1135" s="353" t="s">
        <v>397</v>
      </c>
      <c r="AW1135" s="353">
        <v>0</v>
      </c>
      <c r="AX1135" s="353">
        <v>0</v>
      </c>
      <c r="AY1135" s="353">
        <v>0</v>
      </c>
      <c r="AZ1135" s="353">
        <v>0</v>
      </c>
      <c r="BA1135" s="353">
        <v>0</v>
      </c>
      <c r="BB1135" s="353">
        <v>0</v>
      </c>
    </row>
    <row r="1136" spans="1:54" x14ac:dyDescent="0.25">
      <c r="A1136" s="348" t="s">
        <v>1581</v>
      </c>
      <c r="B1136" s="349">
        <v>183</v>
      </c>
      <c r="C1136" s="423">
        <v>45200</v>
      </c>
      <c r="D1136" s="351">
        <v>45216</v>
      </c>
      <c r="F1136" s="353">
        <v>6</v>
      </c>
      <c r="G1136" s="427" t="s">
        <v>1587</v>
      </c>
      <c r="H1136" s="350" t="s">
        <v>1573</v>
      </c>
      <c r="I1136" s="350" t="s">
        <v>393</v>
      </c>
      <c r="J1136" s="375">
        <f>150000+150000+150000</f>
        <v>450000</v>
      </c>
      <c r="K1136" s="350" t="s">
        <v>394</v>
      </c>
      <c r="L1136" s="354">
        <v>2802.3999950000002</v>
      </c>
      <c r="M1136" s="375">
        <f t="shared" si="897"/>
        <v>160.57664887342392</v>
      </c>
      <c r="N1136" s="354" t="s">
        <v>395</v>
      </c>
      <c r="O1136" s="354">
        <v>0</v>
      </c>
      <c r="P1136" s="374"/>
      <c r="Q1136" s="354">
        <v>0</v>
      </c>
      <c r="R1136" s="354">
        <v>0</v>
      </c>
      <c r="S1136" s="354">
        <v>0</v>
      </c>
      <c r="T1136" s="354">
        <v>0</v>
      </c>
      <c r="U1136" s="374"/>
      <c r="V1136" s="354">
        <v>0</v>
      </c>
      <c r="W1136" s="354">
        <v>0</v>
      </c>
      <c r="X1136" s="354">
        <v>0</v>
      </c>
      <c r="Y1136" s="374"/>
      <c r="Z1136" s="354">
        <v>0</v>
      </c>
      <c r="AA1136" s="354">
        <v>0</v>
      </c>
      <c r="AB1136" s="374"/>
      <c r="AC1136" s="376">
        <v>0</v>
      </c>
      <c r="AD1136" s="376">
        <v>0</v>
      </c>
      <c r="AE1136" s="376">
        <v>0</v>
      </c>
      <c r="AF1136" s="374"/>
      <c r="AG1136" s="376">
        <v>0</v>
      </c>
      <c r="AH1136" s="376">
        <v>0</v>
      </c>
      <c r="AI1136" s="376">
        <v>0</v>
      </c>
      <c r="AJ1136" s="376">
        <v>0</v>
      </c>
      <c r="AK1136" s="374"/>
      <c r="AL1136" s="376">
        <v>0</v>
      </c>
      <c r="AM1136" s="376">
        <v>0</v>
      </c>
      <c r="AN1136" s="376">
        <v>0</v>
      </c>
      <c r="AO1136" s="374"/>
      <c r="AP1136" s="376">
        <v>0</v>
      </c>
      <c r="AQ1136" s="376">
        <v>0</v>
      </c>
      <c r="AR1136" s="374"/>
      <c r="AS1136" s="376">
        <v>0</v>
      </c>
      <c r="AT1136" s="376">
        <v>0</v>
      </c>
      <c r="AU1136" s="355" t="s">
        <v>396</v>
      </c>
      <c r="AV1136" s="353" t="s">
        <v>397</v>
      </c>
      <c r="AW1136" s="353">
        <v>0</v>
      </c>
      <c r="AX1136" s="353">
        <v>0</v>
      </c>
      <c r="AY1136" s="353">
        <v>0</v>
      </c>
      <c r="AZ1136" s="353">
        <v>0</v>
      </c>
      <c r="BA1136" s="353">
        <v>0</v>
      </c>
      <c r="BB1136" s="353">
        <v>0</v>
      </c>
    </row>
    <row r="1137" spans="1:54" x14ac:dyDescent="0.25">
      <c r="A1137" s="348" t="s">
        <v>1581</v>
      </c>
      <c r="B1137" s="349">
        <v>184</v>
      </c>
      <c r="C1137" s="423">
        <v>45200</v>
      </c>
      <c r="D1137" s="351">
        <v>45216</v>
      </c>
      <c r="F1137" s="353">
        <v>6</v>
      </c>
      <c r="G1137" s="427" t="s">
        <v>1587</v>
      </c>
      <c r="H1137" s="350" t="s">
        <v>1574</v>
      </c>
      <c r="I1137" s="350" t="s">
        <v>393</v>
      </c>
      <c r="J1137" s="375">
        <f>50000+50000</f>
        <v>100000</v>
      </c>
      <c r="K1137" s="350" t="s">
        <v>394</v>
      </c>
      <c r="L1137" s="354">
        <v>2802.3999950000002</v>
      </c>
      <c r="M1137" s="375">
        <f t="shared" si="897"/>
        <v>35.683699749649762</v>
      </c>
      <c r="N1137" s="354" t="s">
        <v>395</v>
      </c>
      <c r="O1137" s="354">
        <v>0</v>
      </c>
      <c r="P1137" s="374"/>
      <c r="Q1137" s="354">
        <v>0</v>
      </c>
      <c r="R1137" s="354">
        <v>0</v>
      </c>
      <c r="S1137" s="354">
        <v>0</v>
      </c>
      <c r="T1137" s="354">
        <v>0</v>
      </c>
      <c r="U1137" s="374"/>
      <c r="V1137" s="354">
        <v>0</v>
      </c>
      <c r="W1137" s="354">
        <v>0</v>
      </c>
      <c r="X1137" s="354">
        <v>0</v>
      </c>
      <c r="Y1137" s="374"/>
      <c r="Z1137" s="354">
        <v>0</v>
      </c>
      <c r="AA1137" s="354">
        <v>0</v>
      </c>
      <c r="AB1137" s="374"/>
      <c r="AC1137" s="376">
        <v>0</v>
      </c>
      <c r="AD1137" s="376">
        <v>0</v>
      </c>
      <c r="AE1137" s="376">
        <v>0</v>
      </c>
      <c r="AF1137" s="374"/>
      <c r="AG1137" s="376">
        <v>0</v>
      </c>
      <c r="AH1137" s="376">
        <v>0</v>
      </c>
      <c r="AI1137" s="376">
        <v>0</v>
      </c>
      <c r="AJ1137" s="376">
        <v>0</v>
      </c>
      <c r="AK1137" s="374"/>
      <c r="AL1137" s="376">
        <v>0</v>
      </c>
      <c r="AM1137" s="376">
        <v>0</v>
      </c>
      <c r="AN1137" s="376">
        <v>0</v>
      </c>
      <c r="AO1137" s="374"/>
      <c r="AP1137" s="376">
        <v>0</v>
      </c>
      <c r="AQ1137" s="376">
        <v>0</v>
      </c>
      <c r="AR1137" s="374"/>
      <c r="AS1137" s="376">
        <v>0</v>
      </c>
      <c r="AT1137" s="376">
        <v>0</v>
      </c>
      <c r="AU1137" s="355" t="s">
        <v>396</v>
      </c>
      <c r="AV1137" s="353" t="s">
        <v>397</v>
      </c>
      <c r="AW1137" s="353">
        <v>0</v>
      </c>
      <c r="AX1137" s="353">
        <v>0</v>
      </c>
      <c r="AY1137" s="353">
        <v>0</v>
      </c>
      <c r="AZ1137" s="353">
        <v>0</v>
      </c>
      <c r="BA1137" s="353">
        <v>0</v>
      </c>
      <c r="BB1137" s="353">
        <v>0</v>
      </c>
    </row>
    <row r="1138" spans="1:54" x14ac:dyDescent="0.25">
      <c r="A1138" s="348" t="s">
        <v>1581</v>
      </c>
      <c r="B1138" s="349">
        <v>185</v>
      </c>
      <c r="C1138" s="423">
        <v>45200</v>
      </c>
      <c r="D1138" s="351">
        <v>45216</v>
      </c>
      <c r="F1138" s="353">
        <v>6</v>
      </c>
      <c r="G1138" s="427" t="s">
        <v>1587</v>
      </c>
      <c r="H1138" s="350" t="s">
        <v>1575</v>
      </c>
      <c r="I1138" s="350" t="s">
        <v>393</v>
      </c>
      <c r="J1138" s="375">
        <v>50000</v>
      </c>
      <c r="K1138" s="350" t="s">
        <v>394</v>
      </c>
      <c r="L1138" s="354">
        <v>2802.3999950000002</v>
      </c>
      <c r="M1138" s="375">
        <f t="shared" si="897"/>
        <v>17.841849874824881</v>
      </c>
      <c r="N1138" s="354" t="s">
        <v>395</v>
      </c>
      <c r="O1138" s="354">
        <v>0</v>
      </c>
      <c r="P1138" s="374"/>
      <c r="Q1138" s="354">
        <v>0</v>
      </c>
      <c r="R1138" s="354">
        <v>0</v>
      </c>
      <c r="S1138" s="354">
        <v>0</v>
      </c>
      <c r="T1138" s="354">
        <v>0</v>
      </c>
      <c r="U1138" s="374"/>
      <c r="V1138" s="354">
        <v>0</v>
      </c>
      <c r="W1138" s="354">
        <v>0</v>
      </c>
      <c r="X1138" s="354">
        <v>0</v>
      </c>
      <c r="Y1138" s="374"/>
      <c r="Z1138" s="354">
        <v>0</v>
      </c>
      <c r="AA1138" s="354">
        <v>0</v>
      </c>
      <c r="AB1138" s="374"/>
      <c r="AC1138" s="376">
        <v>0</v>
      </c>
      <c r="AD1138" s="376">
        <v>0</v>
      </c>
      <c r="AE1138" s="376">
        <v>0</v>
      </c>
      <c r="AF1138" s="374"/>
      <c r="AG1138" s="376">
        <v>0</v>
      </c>
      <c r="AH1138" s="376">
        <v>0</v>
      </c>
      <c r="AI1138" s="376">
        <v>0</v>
      </c>
      <c r="AJ1138" s="376">
        <v>0</v>
      </c>
      <c r="AK1138" s="374"/>
      <c r="AL1138" s="376">
        <v>0</v>
      </c>
      <c r="AM1138" s="376">
        <v>0</v>
      </c>
      <c r="AN1138" s="376">
        <v>0</v>
      </c>
      <c r="AO1138" s="374"/>
      <c r="AP1138" s="376">
        <v>0</v>
      </c>
      <c r="AQ1138" s="376">
        <v>0</v>
      </c>
      <c r="AR1138" s="374"/>
      <c r="AS1138" s="376">
        <v>0</v>
      </c>
      <c r="AT1138" s="376">
        <v>0</v>
      </c>
      <c r="AU1138" s="355" t="s">
        <v>396</v>
      </c>
      <c r="AV1138" s="353" t="s">
        <v>397</v>
      </c>
      <c r="AW1138" s="353">
        <v>0</v>
      </c>
      <c r="AX1138" s="353">
        <v>0</v>
      </c>
      <c r="AY1138" s="353">
        <v>0</v>
      </c>
      <c r="AZ1138" s="353">
        <v>0</v>
      </c>
      <c r="BA1138" s="353">
        <v>0</v>
      </c>
      <c r="BB1138" s="353">
        <v>0</v>
      </c>
    </row>
    <row r="1139" spans="1:54" x14ac:dyDescent="0.25">
      <c r="A1139" s="348" t="s">
        <v>1581</v>
      </c>
      <c r="B1139" s="349">
        <v>186</v>
      </c>
      <c r="C1139" s="423">
        <v>45200</v>
      </c>
      <c r="D1139" s="351">
        <v>45216</v>
      </c>
      <c r="F1139" s="353">
        <v>6</v>
      </c>
      <c r="G1139" s="427" t="s">
        <v>1587</v>
      </c>
      <c r="H1139" s="350" t="s">
        <v>1576</v>
      </c>
      <c r="I1139" s="350" t="s">
        <v>393</v>
      </c>
      <c r="J1139" s="375">
        <v>3000</v>
      </c>
      <c r="K1139" s="350" t="s">
        <v>394</v>
      </c>
      <c r="L1139" s="354">
        <v>2802.3999950000002</v>
      </c>
      <c r="M1139" s="375">
        <f t="shared" si="897"/>
        <v>1.0705109924894929</v>
      </c>
      <c r="N1139" s="354" t="s">
        <v>395</v>
      </c>
      <c r="O1139" s="354">
        <v>0</v>
      </c>
      <c r="P1139" s="374"/>
      <c r="Q1139" s="354">
        <v>0</v>
      </c>
      <c r="R1139" s="354">
        <v>0</v>
      </c>
      <c r="S1139" s="354">
        <v>0</v>
      </c>
      <c r="T1139" s="354">
        <v>0</v>
      </c>
      <c r="U1139" s="374"/>
      <c r="V1139" s="354">
        <v>0</v>
      </c>
      <c r="W1139" s="354">
        <v>0</v>
      </c>
      <c r="X1139" s="354">
        <v>0</v>
      </c>
      <c r="Y1139" s="374"/>
      <c r="Z1139" s="354">
        <v>0</v>
      </c>
      <c r="AA1139" s="354">
        <v>0</v>
      </c>
      <c r="AB1139" s="374"/>
      <c r="AC1139" s="376">
        <v>0</v>
      </c>
      <c r="AD1139" s="376">
        <v>0</v>
      </c>
      <c r="AE1139" s="376">
        <v>0</v>
      </c>
      <c r="AF1139" s="374"/>
      <c r="AG1139" s="376">
        <v>0</v>
      </c>
      <c r="AH1139" s="376">
        <v>0</v>
      </c>
      <c r="AI1139" s="376">
        <v>0</v>
      </c>
      <c r="AJ1139" s="376">
        <v>0</v>
      </c>
      <c r="AK1139" s="374"/>
      <c r="AL1139" s="376">
        <v>0</v>
      </c>
      <c r="AM1139" s="376">
        <v>0</v>
      </c>
      <c r="AN1139" s="376">
        <v>0</v>
      </c>
      <c r="AO1139" s="374"/>
      <c r="AP1139" s="376">
        <v>0</v>
      </c>
      <c r="AQ1139" s="376">
        <v>0</v>
      </c>
      <c r="AR1139" s="374"/>
      <c r="AS1139" s="376">
        <v>0</v>
      </c>
      <c r="AT1139" s="376">
        <v>0</v>
      </c>
      <c r="AU1139" s="355" t="s">
        <v>396</v>
      </c>
      <c r="AV1139" s="353" t="s">
        <v>397</v>
      </c>
      <c r="AW1139" s="353">
        <v>0</v>
      </c>
      <c r="AX1139" s="353">
        <v>0</v>
      </c>
      <c r="AY1139" s="353">
        <v>0</v>
      </c>
      <c r="AZ1139" s="353">
        <v>0</v>
      </c>
      <c r="BA1139" s="353">
        <v>0</v>
      </c>
      <c r="BB1139" s="353">
        <v>0</v>
      </c>
    </row>
    <row r="1140" spans="1:54" x14ac:dyDescent="0.25">
      <c r="A1140" s="348" t="s">
        <v>1581</v>
      </c>
      <c r="B1140" s="349">
        <v>187</v>
      </c>
      <c r="C1140" s="423">
        <v>45200</v>
      </c>
      <c r="D1140" s="351">
        <v>45216</v>
      </c>
      <c r="F1140" s="353">
        <v>6</v>
      </c>
      <c r="G1140" s="427" t="s">
        <v>1587</v>
      </c>
      <c r="H1140" s="350" t="s">
        <v>1588</v>
      </c>
      <c r="I1140" s="350" t="s">
        <v>393</v>
      </c>
      <c r="J1140" s="375">
        <v>30000</v>
      </c>
      <c r="K1140" s="350" t="s">
        <v>394</v>
      </c>
      <c r="L1140" s="354">
        <v>2802.3999950000002</v>
      </c>
      <c r="M1140" s="375">
        <f t="shared" si="897"/>
        <v>10.705109924894929</v>
      </c>
      <c r="N1140" s="354" t="s">
        <v>395</v>
      </c>
      <c r="O1140" s="354">
        <v>0</v>
      </c>
      <c r="P1140" s="374"/>
      <c r="Q1140" s="354">
        <v>0</v>
      </c>
      <c r="R1140" s="354">
        <v>0</v>
      </c>
      <c r="S1140" s="354">
        <v>0</v>
      </c>
      <c r="T1140" s="354">
        <v>0</v>
      </c>
      <c r="U1140" s="374"/>
      <c r="V1140" s="354">
        <v>0</v>
      </c>
      <c r="W1140" s="354">
        <v>0</v>
      </c>
      <c r="X1140" s="354">
        <v>0</v>
      </c>
      <c r="Y1140" s="374"/>
      <c r="Z1140" s="354">
        <v>0</v>
      </c>
      <c r="AA1140" s="354">
        <v>0</v>
      </c>
      <c r="AB1140" s="374"/>
      <c r="AC1140" s="376">
        <v>0</v>
      </c>
      <c r="AD1140" s="376">
        <v>0</v>
      </c>
      <c r="AE1140" s="376">
        <v>0</v>
      </c>
      <c r="AF1140" s="374"/>
      <c r="AG1140" s="376">
        <v>0</v>
      </c>
      <c r="AH1140" s="376">
        <v>0</v>
      </c>
      <c r="AI1140" s="376">
        <v>0</v>
      </c>
      <c r="AJ1140" s="376">
        <v>0</v>
      </c>
      <c r="AK1140" s="374"/>
      <c r="AL1140" s="376">
        <v>0</v>
      </c>
      <c r="AM1140" s="376">
        <v>0</v>
      </c>
      <c r="AN1140" s="376">
        <v>0</v>
      </c>
      <c r="AO1140" s="374"/>
      <c r="AP1140" s="376">
        <v>0</v>
      </c>
      <c r="AQ1140" s="376">
        <v>0</v>
      </c>
      <c r="AR1140" s="374"/>
      <c r="AS1140" s="376">
        <v>0</v>
      </c>
      <c r="AT1140" s="376">
        <v>0</v>
      </c>
      <c r="AU1140" s="355" t="s">
        <v>396</v>
      </c>
      <c r="AV1140" s="353" t="s">
        <v>397</v>
      </c>
      <c r="AW1140" s="353">
        <v>0</v>
      </c>
      <c r="AX1140" s="353">
        <v>0</v>
      </c>
      <c r="AY1140" s="353">
        <v>0</v>
      </c>
      <c r="AZ1140" s="353">
        <v>0</v>
      </c>
      <c r="BA1140" s="353">
        <v>0</v>
      </c>
      <c r="BB1140" s="353">
        <v>0</v>
      </c>
    </row>
    <row r="1141" spans="1:54" x14ac:dyDescent="0.25">
      <c r="A1141" s="348" t="s">
        <v>1581</v>
      </c>
      <c r="B1141" s="349">
        <v>188</v>
      </c>
      <c r="C1141" s="423">
        <v>45200</v>
      </c>
      <c r="D1141" s="351">
        <v>45216</v>
      </c>
      <c r="F1141" s="353">
        <v>6</v>
      </c>
      <c r="G1141" s="427" t="s">
        <v>1587</v>
      </c>
      <c r="H1141" s="350" t="s">
        <v>1164</v>
      </c>
      <c r="I1141" s="350" t="s">
        <v>393</v>
      </c>
      <c r="J1141" s="375">
        <f>120000+120000+105000+15000+360000+320000+210000+280000+270000+240000+210000+105000+210000+210000+280000+280000+280000+120000+120000+105000+210000+260000+260000+230000+230000+210000+280000+120000</f>
        <v>5760000</v>
      </c>
      <c r="K1141" s="350" t="s">
        <v>394</v>
      </c>
      <c r="L1141" s="354">
        <v>2802.3999950000002</v>
      </c>
      <c r="M1141" s="375">
        <f t="shared" si="897"/>
        <v>2055.3811055798265</v>
      </c>
      <c r="N1141" s="354" t="s">
        <v>395</v>
      </c>
      <c r="O1141" s="354">
        <v>0</v>
      </c>
      <c r="P1141" s="374"/>
      <c r="Q1141" s="354">
        <v>0</v>
      </c>
      <c r="R1141" s="354">
        <v>0</v>
      </c>
      <c r="S1141" s="354">
        <v>0</v>
      </c>
      <c r="T1141" s="354">
        <v>0</v>
      </c>
      <c r="U1141" s="374"/>
      <c r="V1141" s="354">
        <v>0</v>
      </c>
      <c r="W1141" s="354">
        <v>0</v>
      </c>
      <c r="X1141" s="354">
        <v>0</v>
      </c>
      <c r="Y1141" s="374"/>
      <c r="Z1141" s="354">
        <v>0</v>
      </c>
      <c r="AA1141" s="354">
        <v>0</v>
      </c>
      <c r="AB1141" s="374"/>
      <c r="AC1141" s="376">
        <v>0</v>
      </c>
      <c r="AD1141" s="376">
        <v>0</v>
      </c>
      <c r="AE1141" s="376">
        <v>0</v>
      </c>
      <c r="AF1141" s="374"/>
      <c r="AG1141" s="376">
        <v>0</v>
      </c>
      <c r="AH1141" s="376">
        <v>0</v>
      </c>
      <c r="AI1141" s="376">
        <v>0</v>
      </c>
      <c r="AJ1141" s="376">
        <v>0</v>
      </c>
      <c r="AK1141" s="374"/>
      <c r="AL1141" s="376">
        <v>0</v>
      </c>
      <c r="AM1141" s="376">
        <v>0</v>
      </c>
      <c r="AN1141" s="376">
        <v>0</v>
      </c>
      <c r="AO1141" s="374"/>
      <c r="AP1141" s="376">
        <v>0</v>
      </c>
      <c r="AQ1141" s="376">
        <v>0</v>
      </c>
      <c r="AR1141" s="374"/>
      <c r="AS1141" s="376">
        <v>0</v>
      </c>
      <c r="AT1141" s="376">
        <v>0</v>
      </c>
      <c r="AU1141" s="355" t="s">
        <v>396</v>
      </c>
      <c r="AV1141" s="353" t="s">
        <v>397</v>
      </c>
      <c r="AW1141" s="353">
        <v>0</v>
      </c>
      <c r="AX1141" s="353">
        <v>0</v>
      </c>
      <c r="AY1141" s="353">
        <v>0</v>
      </c>
      <c r="AZ1141" s="353">
        <v>0</v>
      </c>
      <c r="BA1141" s="353">
        <v>0</v>
      </c>
      <c r="BB1141" s="353">
        <v>0</v>
      </c>
    </row>
    <row r="1142" spans="1:54" x14ac:dyDescent="0.25">
      <c r="A1142" s="348" t="s">
        <v>1582</v>
      </c>
      <c r="B1142" s="349">
        <v>189</v>
      </c>
      <c r="C1142" s="423">
        <v>45200</v>
      </c>
      <c r="D1142" s="351">
        <v>45224</v>
      </c>
      <c r="F1142" s="353">
        <v>6</v>
      </c>
      <c r="G1142" s="427" t="s">
        <v>1587</v>
      </c>
      <c r="H1142" s="350" t="s">
        <v>1577</v>
      </c>
      <c r="I1142" s="350" t="s">
        <v>393</v>
      </c>
      <c r="J1142" s="375">
        <v>403900</v>
      </c>
      <c r="K1142" s="350" t="s">
        <v>394</v>
      </c>
      <c r="L1142" s="354">
        <v>2802.3999950000002</v>
      </c>
      <c r="M1142" s="375">
        <f t="shared" si="897"/>
        <v>144.1264632888354</v>
      </c>
      <c r="N1142" s="354" t="s">
        <v>395</v>
      </c>
      <c r="O1142" s="354">
        <v>0</v>
      </c>
      <c r="P1142" s="374"/>
      <c r="Q1142" s="354">
        <v>0</v>
      </c>
      <c r="R1142" s="354">
        <v>0</v>
      </c>
      <c r="S1142" s="354">
        <v>0</v>
      </c>
      <c r="T1142" s="354">
        <v>0</v>
      </c>
      <c r="U1142" s="374"/>
      <c r="V1142" s="354">
        <v>0</v>
      </c>
      <c r="W1142" s="354">
        <v>0</v>
      </c>
      <c r="X1142" s="354">
        <v>0</v>
      </c>
      <c r="Y1142" s="374"/>
      <c r="Z1142" s="354">
        <v>0</v>
      </c>
      <c r="AA1142" s="354">
        <v>0</v>
      </c>
      <c r="AB1142" s="374"/>
      <c r="AC1142" s="376">
        <v>0</v>
      </c>
      <c r="AD1142" s="376">
        <v>0</v>
      </c>
      <c r="AE1142" s="376">
        <v>0</v>
      </c>
      <c r="AF1142" s="374"/>
      <c r="AG1142" s="376">
        <v>0</v>
      </c>
      <c r="AH1142" s="376">
        <v>0</v>
      </c>
      <c r="AI1142" s="376">
        <v>0</v>
      </c>
      <c r="AJ1142" s="376">
        <v>0</v>
      </c>
      <c r="AK1142" s="374"/>
      <c r="AL1142" s="376">
        <v>0</v>
      </c>
      <c r="AM1142" s="376">
        <v>0</v>
      </c>
      <c r="AN1142" s="376">
        <v>0</v>
      </c>
      <c r="AO1142" s="374"/>
      <c r="AP1142" s="376">
        <v>0</v>
      </c>
      <c r="AQ1142" s="376">
        <v>0</v>
      </c>
      <c r="AR1142" s="374"/>
      <c r="AS1142" s="376">
        <v>0</v>
      </c>
      <c r="AT1142" s="376">
        <v>0</v>
      </c>
      <c r="AU1142" s="355" t="s">
        <v>396</v>
      </c>
      <c r="AV1142" s="353" t="s">
        <v>397</v>
      </c>
      <c r="AW1142" s="353">
        <v>0</v>
      </c>
      <c r="AX1142" s="353">
        <v>0</v>
      </c>
      <c r="AY1142" s="353">
        <v>0</v>
      </c>
      <c r="AZ1142" s="353">
        <v>0</v>
      </c>
      <c r="BA1142" s="353">
        <v>0</v>
      </c>
      <c r="BB1142" s="353">
        <v>0</v>
      </c>
    </row>
    <row r="1143" spans="1:54" x14ac:dyDescent="0.25">
      <c r="A1143" s="348" t="s">
        <v>1583</v>
      </c>
      <c r="B1143" s="349">
        <v>190</v>
      </c>
      <c r="C1143" s="423">
        <v>45200</v>
      </c>
      <c r="D1143" s="351">
        <v>45224</v>
      </c>
      <c r="F1143" s="353">
        <v>6</v>
      </c>
      <c r="G1143" s="427" t="s">
        <v>1587</v>
      </c>
      <c r="H1143" s="350" t="s">
        <v>351</v>
      </c>
      <c r="I1143" s="350" t="s">
        <v>393</v>
      </c>
      <c r="J1143" s="375">
        <v>960000</v>
      </c>
      <c r="K1143" s="350" t="s">
        <v>394</v>
      </c>
      <c r="L1143" s="354">
        <v>2802.3999950000002</v>
      </c>
      <c r="M1143" s="375">
        <f t="shared" si="897"/>
        <v>342.56351759663772</v>
      </c>
      <c r="N1143" s="354" t="s">
        <v>395</v>
      </c>
      <c r="O1143" s="354">
        <v>0</v>
      </c>
      <c r="P1143" s="374"/>
      <c r="Q1143" s="354">
        <v>0</v>
      </c>
      <c r="R1143" s="354">
        <v>0</v>
      </c>
      <c r="S1143" s="354">
        <v>0</v>
      </c>
      <c r="T1143" s="354">
        <v>0</v>
      </c>
      <c r="U1143" s="374"/>
      <c r="V1143" s="354">
        <v>0</v>
      </c>
      <c r="W1143" s="354">
        <v>0</v>
      </c>
      <c r="X1143" s="354">
        <v>0</v>
      </c>
      <c r="Y1143" s="374"/>
      <c r="Z1143" s="354">
        <v>0</v>
      </c>
      <c r="AA1143" s="354">
        <v>0</v>
      </c>
      <c r="AB1143" s="374"/>
      <c r="AC1143" s="376">
        <v>0</v>
      </c>
      <c r="AD1143" s="376">
        <v>0</v>
      </c>
      <c r="AE1143" s="376">
        <v>0</v>
      </c>
      <c r="AF1143" s="374"/>
      <c r="AG1143" s="376">
        <v>0</v>
      </c>
      <c r="AH1143" s="376">
        <v>0</v>
      </c>
      <c r="AI1143" s="376">
        <v>0</v>
      </c>
      <c r="AJ1143" s="376">
        <v>0</v>
      </c>
      <c r="AK1143" s="374"/>
      <c r="AL1143" s="376">
        <v>0</v>
      </c>
      <c r="AM1143" s="376">
        <v>0</v>
      </c>
      <c r="AN1143" s="376">
        <v>0</v>
      </c>
      <c r="AO1143" s="374"/>
      <c r="AP1143" s="376">
        <v>0</v>
      </c>
      <c r="AQ1143" s="376">
        <v>0</v>
      </c>
      <c r="AR1143" s="374"/>
      <c r="AS1143" s="376">
        <v>0</v>
      </c>
      <c r="AT1143" s="376">
        <v>0</v>
      </c>
      <c r="AU1143" s="355" t="s">
        <v>396</v>
      </c>
      <c r="AV1143" s="353" t="s">
        <v>397</v>
      </c>
      <c r="AW1143" s="353">
        <v>0</v>
      </c>
      <c r="AX1143" s="353">
        <v>0</v>
      </c>
      <c r="AY1143" s="353">
        <v>0</v>
      </c>
      <c r="AZ1143" s="353">
        <v>0</v>
      </c>
      <c r="BA1143" s="353">
        <v>0</v>
      </c>
      <c r="BB1143" s="353">
        <v>0</v>
      </c>
    </row>
    <row r="1144" spans="1:54" x14ac:dyDescent="0.25">
      <c r="A1144" s="348" t="s">
        <v>1584</v>
      </c>
      <c r="B1144" s="349">
        <v>191</v>
      </c>
      <c r="C1144" s="423">
        <v>45200</v>
      </c>
      <c r="D1144" s="351">
        <v>45224</v>
      </c>
      <c r="F1144" s="353">
        <v>6</v>
      </c>
      <c r="G1144" s="427" t="s">
        <v>1587</v>
      </c>
      <c r="H1144" s="350" t="s">
        <v>1578</v>
      </c>
      <c r="I1144" s="350" t="s">
        <v>393</v>
      </c>
      <c r="J1144" s="375">
        <v>400000</v>
      </c>
      <c r="K1144" s="350" t="s">
        <v>394</v>
      </c>
      <c r="L1144" s="354">
        <v>2802.3999950000002</v>
      </c>
      <c r="M1144" s="375">
        <f t="shared" si="897"/>
        <v>142.73479899859905</v>
      </c>
      <c r="N1144" s="354" t="s">
        <v>395</v>
      </c>
      <c r="O1144" s="354">
        <v>0</v>
      </c>
      <c r="P1144" s="374"/>
      <c r="Q1144" s="354">
        <v>0</v>
      </c>
      <c r="R1144" s="354">
        <v>0</v>
      </c>
      <c r="S1144" s="354">
        <v>0</v>
      </c>
      <c r="T1144" s="354">
        <v>0</v>
      </c>
      <c r="U1144" s="374"/>
      <c r="V1144" s="354">
        <v>0</v>
      </c>
      <c r="W1144" s="354">
        <v>0</v>
      </c>
      <c r="X1144" s="354">
        <v>0</v>
      </c>
      <c r="Y1144" s="374"/>
      <c r="Z1144" s="354">
        <v>0</v>
      </c>
      <c r="AA1144" s="354">
        <v>0</v>
      </c>
      <c r="AB1144" s="374"/>
      <c r="AC1144" s="376">
        <v>0</v>
      </c>
      <c r="AD1144" s="376">
        <v>0</v>
      </c>
      <c r="AE1144" s="376">
        <v>0</v>
      </c>
      <c r="AF1144" s="374"/>
      <c r="AG1144" s="376">
        <v>0</v>
      </c>
      <c r="AH1144" s="376">
        <v>0</v>
      </c>
      <c r="AI1144" s="376">
        <v>0</v>
      </c>
      <c r="AJ1144" s="376">
        <v>0</v>
      </c>
      <c r="AK1144" s="374"/>
      <c r="AL1144" s="376">
        <v>0</v>
      </c>
      <c r="AM1144" s="376">
        <v>0</v>
      </c>
      <c r="AN1144" s="376">
        <v>0</v>
      </c>
      <c r="AO1144" s="374"/>
      <c r="AP1144" s="376">
        <v>0</v>
      </c>
      <c r="AQ1144" s="376">
        <v>0</v>
      </c>
      <c r="AR1144" s="374"/>
      <c r="AS1144" s="376">
        <v>0</v>
      </c>
      <c r="AT1144" s="376">
        <v>0</v>
      </c>
      <c r="AU1144" s="355" t="s">
        <v>396</v>
      </c>
      <c r="AV1144" s="353" t="s">
        <v>397</v>
      </c>
      <c r="AW1144" s="353">
        <v>0</v>
      </c>
      <c r="AX1144" s="353">
        <v>0</v>
      </c>
      <c r="AY1144" s="353">
        <v>0</v>
      </c>
      <c r="AZ1144" s="353">
        <v>0</v>
      </c>
      <c r="BA1144" s="353">
        <v>0</v>
      </c>
      <c r="BB1144" s="353">
        <v>0</v>
      </c>
    </row>
    <row r="1145" spans="1:54" x14ac:dyDescent="0.25">
      <c r="A1145" s="348" t="s">
        <v>1584</v>
      </c>
      <c r="B1145" s="349">
        <v>191</v>
      </c>
      <c r="C1145" s="423">
        <v>45200</v>
      </c>
      <c r="D1145" s="351">
        <v>45224</v>
      </c>
      <c r="F1145" s="353">
        <v>6</v>
      </c>
      <c r="G1145" s="427" t="s">
        <v>1587</v>
      </c>
      <c r="H1145" s="350" t="s">
        <v>1016</v>
      </c>
      <c r="I1145" s="350" t="s">
        <v>393</v>
      </c>
      <c r="J1145" s="375">
        <v>3944000</v>
      </c>
      <c r="K1145" s="350" t="s">
        <v>394</v>
      </c>
      <c r="L1145" s="354">
        <v>2802.3999950000002</v>
      </c>
      <c r="M1145" s="375">
        <f t="shared" si="897"/>
        <v>1407.3651181261866</v>
      </c>
      <c r="N1145" s="354" t="s">
        <v>395</v>
      </c>
      <c r="O1145" s="354">
        <v>0</v>
      </c>
      <c r="P1145" s="374"/>
      <c r="Q1145" s="354">
        <v>0</v>
      </c>
      <c r="R1145" s="354">
        <v>0</v>
      </c>
      <c r="S1145" s="354">
        <v>0</v>
      </c>
      <c r="T1145" s="354">
        <v>0</v>
      </c>
      <c r="U1145" s="374"/>
      <c r="V1145" s="354">
        <v>0</v>
      </c>
      <c r="W1145" s="354">
        <v>0</v>
      </c>
      <c r="X1145" s="354">
        <v>0</v>
      </c>
      <c r="Y1145" s="374"/>
      <c r="Z1145" s="354">
        <v>0</v>
      </c>
      <c r="AA1145" s="354">
        <v>0</v>
      </c>
      <c r="AB1145" s="374"/>
      <c r="AC1145" s="376">
        <v>0</v>
      </c>
      <c r="AD1145" s="376">
        <v>0</v>
      </c>
      <c r="AE1145" s="376">
        <v>0</v>
      </c>
      <c r="AF1145" s="374"/>
      <c r="AG1145" s="376">
        <v>0</v>
      </c>
      <c r="AH1145" s="376">
        <v>0</v>
      </c>
      <c r="AI1145" s="376">
        <v>0</v>
      </c>
      <c r="AJ1145" s="376">
        <v>0</v>
      </c>
      <c r="AK1145" s="374"/>
      <c r="AL1145" s="376">
        <v>0</v>
      </c>
      <c r="AM1145" s="376">
        <v>0</v>
      </c>
      <c r="AN1145" s="376">
        <v>0</v>
      </c>
      <c r="AO1145" s="374"/>
      <c r="AP1145" s="376">
        <v>0</v>
      </c>
      <c r="AQ1145" s="376">
        <v>0</v>
      </c>
      <c r="AR1145" s="374"/>
      <c r="AS1145" s="376">
        <v>0</v>
      </c>
      <c r="AT1145" s="376">
        <v>0</v>
      </c>
      <c r="AU1145" s="355" t="s">
        <v>396</v>
      </c>
      <c r="AV1145" s="353" t="s">
        <v>397</v>
      </c>
      <c r="AW1145" s="353">
        <v>0</v>
      </c>
      <c r="AX1145" s="353">
        <v>0</v>
      </c>
      <c r="AY1145" s="353">
        <v>0</v>
      </c>
      <c r="AZ1145" s="353">
        <v>0</v>
      </c>
      <c r="BA1145" s="353">
        <v>0</v>
      </c>
      <c r="BB1145" s="353">
        <v>0</v>
      </c>
    </row>
    <row r="1146" spans="1:54" x14ac:dyDescent="0.25">
      <c r="A1146" s="348" t="s">
        <v>1584</v>
      </c>
      <c r="B1146" s="349">
        <v>191</v>
      </c>
      <c r="C1146" s="423">
        <v>45200</v>
      </c>
      <c r="D1146" s="351">
        <v>45224</v>
      </c>
      <c r="F1146" s="353">
        <v>6</v>
      </c>
      <c r="G1146" s="427" t="s">
        <v>1587</v>
      </c>
      <c r="H1146" s="350" t="s">
        <v>1234</v>
      </c>
      <c r="I1146" s="350" t="s">
        <v>393</v>
      </c>
      <c r="J1146" s="375">
        <v>1160000</v>
      </c>
      <c r="K1146" s="350" t="s">
        <v>394</v>
      </c>
      <c r="L1146" s="354">
        <v>2802.3999950000002</v>
      </c>
      <c r="M1146" s="375">
        <f t="shared" si="897"/>
        <v>413.93091709593722</v>
      </c>
      <c r="N1146" s="354" t="s">
        <v>395</v>
      </c>
      <c r="O1146" s="354">
        <v>0</v>
      </c>
      <c r="P1146" s="374"/>
      <c r="Q1146" s="354">
        <v>0</v>
      </c>
      <c r="R1146" s="354">
        <v>0</v>
      </c>
      <c r="S1146" s="354">
        <v>0</v>
      </c>
      <c r="T1146" s="354">
        <v>0</v>
      </c>
      <c r="U1146" s="374"/>
      <c r="V1146" s="354">
        <v>0</v>
      </c>
      <c r="W1146" s="354">
        <v>0</v>
      </c>
      <c r="X1146" s="354">
        <v>0</v>
      </c>
      <c r="Y1146" s="374"/>
      <c r="Z1146" s="354">
        <v>0</v>
      </c>
      <c r="AA1146" s="354">
        <v>0</v>
      </c>
      <c r="AB1146" s="374"/>
      <c r="AC1146" s="376">
        <v>0</v>
      </c>
      <c r="AD1146" s="376">
        <v>0</v>
      </c>
      <c r="AE1146" s="376">
        <v>0</v>
      </c>
      <c r="AF1146" s="374"/>
      <c r="AG1146" s="376">
        <v>0</v>
      </c>
      <c r="AH1146" s="376">
        <v>0</v>
      </c>
      <c r="AI1146" s="376">
        <v>0</v>
      </c>
      <c r="AJ1146" s="376">
        <v>0</v>
      </c>
      <c r="AK1146" s="374"/>
      <c r="AL1146" s="376">
        <v>0</v>
      </c>
      <c r="AM1146" s="376">
        <v>0</v>
      </c>
      <c r="AN1146" s="376">
        <v>0</v>
      </c>
      <c r="AO1146" s="374"/>
      <c r="AP1146" s="376">
        <v>0</v>
      </c>
      <c r="AQ1146" s="376">
        <v>0</v>
      </c>
      <c r="AR1146" s="374"/>
      <c r="AS1146" s="376">
        <v>0</v>
      </c>
      <c r="AT1146" s="376">
        <v>0</v>
      </c>
      <c r="AU1146" s="355" t="s">
        <v>396</v>
      </c>
      <c r="AV1146" s="353" t="s">
        <v>397</v>
      </c>
      <c r="AW1146" s="353">
        <v>0</v>
      </c>
      <c r="AX1146" s="353">
        <v>0</v>
      </c>
      <c r="AY1146" s="353">
        <v>0</v>
      </c>
      <c r="AZ1146" s="353">
        <v>0</v>
      </c>
      <c r="BA1146" s="353">
        <v>0</v>
      </c>
      <c r="BB1146" s="353">
        <v>0</v>
      </c>
    </row>
    <row r="1147" spans="1:54" x14ac:dyDescent="0.25">
      <c r="A1147" s="348" t="s">
        <v>1584</v>
      </c>
      <c r="B1147" s="349">
        <v>191</v>
      </c>
      <c r="C1147" s="423">
        <v>45200</v>
      </c>
      <c r="D1147" s="351">
        <v>45224</v>
      </c>
      <c r="F1147" s="353">
        <v>6</v>
      </c>
      <c r="G1147" s="427" t="s">
        <v>1587</v>
      </c>
      <c r="H1147" s="350" t="s">
        <v>1579</v>
      </c>
      <c r="I1147" s="350" t="s">
        <v>393</v>
      </c>
      <c r="J1147" s="375">
        <v>464000</v>
      </c>
      <c r="K1147" s="350" t="s">
        <v>394</v>
      </c>
      <c r="L1147" s="354">
        <v>2802.3999950000002</v>
      </c>
      <c r="M1147" s="375">
        <f t="shared" si="897"/>
        <v>165.5723668383749</v>
      </c>
      <c r="N1147" s="354" t="s">
        <v>395</v>
      </c>
      <c r="O1147" s="354">
        <v>0</v>
      </c>
      <c r="P1147" s="374"/>
      <c r="Q1147" s="354">
        <v>0</v>
      </c>
      <c r="R1147" s="354">
        <v>0</v>
      </c>
      <c r="S1147" s="354">
        <v>0</v>
      </c>
      <c r="T1147" s="354">
        <v>0</v>
      </c>
      <c r="U1147" s="374"/>
      <c r="V1147" s="354">
        <v>0</v>
      </c>
      <c r="W1147" s="354">
        <v>0</v>
      </c>
      <c r="X1147" s="354">
        <v>0</v>
      </c>
      <c r="Y1147" s="374"/>
      <c r="Z1147" s="354">
        <v>0</v>
      </c>
      <c r="AA1147" s="354">
        <v>0</v>
      </c>
      <c r="AB1147" s="374"/>
      <c r="AC1147" s="376">
        <v>0</v>
      </c>
      <c r="AD1147" s="376">
        <v>0</v>
      </c>
      <c r="AE1147" s="376">
        <v>0</v>
      </c>
      <c r="AF1147" s="374"/>
      <c r="AG1147" s="376">
        <v>0</v>
      </c>
      <c r="AH1147" s="376">
        <v>0</v>
      </c>
      <c r="AI1147" s="376">
        <v>0</v>
      </c>
      <c r="AJ1147" s="376">
        <v>0</v>
      </c>
      <c r="AK1147" s="374"/>
      <c r="AL1147" s="376">
        <v>0</v>
      </c>
      <c r="AM1147" s="376">
        <v>0</v>
      </c>
      <c r="AN1147" s="376">
        <v>0</v>
      </c>
      <c r="AO1147" s="374"/>
      <c r="AP1147" s="376">
        <v>0</v>
      </c>
      <c r="AQ1147" s="376">
        <v>0</v>
      </c>
      <c r="AR1147" s="374"/>
      <c r="AS1147" s="376">
        <v>0</v>
      </c>
      <c r="AT1147" s="376">
        <v>0</v>
      </c>
      <c r="AU1147" s="355" t="s">
        <v>396</v>
      </c>
      <c r="AV1147" s="353" t="s">
        <v>397</v>
      </c>
      <c r="AW1147" s="353">
        <v>0</v>
      </c>
      <c r="AX1147" s="353">
        <v>0</v>
      </c>
      <c r="AY1147" s="353">
        <v>0</v>
      </c>
      <c r="AZ1147" s="353">
        <v>0</v>
      </c>
      <c r="BA1147" s="353">
        <v>0</v>
      </c>
      <c r="BB1147" s="353">
        <v>0</v>
      </c>
    </row>
    <row r="1148" spans="1:54" x14ac:dyDescent="0.25">
      <c r="A1148" s="348" t="s">
        <v>1585</v>
      </c>
      <c r="B1148" s="349">
        <v>192</v>
      </c>
      <c r="C1148" s="423">
        <v>45200</v>
      </c>
      <c r="D1148" s="351">
        <v>45224</v>
      </c>
      <c r="F1148" s="353">
        <v>6</v>
      </c>
      <c r="G1148" s="427" t="s">
        <v>1587</v>
      </c>
      <c r="H1148" s="350" t="s">
        <v>1578</v>
      </c>
      <c r="I1148" s="350" t="s">
        <v>393</v>
      </c>
      <c r="J1148" s="375">
        <v>200000</v>
      </c>
      <c r="K1148" s="350" t="s">
        <v>394</v>
      </c>
      <c r="L1148" s="354">
        <v>2802.3999950000002</v>
      </c>
      <c r="M1148" s="375">
        <f t="shared" si="897"/>
        <v>71.367399499299523</v>
      </c>
      <c r="N1148" s="354" t="s">
        <v>395</v>
      </c>
      <c r="O1148" s="354">
        <v>0</v>
      </c>
      <c r="P1148" s="374"/>
      <c r="Q1148" s="354">
        <v>0</v>
      </c>
      <c r="R1148" s="354">
        <v>0</v>
      </c>
      <c r="S1148" s="354">
        <v>0</v>
      </c>
      <c r="T1148" s="354">
        <v>0</v>
      </c>
      <c r="U1148" s="374"/>
      <c r="V1148" s="354">
        <v>0</v>
      </c>
      <c r="W1148" s="354">
        <v>0</v>
      </c>
      <c r="X1148" s="354">
        <v>0</v>
      </c>
      <c r="Y1148" s="374"/>
      <c r="Z1148" s="354">
        <v>0</v>
      </c>
      <c r="AA1148" s="354">
        <v>0</v>
      </c>
      <c r="AB1148" s="374"/>
      <c r="AC1148" s="376">
        <v>0</v>
      </c>
      <c r="AD1148" s="376">
        <v>0</v>
      </c>
      <c r="AE1148" s="376">
        <v>0</v>
      </c>
      <c r="AF1148" s="374"/>
      <c r="AG1148" s="376">
        <v>0</v>
      </c>
      <c r="AH1148" s="376">
        <v>0</v>
      </c>
      <c r="AI1148" s="376">
        <v>0</v>
      </c>
      <c r="AJ1148" s="376">
        <v>0</v>
      </c>
      <c r="AK1148" s="374"/>
      <c r="AL1148" s="376">
        <v>0</v>
      </c>
      <c r="AM1148" s="376">
        <v>0</v>
      </c>
      <c r="AN1148" s="376">
        <v>0</v>
      </c>
      <c r="AO1148" s="374"/>
      <c r="AP1148" s="376">
        <v>0</v>
      </c>
      <c r="AQ1148" s="376">
        <v>0</v>
      </c>
      <c r="AR1148" s="374"/>
      <c r="AS1148" s="376">
        <v>0</v>
      </c>
      <c r="AT1148" s="376">
        <v>0</v>
      </c>
      <c r="AU1148" s="355" t="s">
        <v>396</v>
      </c>
      <c r="AV1148" s="353" t="s">
        <v>397</v>
      </c>
      <c r="AW1148" s="353">
        <v>0</v>
      </c>
      <c r="AX1148" s="353">
        <v>0</v>
      </c>
      <c r="AY1148" s="353">
        <v>0</v>
      </c>
      <c r="AZ1148" s="353">
        <v>0</v>
      </c>
      <c r="BA1148" s="353">
        <v>0</v>
      </c>
      <c r="BB1148" s="353">
        <v>0</v>
      </c>
    </row>
    <row r="1149" spans="1:54" x14ac:dyDescent="0.25">
      <c r="A1149" s="348" t="s">
        <v>1585</v>
      </c>
      <c r="B1149" s="349">
        <v>192</v>
      </c>
      <c r="C1149" s="423">
        <v>45200</v>
      </c>
      <c r="D1149" s="351">
        <v>45224</v>
      </c>
      <c r="F1149" s="353">
        <v>6</v>
      </c>
      <c r="G1149" s="427" t="s">
        <v>1587</v>
      </c>
      <c r="H1149" s="350" t="s">
        <v>1016</v>
      </c>
      <c r="I1149" s="350" t="s">
        <v>393</v>
      </c>
      <c r="J1149" s="375">
        <v>580000</v>
      </c>
      <c r="K1149" s="350" t="s">
        <v>394</v>
      </c>
      <c r="L1149" s="354">
        <v>2802.3999950000002</v>
      </c>
      <c r="M1149" s="375">
        <f t="shared" si="897"/>
        <v>206.96545854796861</v>
      </c>
      <c r="N1149" s="354" t="s">
        <v>395</v>
      </c>
      <c r="O1149" s="354">
        <v>0</v>
      </c>
      <c r="P1149" s="374"/>
      <c r="Q1149" s="354">
        <v>0</v>
      </c>
      <c r="R1149" s="354">
        <v>0</v>
      </c>
      <c r="S1149" s="354">
        <v>0</v>
      </c>
      <c r="T1149" s="354">
        <v>0</v>
      </c>
      <c r="U1149" s="374"/>
      <c r="V1149" s="354">
        <v>0</v>
      </c>
      <c r="W1149" s="354">
        <v>0</v>
      </c>
      <c r="X1149" s="354">
        <v>0</v>
      </c>
      <c r="Y1149" s="374"/>
      <c r="Z1149" s="354">
        <v>0</v>
      </c>
      <c r="AA1149" s="354">
        <v>0</v>
      </c>
      <c r="AB1149" s="374"/>
      <c r="AC1149" s="376">
        <v>0</v>
      </c>
      <c r="AD1149" s="376">
        <v>0</v>
      </c>
      <c r="AE1149" s="376">
        <v>0</v>
      </c>
      <c r="AF1149" s="374"/>
      <c r="AG1149" s="376">
        <v>0</v>
      </c>
      <c r="AH1149" s="376">
        <v>0</v>
      </c>
      <c r="AI1149" s="376">
        <v>0</v>
      </c>
      <c r="AJ1149" s="376">
        <v>0</v>
      </c>
      <c r="AK1149" s="374"/>
      <c r="AL1149" s="376">
        <v>0</v>
      </c>
      <c r="AM1149" s="376">
        <v>0</v>
      </c>
      <c r="AN1149" s="376">
        <v>0</v>
      </c>
      <c r="AO1149" s="374"/>
      <c r="AP1149" s="376">
        <v>0</v>
      </c>
      <c r="AQ1149" s="376">
        <v>0</v>
      </c>
      <c r="AR1149" s="374"/>
      <c r="AS1149" s="376">
        <v>0</v>
      </c>
      <c r="AT1149" s="376">
        <v>0</v>
      </c>
      <c r="AU1149" s="355" t="s">
        <v>396</v>
      </c>
      <c r="AV1149" s="353" t="s">
        <v>397</v>
      </c>
      <c r="AW1149" s="353">
        <v>0</v>
      </c>
      <c r="AX1149" s="353">
        <v>0</v>
      </c>
      <c r="AY1149" s="353">
        <v>0</v>
      </c>
      <c r="AZ1149" s="353">
        <v>0</v>
      </c>
      <c r="BA1149" s="353">
        <v>0</v>
      </c>
      <c r="BB1149" s="353">
        <v>0</v>
      </c>
    </row>
    <row r="1150" spans="1:54" x14ac:dyDescent="0.25">
      <c r="A1150" s="348" t="s">
        <v>1585</v>
      </c>
      <c r="B1150" s="349">
        <v>192</v>
      </c>
      <c r="C1150" s="423">
        <v>45200</v>
      </c>
      <c r="D1150" s="351">
        <v>45224</v>
      </c>
      <c r="F1150" s="353">
        <v>6</v>
      </c>
      <c r="G1150" s="427" t="s">
        <v>1587</v>
      </c>
      <c r="H1150" s="350" t="s">
        <v>1234</v>
      </c>
      <c r="I1150" s="350" t="s">
        <v>393</v>
      </c>
      <c r="J1150" s="375">
        <v>1972000</v>
      </c>
      <c r="K1150" s="350" t="s">
        <v>394</v>
      </c>
      <c r="L1150" s="354">
        <v>2802.3999950000002</v>
      </c>
      <c r="M1150" s="375">
        <f t="shared" si="897"/>
        <v>703.68255906309332</v>
      </c>
      <c r="N1150" s="354" t="s">
        <v>395</v>
      </c>
      <c r="O1150" s="354">
        <v>0</v>
      </c>
      <c r="P1150" s="374"/>
      <c r="Q1150" s="354">
        <v>0</v>
      </c>
      <c r="R1150" s="354">
        <v>0</v>
      </c>
      <c r="S1150" s="354">
        <v>0</v>
      </c>
      <c r="T1150" s="354">
        <v>0</v>
      </c>
      <c r="U1150" s="374"/>
      <c r="V1150" s="354">
        <v>0</v>
      </c>
      <c r="W1150" s="354">
        <v>0</v>
      </c>
      <c r="X1150" s="354">
        <v>0</v>
      </c>
      <c r="Y1150" s="374"/>
      <c r="Z1150" s="354">
        <v>0</v>
      </c>
      <c r="AA1150" s="354">
        <v>0</v>
      </c>
      <c r="AB1150" s="374"/>
      <c r="AC1150" s="376">
        <v>0</v>
      </c>
      <c r="AD1150" s="376">
        <v>0</v>
      </c>
      <c r="AE1150" s="376">
        <v>0</v>
      </c>
      <c r="AF1150" s="374"/>
      <c r="AG1150" s="376">
        <v>0</v>
      </c>
      <c r="AH1150" s="376">
        <v>0</v>
      </c>
      <c r="AI1150" s="376">
        <v>0</v>
      </c>
      <c r="AJ1150" s="376">
        <v>0</v>
      </c>
      <c r="AK1150" s="374"/>
      <c r="AL1150" s="376">
        <v>0</v>
      </c>
      <c r="AM1150" s="376">
        <v>0</v>
      </c>
      <c r="AN1150" s="376">
        <v>0</v>
      </c>
      <c r="AO1150" s="374"/>
      <c r="AP1150" s="376">
        <v>0</v>
      </c>
      <c r="AQ1150" s="376">
        <v>0</v>
      </c>
      <c r="AR1150" s="374"/>
      <c r="AS1150" s="376">
        <v>0</v>
      </c>
      <c r="AT1150" s="376">
        <v>0</v>
      </c>
      <c r="AU1150" s="355" t="s">
        <v>396</v>
      </c>
      <c r="AV1150" s="353" t="s">
        <v>397</v>
      </c>
      <c r="AW1150" s="353">
        <v>0</v>
      </c>
      <c r="AX1150" s="353">
        <v>0</v>
      </c>
      <c r="AY1150" s="353">
        <v>0</v>
      </c>
      <c r="AZ1150" s="353">
        <v>0</v>
      </c>
      <c r="BA1150" s="353">
        <v>0</v>
      </c>
      <c r="BB1150" s="353">
        <v>0</v>
      </c>
    </row>
    <row r="1151" spans="1:54" x14ac:dyDescent="0.25">
      <c r="A1151" s="348" t="s">
        <v>1585</v>
      </c>
      <c r="B1151" s="349">
        <v>192</v>
      </c>
      <c r="C1151" s="423">
        <v>45200</v>
      </c>
      <c r="D1151" s="351">
        <v>45224</v>
      </c>
      <c r="F1151" s="353">
        <v>6</v>
      </c>
      <c r="G1151" s="427" t="s">
        <v>1587</v>
      </c>
      <c r="H1151" s="350" t="s">
        <v>1579</v>
      </c>
      <c r="I1151" s="350" t="s">
        <v>393</v>
      </c>
      <c r="J1151" s="375">
        <v>232000</v>
      </c>
      <c r="K1151" s="350" t="s">
        <v>394</v>
      </c>
      <c r="L1151" s="354">
        <v>2802.3999950000002</v>
      </c>
      <c r="M1151" s="375">
        <f t="shared" si="897"/>
        <v>82.786183419187452</v>
      </c>
      <c r="N1151" s="354" t="s">
        <v>395</v>
      </c>
      <c r="O1151" s="354">
        <v>0</v>
      </c>
      <c r="P1151" s="374"/>
      <c r="Q1151" s="354">
        <v>0</v>
      </c>
      <c r="R1151" s="354">
        <v>0</v>
      </c>
      <c r="S1151" s="354">
        <v>0</v>
      </c>
      <c r="T1151" s="354">
        <v>0</v>
      </c>
      <c r="U1151" s="374"/>
      <c r="V1151" s="354">
        <v>0</v>
      </c>
      <c r="W1151" s="354">
        <v>0</v>
      </c>
      <c r="X1151" s="354">
        <v>0</v>
      </c>
      <c r="Y1151" s="374"/>
      <c r="Z1151" s="354">
        <v>0</v>
      </c>
      <c r="AA1151" s="354">
        <v>0</v>
      </c>
      <c r="AB1151" s="374"/>
      <c r="AC1151" s="376">
        <v>0</v>
      </c>
      <c r="AD1151" s="376">
        <v>0</v>
      </c>
      <c r="AE1151" s="376">
        <v>0</v>
      </c>
      <c r="AF1151" s="374"/>
      <c r="AG1151" s="376">
        <v>0</v>
      </c>
      <c r="AH1151" s="376">
        <v>0</v>
      </c>
      <c r="AI1151" s="376">
        <v>0</v>
      </c>
      <c r="AJ1151" s="376">
        <v>0</v>
      </c>
      <c r="AK1151" s="374"/>
      <c r="AL1151" s="376">
        <v>0</v>
      </c>
      <c r="AM1151" s="376">
        <v>0</v>
      </c>
      <c r="AN1151" s="376">
        <v>0</v>
      </c>
      <c r="AO1151" s="374"/>
      <c r="AP1151" s="376">
        <v>0</v>
      </c>
      <c r="AQ1151" s="376">
        <v>0</v>
      </c>
      <c r="AR1151" s="374"/>
      <c r="AS1151" s="376">
        <v>0</v>
      </c>
      <c r="AT1151" s="376">
        <v>0</v>
      </c>
      <c r="AU1151" s="355" t="s">
        <v>396</v>
      </c>
      <c r="AV1151" s="353" t="s">
        <v>397</v>
      </c>
      <c r="AW1151" s="353">
        <v>0</v>
      </c>
      <c r="AX1151" s="353">
        <v>0</v>
      </c>
      <c r="AY1151" s="353">
        <v>0</v>
      </c>
      <c r="AZ1151" s="353">
        <v>0</v>
      </c>
      <c r="BA1151" s="353">
        <v>0</v>
      </c>
      <c r="BB1151" s="353">
        <v>0</v>
      </c>
    </row>
    <row r="1152" spans="1:54" x14ac:dyDescent="0.25">
      <c r="A1152" s="348" t="s">
        <v>1586</v>
      </c>
      <c r="B1152" s="349">
        <v>193</v>
      </c>
      <c r="C1152" s="423">
        <v>45200</v>
      </c>
      <c r="D1152" s="351">
        <v>45230</v>
      </c>
      <c r="F1152" s="353">
        <v>6</v>
      </c>
      <c r="G1152" s="427" t="s">
        <v>1587</v>
      </c>
      <c r="H1152" s="350" t="s">
        <v>1385</v>
      </c>
      <c r="I1152" s="350" t="s">
        <v>393</v>
      </c>
      <c r="J1152" s="375">
        <v>2250000</v>
      </c>
      <c r="K1152" s="350" t="s">
        <v>394</v>
      </c>
      <c r="L1152" s="354">
        <v>2802.3999950000002</v>
      </c>
      <c r="M1152" s="375">
        <f>J1152/L1152</f>
        <v>802.88324436711957</v>
      </c>
      <c r="N1152" s="354" t="s">
        <v>395</v>
      </c>
      <c r="O1152" s="354">
        <v>0</v>
      </c>
      <c r="P1152" s="374"/>
      <c r="Q1152" s="354">
        <v>0</v>
      </c>
      <c r="R1152" s="354">
        <v>0</v>
      </c>
      <c r="S1152" s="354">
        <v>0</v>
      </c>
      <c r="T1152" s="354">
        <v>0</v>
      </c>
      <c r="U1152" s="374"/>
      <c r="V1152" s="354">
        <v>0</v>
      </c>
      <c r="W1152" s="354">
        <v>0</v>
      </c>
      <c r="X1152" s="354">
        <v>0</v>
      </c>
      <c r="Y1152" s="374"/>
      <c r="Z1152" s="354">
        <v>0</v>
      </c>
      <c r="AA1152" s="354">
        <v>0</v>
      </c>
      <c r="AB1152" s="374"/>
      <c r="AC1152" s="376">
        <v>0</v>
      </c>
      <c r="AD1152" s="376">
        <v>0</v>
      </c>
      <c r="AE1152" s="376">
        <v>0</v>
      </c>
      <c r="AF1152" s="374"/>
      <c r="AG1152" s="376">
        <v>0</v>
      </c>
      <c r="AH1152" s="376">
        <v>0</v>
      </c>
      <c r="AI1152" s="376">
        <v>0</v>
      </c>
      <c r="AJ1152" s="376">
        <v>0</v>
      </c>
      <c r="AK1152" s="374"/>
      <c r="AL1152" s="376">
        <v>0</v>
      </c>
      <c r="AM1152" s="376">
        <v>0</v>
      </c>
      <c r="AN1152" s="376">
        <v>0</v>
      </c>
      <c r="AO1152" s="374"/>
      <c r="AP1152" s="376">
        <v>0</v>
      </c>
      <c r="AQ1152" s="376">
        <v>0</v>
      </c>
      <c r="AR1152" s="374"/>
      <c r="AS1152" s="376">
        <v>0</v>
      </c>
      <c r="AT1152" s="376">
        <v>0</v>
      </c>
      <c r="AU1152" s="355" t="s">
        <v>396</v>
      </c>
      <c r="AV1152" s="353" t="s">
        <v>397</v>
      </c>
      <c r="AW1152" s="353">
        <v>0</v>
      </c>
      <c r="AX1152" s="353">
        <v>0</v>
      </c>
      <c r="AY1152" s="353">
        <v>0</v>
      </c>
      <c r="AZ1152" s="353">
        <v>0</v>
      </c>
      <c r="BA1152" s="353">
        <v>0</v>
      </c>
      <c r="BB1152" s="353">
        <v>0</v>
      </c>
    </row>
    <row r="1153" spans="1:54" ht="15.75" x14ac:dyDescent="0.25">
      <c r="A1153" s="348" t="s">
        <v>1589</v>
      </c>
      <c r="B1153" s="349">
        <v>194</v>
      </c>
      <c r="C1153" s="423">
        <v>45200</v>
      </c>
      <c r="D1153" s="351">
        <v>45222</v>
      </c>
      <c r="F1153" s="353">
        <v>6</v>
      </c>
      <c r="G1153" s="352" t="s">
        <v>1423</v>
      </c>
      <c r="H1153" s="441" t="s">
        <v>1591</v>
      </c>
      <c r="I1153" s="350" t="s">
        <v>393</v>
      </c>
      <c r="J1153" s="438">
        <v>10000</v>
      </c>
      <c r="K1153" s="439" t="s">
        <v>394</v>
      </c>
      <c r="L1153" s="354">
        <v>2802.3999950000002</v>
      </c>
      <c r="M1153" s="440">
        <f t="shared" ref="M1153:M1156" si="898">J1153/L1153</f>
        <v>3.568369974964976</v>
      </c>
      <c r="N1153" s="354" t="s">
        <v>395</v>
      </c>
      <c r="O1153" s="354">
        <v>0</v>
      </c>
      <c r="P1153" s="374"/>
      <c r="Q1153" s="354">
        <v>0</v>
      </c>
      <c r="R1153" s="354">
        <v>0</v>
      </c>
      <c r="S1153" s="354">
        <v>0</v>
      </c>
      <c r="T1153" s="354">
        <v>0</v>
      </c>
      <c r="U1153" s="374"/>
      <c r="V1153" s="354">
        <v>0</v>
      </c>
      <c r="W1153" s="354">
        <v>0</v>
      </c>
      <c r="X1153" s="354">
        <v>0</v>
      </c>
      <c r="Y1153" s="374"/>
      <c r="Z1153" s="354">
        <v>0</v>
      </c>
      <c r="AA1153" s="354">
        <v>0</v>
      </c>
      <c r="AB1153" s="374"/>
      <c r="AC1153" s="376">
        <v>0</v>
      </c>
      <c r="AD1153" s="376">
        <v>0</v>
      </c>
      <c r="AE1153" s="376">
        <v>0</v>
      </c>
      <c r="AF1153" s="374"/>
      <c r="AG1153" s="376">
        <v>0</v>
      </c>
      <c r="AH1153" s="376">
        <v>0</v>
      </c>
      <c r="AI1153" s="376">
        <v>0</v>
      </c>
      <c r="AJ1153" s="376">
        <v>0</v>
      </c>
      <c r="AK1153" s="374"/>
      <c r="AL1153" s="376">
        <v>0</v>
      </c>
      <c r="AM1153" s="376">
        <v>0</v>
      </c>
      <c r="AN1153" s="376">
        <v>0</v>
      </c>
      <c r="AO1153" s="374"/>
      <c r="AP1153" s="376">
        <v>0</v>
      </c>
      <c r="AQ1153" s="376">
        <v>0</v>
      </c>
      <c r="AR1153" s="374"/>
      <c r="AS1153" s="376">
        <v>0</v>
      </c>
      <c r="AT1153" s="376">
        <v>0</v>
      </c>
      <c r="AU1153" s="355" t="s">
        <v>396</v>
      </c>
      <c r="AV1153" s="353" t="s">
        <v>397</v>
      </c>
      <c r="AW1153" s="353">
        <v>0</v>
      </c>
      <c r="AX1153" s="353">
        <v>0</v>
      </c>
      <c r="AY1153" s="353">
        <v>0</v>
      </c>
      <c r="AZ1153" s="353">
        <v>0</v>
      </c>
      <c r="BA1153" s="353">
        <v>0</v>
      </c>
      <c r="BB1153" s="353">
        <v>0</v>
      </c>
    </row>
    <row r="1154" spans="1:54" ht="15.75" x14ac:dyDescent="0.25">
      <c r="A1154" s="348" t="s">
        <v>1589</v>
      </c>
      <c r="B1154" s="349">
        <v>195</v>
      </c>
      <c r="C1154" s="423">
        <v>45200</v>
      </c>
      <c r="D1154" s="351">
        <v>45222</v>
      </c>
      <c r="F1154" s="353">
        <v>6</v>
      </c>
      <c r="G1154" s="352" t="s">
        <v>1423</v>
      </c>
      <c r="H1154" s="437" t="s">
        <v>1355</v>
      </c>
      <c r="I1154" s="350" t="s">
        <v>393</v>
      </c>
      <c r="J1154" s="438">
        <f>200000+200000+200000+200000</f>
        <v>800000</v>
      </c>
      <c r="K1154" s="439" t="s">
        <v>394</v>
      </c>
      <c r="L1154" s="354">
        <v>2802.3999950000002</v>
      </c>
      <c r="M1154" s="440">
        <f t="shared" si="898"/>
        <v>285.46959799719809</v>
      </c>
      <c r="N1154" s="354" t="s">
        <v>395</v>
      </c>
      <c r="O1154" s="354">
        <v>0</v>
      </c>
      <c r="P1154" s="374"/>
      <c r="Q1154" s="354">
        <v>0</v>
      </c>
      <c r="R1154" s="354">
        <v>0</v>
      </c>
      <c r="S1154" s="354">
        <v>0</v>
      </c>
      <c r="T1154" s="354">
        <v>0</v>
      </c>
      <c r="U1154" s="374"/>
      <c r="V1154" s="354">
        <v>0</v>
      </c>
      <c r="W1154" s="354">
        <v>0</v>
      </c>
      <c r="X1154" s="354">
        <v>0</v>
      </c>
      <c r="Y1154" s="374"/>
      <c r="Z1154" s="354">
        <v>0</v>
      </c>
      <c r="AA1154" s="354">
        <v>0</v>
      </c>
      <c r="AB1154" s="374"/>
      <c r="AC1154" s="376">
        <v>0</v>
      </c>
      <c r="AD1154" s="376">
        <v>0</v>
      </c>
      <c r="AE1154" s="376">
        <v>0</v>
      </c>
      <c r="AF1154" s="374"/>
      <c r="AG1154" s="376">
        <v>0</v>
      </c>
      <c r="AH1154" s="376">
        <v>0</v>
      </c>
      <c r="AI1154" s="376">
        <v>0</v>
      </c>
      <c r="AJ1154" s="376">
        <v>0</v>
      </c>
      <c r="AK1154" s="374"/>
      <c r="AL1154" s="376">
        <v>0</v>
      </c>
      <c r="AM1154" s="376">
        <v>0</v>
      </c>
      <c r="AN1154" s="376">
        <v>0</v>
      </c>
      <c r="AO1154" s="374"/>
      <c r="AP1154" s="376">
        <v>0</v>
      </c>
      <c r="AQ1154" s="376">
        <v>0</v>
      </c>
      <c r="AR1154" s="374"/>
      <c r="AS1154" s="376">
        <v>0</v>
      </c>
      <c r="AT1154" s="376">
        <v>0</v>
      </c>
      <c r="AU1154" s="355" t="s">
        <v>396</v>
      </c>
      <c r="AV1154" s="353" t="s">
        <v>397</v>
      </c>
      <c r="AW1154" s="353">
        <v>0</v>
      </c>
      <c r="AX1154" s="353">
        <v>0</v>
      </c>
      <c r="AY1154" s="353">
        <v>0</v>
      </c>
      <c r="AZ1154" s="353">
        <v>0</v>
      </c>
      <c r="BA1154" s="353">
        <v>0</v>
      </c>
      <c r="BB1154" s="353">
        <v>0</v>
      </c>
    </row>
    <row r="1155" spans="1:54" ht="15.75" x14ac:dyDescent="0.25">
      <c r="A1155" s="348" t="s">
        <v>1589</v>
      </c>
      <c r="B1155" s="349">
        <v>196</v>
      </c>
      <c r="C1155" s="423">
        <v>45200</v>
      </c>
      <c r="D1155" s="351">
        <v>45222</v>
      </c>
      <c r="F1155" s="353">
        <v>6</v>
      </c>
      <c r="G1155" s="352" t="s">
        <v>1423</v>
      </c>
      <c r="H1155" s="437" t="s">
        <v>606</v>
      </c>
      <c r="I1155" s="350" t="s">
        <v>393</v>
      </c>
      <c r="J1155" s="438">
        <v>359818</v>
      </c>
      <c r="K1155" s="439" t="s">
        <v>394</v>
      </c>
      <c r="L1155" s="354">
        <v>2802.3999950000002</v>
      </c>
      <c r="M1155" s="440">
        <f t="shared" si="898"/>
        <v>128.39637476519476</v>
      </c>
      <c r="N1155" s="354" t="s">
        <v>395</v>
      </c>
      <c r="O1155" s="354">
        <v>0</v>
      </c>
      <c r="P1155" s="374"/>
      <c r="Q1155" s="354">
        <v>0</v>
      </c>
      <c r="R1155" s="354">
        <v>0</v>
      </c>
      <c r="S1155" s="354">
        <v>0</v>
      </c>
      <c r="T1155" s="354">
        <v>0</v>
      </c>
      <c r="U1155" s="374"/>
      <c r="V1155" s="354">
        <v>0</v>
      </c>
      <c r="W1155" s="354">
        <v>0</v>
      </c>
      <c r="X1155" s="354">
        <v>0</v>
      </c>
      <c r="Y1155" s="374"/>
      <c r="Z1155" s="354">
        <v>0</v>
      </c>
      <c r="AA1155" s="354">
        <v>0</v>
      </c>
      <c r="AB1155" s="374"/>
      <c r="AC1155" s="376">
        <v>0</v>
      </c>
      <c r="AD1155" s="376">
        <v>0</v>
      </c>
      <c r="AE1155" s="376">
        <v>0</v>
      </c>
      <c r="AF1155" s="374"/>
      <c r="AG1155" s="376">
        <v>0</v>
      </c>
      <c r="AH1155" s="376">
        <v>0</v>
      </c>
      <c r="AI1155" s="376">
        <v>0</v>
      </c>
      <c r="AJ1155" s="376">
        <v>0</v>
      </c>
      <c r="AK1155" s="374"/>
      <c r="AL1155" s="376">
        <v>0</v>
      </c>
      <c r="AM1155" s="376">
        <v>0</v>
      </c>
      <c r="AN1155" s="376">
        <v>0</v>
      </c>
      <c r="AO1155" s="374"/>
      <c r="AP1155" s="376">
        <v>0</v>
      </c>
      <c r="AQ1155" s="376">
        <v>0</v>
      </c>
      <c r="AR1155" s="374"/>
      <c r="AS1155" s="376">
        <v>0</v>
      </c>
      <c r="AT1155" s="376">
        <v>0</v>
      </c>
      <c r="AU1155" s="355" t="s">
        <v>396</v>
      </c>
      <c r="AV1155" s="353" t="s">
        <v>397</v>
      </c>
      <c r="AW1155" s="353">
        <v>0</v>
      </c>
      <c r="AX1155" s="353">
        <v>0</v>
      </c>
      <c r="AY1155" s="353">
        <v>0</v>
      </c>
      <c r="AZ1155" s="353">
        <v>0</v>
      </c>
      <c r="BA1155" s="353">
        <v>0</v>
      </c>
      <c r="BB1155" s="353">
        <v>0</v>
      </c>
    </row>
    <row r="1156" spans="1:54" ht="15.75" x14ac:dyDescent="0.25">
      <c r="A1156" s="348" t="s">
        <v>1590</v>
      </c>
      <c r="B1156" s="349">
        <v>197</v>
      </c>
      <c r="C1156" s="423">
        <v>45200</v>
      </c>
      <c r="D1156" s="351">
        <v>45230</v>
      </c>
      <c r="F1156" s="353">
        <v>6</v>
      </c>
      <c r="G1156" s="352" t="s">
        <v>1423</v>
      </c>
      <c r="H1156" s="437" t="s">
        <v>351</v>
      </c>
      <c r="I1156" s="350" t="s">
        <v>393</v>
      </c>
      <c r="J1156" s="438">
        <v>600000</v>
      </c>
      <c r="K1156" s="439" t="s">
        <v>394</v>
      </c>
      <c r="L1156" s="354">
        <v>2802.3999950000002</v>
      </c>
      <c r="M1156" s="440">
        <f t="shared" si="898"/>
        <v>214.10219849789857</v>
      </c>
      <c r="N1156" s="354" t="s">
        <v>395</v>
      </c>
      <c r="O1156" s="354">
        <v>0</v>
      </c>
      <c r="P1156" s="374"/>
      <c r="Q1156" s="354">
        <v>0</v>
      </c>
      <c r="R1156" s="354">
        <v>0</v>
      </c>
      <c r="S1156" s="354">
        <v>0</v>
      </c>
      <c r="T1156" s="354">
        <v>0</v>
      </c>
      <c r="U1156" s="374"/>
      <c r="V1156" s="354">
        <v>0</v>
      </c>
      <c r="W1156" s="354">
        <v>0</v>
      </c>
      <c r="X1156" s="354">
        <v>0</v>
      </c>
      <c r="Y1156" s="374"/>
      <c r="Z1156" s="354">
        <v>0</v>
      </c>
      <c r="AA1156" s="354">
        <v>0</v>
      </c>
      <c r="AB1156" s="374"/>
      <c r="AC1156" s="376">
        <v>0</v>
      </c>
      <c r="AD1156" s="376">
        <v>0</v>
      </c>
      <c r="AE1156" s="376">
        <v>0</v>
      </c>
      <c r="AF1156" s="374"/>
      <c r="AG1156" s="376">
        <v>0</v>
      </c>
      <c r="AH1156" s="376">
        <v>0</v>
      </c>
      <c r="AI1156" s="376">
        <v>0</v>
      </c>
      <c r="AJ1156" s="376">
        <v>0</v>
      </c>
      <c r="AK1156" s="374"/>
      <c r="AL1156" s="376">
        <v>0</v>
      </c>
      <c r="AM1156" s="376">
        <v>0</v>
      </c>
      <c r="AN1156" s="376">
        <v>0</v>
      </c>
      <c r="AO1156" s="374"/>
      <c r="AP1156" s="376">
        <v>0</v>
      </c>
      <c r="AQ1156" s="376">
        <v>0</v>
      </c>
      <c r="AR1156" s="374"/>
      <c r="AS1156" s="376">
        <v>0</v>
      </c>
      <c r="AT1156" s="376">
        <v>0</v>
      </c>
      <c r="AU1156" s="355" t="s">
        <v>396</v>
      </c>
      <c r="AV1156" s="353" t="s">
        <v>397</v>
      </c>
      <c r="AW1156" s="353">
        <v>0</v>
      </c>
      <c r="AX1156" s="353">
        <v>0</v>
      </c>
      <c r="AY1156" s="353">
        <v>0</v>
      </c>
      <c r="AZ1156" s="353">
        <v>0</v>
      </c>
      <c r="BA1156" s="353">
        <v>0</v>
      </c>
      <c r="BB1156" s="353">
        <v>0</v>
      </c>
    </row>
    <row r="1157" spans="1:54" x14ac:dyDescent="0.25">
      <c r="A1157" s="348" t="s">
        <v>1621</v>
      </c>
      <c r="B1157" s="349">
        <v>39</v>
      </c>
      <c r="C1157" s="423">
        <v>45200</v>
      </c>
      <c r="D1157" s="351">
        <v>45154</v>
      </c>
      <c r="F1157" s="353">
        <v>6</v>
      </c>
      <c r="G1157" s="427" t="s">
        <v>1053</v>
      </c>
      <c r="H1157" s="350" t="s">
        <v>1628</v>
      </c>
      <c r="I1157" s="350" t="s">
        <v>393</v>
      </c>
      <c r="J1157" s="560">
        <f>150000+150000+150000+150000+150000+150000</f>
        <v>900000</v>
      </c>
      <c r="K1157" s="350" t="s">
        <v>394</v>
      </c>
      <c r="L1157" s="354">
        <v>2803.6597999999999</v>
      </c>
      <c r="M1157" s="576">
        <f>J1157/L1157</f>
        <v>321.00898974975496</v>
      </c>
      <c r="N1157" s="354" t="s">
        <v>395</v>
      </c>
      <c r="O1157" s="354">
        <v>0</v>
      </c>
      <c r="P1157" s="374"/>
      <c r="Q1157" s="354">
        <v>0</v>
      </c>
      <c r="R1157" s="354">
        <v>0</v>
      </c>
      <c r="S1157" s="354">
        <v>0</v>
      </c>
      <c r="T1157" s="354">
        <v>0</v>
      </c>
      <c r="U1157" s="374"/>
      <c r="V1157" s="354">
        <v>0</v>
      </c>
      <c r="W1157" s="354">
        <v>0</v>
      </c>
      <c r="X1157" s="354">
        <v>0</v>
      </c>
      <c r="Y1157" s="374"/>
      <c r="Z1157" s="354">
        <v>0</v>
      </c>
      <c r="AA1157" s="354">
        <v>0</v>
      </c>
      <c r="AB1157" s="374"/>
      <c r="AC1157" s="376">
        <v>0</v>
      </c>
      <c r="AD1157" s="376">
        <v>0</v>
      </c>
      <c r="AE1157" s="376">
        <v>0</v>
      </c>
      <c r="AF1157" s="374"/>
      <c r="AG1157" s="376">
        <v>0</v>
      </c>
      <c r="AH1157" s="376">
        <v>0</v>
      </c>
      <c r="AI1157" s="376">
        <v>0</v>
      </c>
      <c r="AJ1157" s="376">
        <v>0</v>
      </c>
      <c r="AK1157" s="374"/>
      <c r="AL1157" s="376">
        <v>0</v>
      </c>
      <c r="AM1157" s="376">
        <v>0</v>
      </c>
      <c r="AN1157" s="376">
        <v>0</v>
      </c>
      <c r="AO1157" s="374"/>
      <c r="AP1157" s="376">
        <v>0</v>
      </c>
      <c r="AQ1157" s="376">
        <v>0</v>
      </c>
      <c r="AR1157" s="374"/>
      <c r="AS1157" s="376">
        <v>0</v>
      </c>
      <c r="AT1157" s="376">
        <v>0</v>
      </c>
      <c r="AU1157" s="355" t="s">
        <v>396</v>
      </c>
      <c r="AV1157" s="353" t="s">
        <v>346</v>
      </c>
      <c r="AW1157" s="353">
        <v>0</v>
      </c>
      <c r="AX1157" s="353">
        <v>0</v>
      </c>
      <c r="AY1157" s="353">
        <v>0</v>
      </c>
      <c r="AZ1157" s="353">
        <v>0</v>
      </c>
      <c r="BA1157" s="353">
        <v>0</v>
      </c>
      <c r="BB1157" s="353">
        <v>0</v>
      </c>
    </row>
    <row r="1158" spans="1:54" x14ac:dyDescent="0.25">
      <c r="A1158" s="348" t="s">
        <v>1621</v>
      </c>
      <c r="B1158" s="349">
        <v>39</v>
      </c>
      <c r="C1158" s="423">
        <v>45200</v>
      </c>
      <c r="D1158" s="351">
        <v>45154</v>
      </c>
      <c r="F1158" s="353">
        <v>6</v>
      </c>
      <c r="G1158" s="427" t="s">
        <v>1053</v>
      </c>
      <c r="H1158" s="350" t="s">
        <v>1629</v>
      </c>
      <c r="I1158" s="350" t="s">
        <v>393</v>
      </c>
      <c r="J1158" s="560">
        <f>24000+24000+24000</f>
        <v>72000</v>
      </c>
      <c r="K1158" s="350" t="s">
        <v>394</v>
      </c>
      <c r="L1158" s="354">
        <v>2803.6597999999999</v>
      </c>
      <c r="M1158" s="576">
        <f t="shared" ref="M1158:M1178" si="899">J1158/L1158</f>
        <v>25.680719179980397</v>
      </c>
      <c r="N1158" s="354" t="s">
        <v>395</v>
      </c>
      <c r="O1158" s="354">
        <v>0</v>
      </c>
      <c r="P1158" s="374"/>
      <c r="Q1158" s="354">
        <v>0</v>
      </c>
      <c r="R1158" s="354">
        <v>0</v>
      </c>
      <c r="S1158" s="354">
        <v>0</v>
      </c>
      <c r="T1158" s="354">
        <v>0</v>
      </c>
      <c r="U1158" s="374"/>
      <c r="V1158" s="354">
        <v>0</v>
      </c>
      <c r="W1158" s="354">
        <v>0</v>
      </c>
      <c r="X1158" s="354">
        <v>0</v>
      </c>
      <c r="Y1158" s="374"/>
      <c r="Z1158" s="354">
        <v>0</v>
      </c>
      <c r="AA1158" s="354">
        <v>0</v>
      </c>
      <c r="AB1158" s="374"/>
      <c r="AC1158" s="376">
        <v>0</v>
      </c>
      <c r="AD1158" s="376">
        <v>0</v>
      </c>
      <c r="AE1158" s="376">
        <v>0</v>
      </c>
      <c r="AF1158" s="374"/>
      <c r="AG1158" s="376">
        <v>0</v>
      </c>
      <c r="AH1158" s="376">
        <v>0</v>
      </c>
      <c r="AI1158" s="376">
        <v>0</v>
      </c>
      <c r="AJ1158" s="376">
        <v>0</v>
      </c>
      <c r="AK1158" s="374"/>
      <c r="AL1158" s="376">
        <v>0</v>
      </c>
      <c r="AM1158" s="376">
        <v>0</v>
      </c>
      <c r="AN1158" s="376">
        <v>0</v>
      </c>
      <c r="AO1158" s="374"/>
      <c r="AP1158" s="376">
        <v>0</v>
      </c>
      <c r="AQ1158" s="376">
        <v>0</v>
      </c>
      <c r="AR1158" s="374"/>
      <c r="AS1158" s="376">
        <v>0</v>
      </c>
      <c r="AT1158" s="376">
        <v>0</v>
      </c>
      <c r="AU1158" s="355" t="s">
        <v>396</v>
      </c>
      <c r="AV1158" s="353" t="s">
        <v>346</v>
      </c>
      <c r="AW1158" s="353">
        <v>0</v>
      </c>
      <c r="AX1158" s="353">
        <v>0</v>
      </c>
      <c r="AY1158" s="353">
        <v>0</v>
      </c>
      <c r="AZ1158" s="353">
        <v>0</v>
      </c>
      <c r="BA1158" s="353">
        <v>0</v>
      </c>
      <c r="BB1158" s="353">
        <v>0</v>
      </c>
    </row>
    <row r="1159" spans="1:54" x14ac:dyDescent="0.25">
      <c r="A1159" s="348" t="s">
        <v>1621</v>
      </c>
      <c r="B1159" s="349">
        <v>39</v>
      </c>
      <c r="C1159" s="423">
        <v>45200</v>
      </c>
      <c r="D1159" s="351">
        <v>45154</v>
      </c>
      <c r="F1159" s="353">
        <v>6</v>
      </c>
      <c r="G1159" s="427" t="s">
        <v>1053</v>
      </c>
      <c r="H1159" s="350" t="s">
        <v>1630</v>
      </c>
      <c r="I1159" s="350" t="s">
        <v>393</v>
      </c>
      <c r="J1159" s="560">
        <v>100000</v>
      </c>
      <c r="K1159" s="350" t="s">
        <v>394</v>
      </c>
      <c r="L1159" s="354">
        <v>2803.6597999999999</v>
      </c>
      <c r="M1159" s="576">
        <f t="shared" si="899"/>
        <v>35.66766552775055</v>
      </c>
      <c r="N1159" s="354" t="s">
        <v>395</v>
      </c>
      <c r="O1159" s="354">
        <v>0</v>
      </c>
      <c r="P1159" s="374"/>
      <c r="Q1159" s="354">
        <v>0</v>
      </c>
      <c r="R1159" s="354">
        <v>0</v>
      </c>
      <c r="S1159" s="354">
        <v>0</v>
      </c>
      <c r="T1159" s="354">
        <v>0</v>
      </c>
      <c r="U1159" s="374"/>
      <c r="V1159" s="354">
        <v>0</v>
      </c>
      <c r="W1159" s="354">
        <v>0</v>
      </c>
      <c r="X1159" s="354">
        <v>0</v>
      </c>
      <c r="Y1159" s="374"/>
      <c r="Z1159" s="354">
        <v>0</v>
      </c>
      <c r="AA1159" s="354">
        <v>0</v>
      </c>
      <c r="AB1159" s="374"/>
      <c r="AC1159" s="376">
        <v>0</v>
      </c>
      <c r="AD1159" s="376">
        <v>0</v>
      </c>
      <c r="AE1159" s="376">
        <v>0</v>
      </c>
      <c r="AF1159" s="374"/>
      <c r="AG1159" s="376">
        <v>0</v>
      </c>
      <c r="AH1159" s="376">
        <v>0</v>
      </c>
      <c r="AI1159" s="376">
        <v>0</v>
      </c>
      <c r="AJ1159" s="376">
        <v>0</v>
      </c>
      <c r="AK1159" s="374"/>
      <c r="AL1159" s="376">
        <v>0</v>
      </c>
      <c r="AM1159" s="376">
        <v>0</v>
      </c>
      <c r="AN1159" s="376">
        <v>0</v>
      </c>
      <c r="AO1159" s="374"/>
      <c r="AP1159" s="376">
        <v>0</v>
      </c>
      <c r="AQ1159" s="376">
        <v>0</v>
      </c>
      <c r="AR1159" s="374"/>
      <c r="AS1159" s="376">
        <v>0</v>
      </c>
      <c r="AT1159" s="376">
        <v>0</v>
      </c>
      <c r="AU1159" s="355" t="s">
        <v>396</v>
      </c>
      <c r="AV1159" s="353" t="s">
        <v>346</v>
      </c>
      <c r="AW1159" s="353">
        <v>0</v>
      </c>
      <c r="AX1159" s="353">
        <v>0</v>
      </c>
      <c r="AY1159" s="353">
        <v>0</v>
      </c>
      <c r="AZ1159" s="353">
        <v>0</v>
      </c>
      <c r="BA1159" s="353">
        <v>0</v>
      </c>
      <c r="BB1159" s="353">
        <v>0</v>
      </c>
    </row>
    <row r="1160" spans="1:54" x14ac:dyDescent="0.25">
      <c r="A1160" s="348" t="s">
        <v>1621</v>
      </c>
      <c r="B1160" s="349">
        <v>39</v>
      </c>
      <c r="C1160" s="423">
        <v>45200</v>
      </c>
      <c r="D1160" s="351">
        <v>45154</v>
      </c>
      <c r="F1160" s="353">
        <v>6</v>
      </c>
      <c r="G1160" s="427" t="s">
        <v>1053</v>
      </c>
      <c r="H1160" s="350" t="s">
        <v>1631</v>
      </c>
      <c r="I1160" s="350" t="s">
        <v>393</v>
      </c>
      <c r="J1160" s="560">
        <v>15000</v>
      </c>
      <c r="K1160" s="350" t="s">
        <v>394</v>
      </c>
      <c r="L1160" s="354">
        <v>2803.6597999999999</v>
      </c>
      <c r="M1160" s="576">
        <f t="shared" si="899"/>
        <v>5.3501498291625822</v>
      </c>
      <c r="N1160" s="354" t="s">
        <v>395</v>
      </c>
      <c r="O1160" s="354">
        <v>0</v>
      </c>
      <c r="P1160" s="374"/>
      <c r="Q1160" s="354">
        <v>0</v>
      </c>
      <c r="R1160" s="354">
        <v>0</v>
      </c>
      <c r="S1160" s="354">
        <v>0</v>
      </c>
      <c r="T1160" s="354">
        <v>0</v>
      </c>
      <c r="U1160" s="374"/>
      <c r="V1160" s="354">
        <v>0</v>
      </c>
      <c r="W1160" s="354">
        <v>0</v>
      </c>
      <c r="X1160" s="354">
        <v>0</v>
      </c>
      <c r="Y1160" s="374"/>
      <c r="Z1160" s="354">
        <v>0</v>
      </c>
      <c r="AA1160" s="354">
        <v>0</v>
      </c>
      <c r="AB1160" s="374"/>
      <c r="AC1160" s="376">
        <v>0</v>
      </c>
      <c r="AD1160" s="376">
        <v>0</v>
      </c>
      <c r="AE1160" s="376">
        <v>0</v>
      </c>
      <c r="AF1160" s="374"/>
      <c r="AG1160" s="376">
        <v>0</v>
      </c>
      <c r="AH1160" s="376">
        <v>0</v>
      </c>
      <c r="AI1160" s="376">
        <v>0</v>
      </c>
      <c r="AJ1160" s="376">
        <v>0</v>
      </c>
      <c r="AK1160" s="374"/>
      <c r="AL1160" s="376">
        <v>0</v>
      </c>
      <c r="AM1160" s="376">
        <v>0</v>
      </c>
      <c r="AN1160" s="376">
        <v>0</v>
      </c>
      <c r="AO1160" s="374"/>
      <c r="AP1160" s="376">
        <v>0</v>
      </c>
      <c r="AQ1160" s="376">
        <v>0</v>
      </c>
      <c r="AR1160" s="374"/>
      <c r="AS1160" s="376">
        <v>0</v>
      </c>
      <c r="AT1160" s="376">
        <v>0</v>
      </c>
      <c r="AU1160" s="355" t="s">
        <v>396</v>
      </c>
      <c r="AV1160" s="353" t="s">
        <v>346</v>
      </c>
      <c r="AW1160" s="353">
        <v>0</v>
      </c>
      <c r="AX1160" s="353">
        <v>0</v>
      </c>
      <c r="AY1160" s="353">
        <v>0</v>
      </c>
      <c r="AZ1160" s="353">
        <v>0</v>
      </c>
      <c r="BA1160" s="353">
        <v>0</v>
      </c>
      <c r="BB1160" s="353">
        <v>0</v>
      </c>
    </row>
    <row r="1161" spans="1:54" x14ac:dyDescent="0.25">
      <c r="A1161" s="348" t="s">
        <v>1622</v>
      </c>
      <c r="B1161" s="349">
        <v>39</v>
      </c>
      <c r="C1161" s="423">
        <v>45200</v>
      </c>
      <c r="D1161" s="351">
        <v>45154</v>
      </c>
      <c r="F1161" s="353">
        <v>6</v>
      </c>
      <c r="G1161" s="427" t="s">
        <v>1053</v>
      </c>
      <c r="H1161" s="350" t="s">
        <v>1632</v>
      </c>
      <c r="I1161" s="350" t="s">
        <v>393</v>
      </c>
      <c r="J1161" s="560">
        <v>33600</v>
      </c>
      <c r="K1161" s="350" t="s">
        <v>394</v>
      </c>
      <c r="L1161" s="354">
        <v>2803.6597999999999</v>
      </c>
      <c r="M1161" s="576">
        <f t="shared" si="899"/>
        <v>11.984335617324184</v>
      </c>
      <c r="N1161" s="354" t="s">
        <v>395</v>
      </c>
      <c r="O1161" s="354">
        <v>0</v>
      </c>
      <c r="P1161" s="374"/>
      <c r="Q1161" s="354">
        <v>0</v>
      </c>
      <c r="R1161" s="354">
        <v>0</v>
      </c>
      <c r="S1161" s="354">
        <v>0</v>
      </c>
      <c r="T1161" s="354">
        <v>0</v>
      </c>
      <c r="U1161" s="374"/>
      <c r="V1161" s="354">
        <v>0</v>
      </c>
      <c r="W1161" s="354">
        <v>0</v>
      </c>
      <c r="X1161" s="354">
        <v>0</v>
      </c>
      <c r="Y1161" s="374"/>
      <c r="Z1161" s="354">
        <v>0</v>
      </c>
      <c r="AA1161" s="354">
        <v>0</v>
      </c>
      <c r="AB1161" s="374"/>
      <c r="AC1161" s="376">
        <v>0</v>
      </c>
      <c r="AD1161" s="376">
        <v>0</v>
      </c>
      <c r="AE1161" s="376">
        <v>0</v>
      </c>
      <c r="AF1161" s="374"/>
      <c r="AG1161" s="376">
        <v>0</v>
      </c>
      <c r="AH1161" s="376">
        <v>0</v>
      </c>
      <c r="AI1161" s="376">
        <v>0</v>
      </c>
      <c r="AJ1161" s="376">
        <v>0</v>
      </c>
      <c r="AK1161" s="374"/>
      <c r="AL1161" s="376">
        <v>0</v>
      </c>
      <c r="AM1161" s="376">
        <v>0</v>
      </c>
      <c r="AN1161" s="376">
        <v>0</v>
      </c>
      <c r="AO1161" s="374"/>
      <c r="AP1161" s="376">
        <v>0</v>
      </c>
      <c r="AQ1161" s="376">
        <v>0</v>
      </c>
      <c r="AR1161" s="374"/>
      <c r="AS1161" s="376">
        <v>0</v>
      </c>
      <c r="AT1161" s="376">
        <v>0</v>
      </c>
      <c r="AU1161" s="355" t="s">
        <v>396</v>
      </c>
      <c r="AV1161" s="353" t="s">
        <v>346</v>
      </c>
      <c r="AW1161" s="353">
        <v>0</v>
      </c>
      <c r="AX1161" s="353">
        <v>0</v>
      </c>
      <c r="AY1161" s="353">
        <v>0</v>
      </c>
      <c r="AZ1161" s="353">
        <v>0</v>
      </c>
      <c r="BA1161" s="353">
        <v>0</v>
      </c>
      <c r="BB1161" s="353">
        <v>0</v>
      </c>
    </row>
    <row r="1162" spans="1:54" x14ac:dyDescent="0.25">
      <c r="A1162" s="348" t="s">
        <v>1623</v>
      </c>
      <c r="B1162" s="349">
        <v>39</v>
      </c>
      <c r="C1162" s="423">
        <v>45200</v>
      </c>
      <c r="D1162" s="351">
        <v>45158</v>
      </c>
      <c r="F1162" s="353">
        <v>6</v>
      </c>
      <c r="G1162" s="427" t="s">
        <v>1053</v>
      </c>
      <c r="H1162" s="350" t="s">
        <v>1633</v>
      </c>
      <c r="I1162" s="350" t="s">
        <v>393</v>
      </c>
      <c r="J1162" s="560">
        <v>300000</v>
      </c>
      <c r="K1162" s="350" t="s">
        <v>394</v>
      </c>
      <c r="L1162" s="354">
        <v>2803.6597999999999</v>
      </c>
      <c r="M1162" s="576">
        <f t="shared" si="899"/>
        <v>107.00299658325166</v>
      </c>
      <c r="N1162" s="354" t="s">
        <v>395</v>
      </c>
      <c r="O1162" s="354">
        <v>0</v>
      </c>
      <c r="P1162" s="374"/>
      <c r="Q1162" s="354">
        <v>0</v>
      </c>
      <c r="R1162" s="354">
        <v>0</v>
      </c>
      <c r="S1162" s="354">
        <v>0</v>
      </c>
      <c r="T1162" s="354">
        <v>0</v>
      </c>
      <c r="U1162" s="374"/>
      <c r="V1162" s="354">
        <v>0</v>
      </c>
      <c r="W1162" s="354">
        <v>0</v>
      </c>
      <c r="X1162" s="354">
        <v>0</v>
      </c>
      <c r="Y1162" s="374"/>
      <c r="Z1162" s="354">
        <v>0</v>
      </c>
      <c r="AA1162" s="354">
        <v>0</v>
      </c>
      <c r="AB1162" s="374"/>
      <c r="AC1162" s="376">
        <v>0</v>
      </c>
      <c r="AD1162" s="376">
        <v>0</v>
      </c>
      <c r="AE1162" s="376">
        <v>0</v>
      </c>
      <c r="AF1162" s="374"/>
      <c r="AG1162" s="376">
        <v>0</v>
      </c>
      <c r="AH1162" s="376">
        <v>0</v>
      </c>
      <c r="AI1162" s="376">
        <v>0</v>
      </c>
      <c r="AJ1162" s="376">
        <v>0</v>
      </c>
      <c r="AK1162" s="374"/>
      <c r="AL1162" s="376">
        <v>0</v>
      </c>
      <c r="AM1162" s="376">
        <v>0</v>
      </c>
      <c r="AN1162" s="376">
        <v>0</v>
      </c>
      <c r="AO1162" s="374"/>
      <c r="AP1162" s="376">
        <v>0</v>
      </c>
      <c r="AQ1162" s="376">
        <v>0</v>
      </c>
      <c r="AR1162" s="374"/>
      <c r="AS1162" s="376">
        <v>0</v>
      </c>
      <c r="AT1162" s="376">
        <v>0</v>
      </c>
      <c r="AU1162" s="355" t="s">
        <v>396</v>
      </c>
      <c r="AV1162" s="353" t="s">
        <v>346</v>
      </c>
      <c r="AW1162" s="353">
        <v>0</v>
      </c>
      <c r="AX1162" s="353">
        <v>0</v>
      </c>
      <c r="AY1162" s="353">
        <v>0</v>
      </c>
      <c r="AZ1162" s="353">
        <v>0</v>
      </c>
      <c r="BA1162" s="353">
        <v>0</v>
      </c>
      <c r="BB1162" s="353">
        <v>0</v>
      </c>
    </row>
    <row r="1163" spans="1:54" x14ac:dyDescent="0.25">
      <c r="A1163" s="348" t="s">
        <v>1623</v>
      </c>
      <c r="B1163" s="349">
        <v>39</v>
      </c>
      <c r="C1163" s="423">
        <v>45200</v>
      </c>
      <c r="D1163" s="351">
        <v>45158</v>
      </c>
      <c r="F1163" s="353">
        <v>6</v>
      </c>
      <c r="G1163" s="427" t="s">
        <v>1053</v>
      </c>
      <c r="H1163" s="350" t="s">
        <v>1634</v>
      </c>
      <c r="I1163" s="350" t="s">
        <v>393</v>
      </c>
      <c r="J1163" s="560">
        <v>576000</v>
      </c>
      <c r="K1163" s="350" t="s">
        <v>394</v>
      </c>
      <c r="L1163" s="354">
        <v>2803.6597999999999</v>
      </c>
      <c r="M1163" s="576">
        <f t="shared" si="899"/>
        <v>205.44575343984317</v>
      </c>
      <c r="N1163" s="354" t="s">
        <v>395</v>
      </c>
      <c r="O1163" s="354">
        <v>0</v>
      </c>
      <c r="P1163" s="374"/>
      <c r="Q1163" s="354">
        <v>0</v>
      </c>
      <c r="R1163" s="354">
        <v>0</v>
      </c>
      <c r="S1163" s="354">
        <v>0</v>
      </c>
      <c r="T1163" s="354">
        <v>0</v>
      </c>
      <c r="U1163" s="374"/>
      <c r="V1163" s="354">
        <v>0</v>
      </c>
      <c r="W1163" s="354">
        <v>0</v>
      </c>
      <c r="X1163" s="354">
        <v>0</v>
      </c>
      <c r="Y1163" s="374"/>
      <c r="Z1163" s="354">
        <v>0</v>
      </c>
      <c r="AA1163" s="354">
        <v>0</v>
      </c>
      <c r="AB1163" s="374"/>
      <c r="AC1163" s="376">
        <v>0</v>
      </c>
      <c r="AD1163" s="376">
        <v>0</v>
      </c>
      <c r="AE1163" s="376">
        <v>0</v>
      </c>
      <c r="AF1163" s="374"/>
      <c r="AG1163" s="376">
        <v>0</v>
      </c>
      <c r="AH1163" s="376">
        <v>0</v>
      </c>
      <c r="AI1163" s="376">
        <v>0</v>
      </c>
      <c r="AJ1163" s="376">
        <v>0</v>
      </c>
      <c r="AK1163" s="374"/>
      <c r="AL1163" s="376">
        <v>0</v>
      </c>
      <c r="AM1163" s="376">
        <v>0</v>
      </c>
      <c r="AN1163" s="376">
        <v>0</v>
      </c>
      <c r="AO1163" s="374"/>
      <c r="AP1163" s="376">
        <v>0</v>
      </c>
      <c r="AQ1163" s="376">
        <v>0</v>
      </c>
      <c r="AR1163" s="374"/>
      <c r="AS1163" s="376">
        <v>0</v>
      </c>
      <c r="AT1163" s="376">
        <v>0</v>
      </c>
      <c r="AU1163" s="355" t="s">
        <v>396</v>
      </c>
      <c r="AV1163" s="353" t="s">
        <v>346</v>
      </c>
      <c r="AW1163" s="353">
        <v>0</v>
      </c>
      <c r="AX1163" s="353">
        <v>0</v>
      </c>
      <c r="AY1163" s="353">
        <v>0</v>
      </c>
      <c r="AZ1163" s="353">
        <v>0</v>
      </c>
      <c r="BA1163" s="353">
        <v>0</v>
      </c>
      <c r="BB1163" s="353">
        <v>0</v>
      </c>
    </row>
    <row r="1164" spans="1:54" x14ac:dyDescent="0.25">
      <c r="A1164" s="348" t="s">
        <v>1623</v>
      </c>
      <c r="B1164" s="349">
        <v>39</v>
      </c>
      <c r="C1164" s="423">
        <v>45200</v>
      </c>
      <c r="D1164" s="351">
        <v>45158</v>
      </c>
      <c r="F1164" s="353">
        <v>6</v>
      </c>
      <c r="G1164" s="427" t="s">
        <v>1053</v>
      </c>
      <c r="H1164" s="350" t="s">
        <v>1635</v>
      </c>
      <c r="I1164" s="350" t="s">
        <v>393</v>
      </c>
      <c r="J1164" s="560">
        <v>1200000</v>
      </c>
      <c r="K1164" s="350" t="s">
        <v>394</v>
      </c>
      <c r="L1164" s="354">
        <v>2803.6597999999999</v>
      </c>
      <c r="M1164" s="576">
        <f t="shared" si="899"/>
        <v>428.01198633300663</v>
      </c>
      <c r="N1164" s="354" t="s">
        <v>395</v>
      </c>
      <c r="O1164" s="354">
        <v>0</v>
      </c>
      <c r="P1164" s="374"/>
      <c r="Q1164" s="354">
        <v>0</v>
      </c>
      <c r="R1164" s="354">
        <v>0</v>
      </c>
      <c r="S1164" s="354">
        <v>0</v>
      </c>
      <c r="T1164" s="354">
        <v>0</v>
      </c>
      <c r="U1164" s="374"/>
      <c r="V1164" s="354">
        <v>0</v>
      </c>
      <c r="W1164" s="354">
        <v>0</v>
      </c>
      <c r="X1164" s="354">
        <v>0</v>
      </c>
      <c r="Y1164" s="374"/>
      <c r="Z1164" s="354">
        <v>0</v>
      </c>
      <c r="AA1164" s="354">
        <v>0</v>
      </c>
      <c r="AB1164" s="374"/>
      <c r="AC1164" s="376">
        <v>0</v>
      </c>
      <c r="AD1164" s="376">
        <v>0</v>
      </c>
      <c r="AE1164" s="376">
        <v>0</v>
      </c>
      <c r="AF1164" s="374"/>
      <c r="AG1164" s="376">
        <v>0</v>
      </c>
      <c r="AH1164" s="376">
        <v>0</v>
      </c>
      <c r="AI1164" s="376">
        <v>0</v>
      </c>
      <c r="AJ1164" s="376">
        <v>0</v>
      </c>
      <c r="AK1164" s="374"/>
      <c r="AL1164" s="376">
        <v>0</v>
      </c>
      <c r="AM1164" s="376">
        <v>0</v>
      </c>
      <c r="AN1164" s="376">
        <v>0</v>
      </c>
      <c r="AO1164" s="374"/>
      <c r="AP1164" s="376">
        <v>0</v>
      </c>
      <c r="AQ1164" s="376">
        <v>0</v>
      </c>
      <c r="AR1164" s="374"/>
      <c r="AS1164" s="376">
        <v>0</v>
      </c>
      <c r="AT1164" s="376">
        <v>0</v>
      </c>
      <c r="AU1164" s="355" t="s">
        <v>396</v>
      </c>
      <c r="AV1164" s="353" t="s">
        <v>346</v>
      </c>
      <c r="AW1164" s="353">
        <v>0</v>
      </c>
      <c r="AX1164" s="353">
        <v>0</v>
      </c>
      <c r="AY1164" s="353">
        <v>0</v>
      </c>
      <c r="AZ1164" s="353">
        <v>0</v>
      </c>
      <c r="BA1164" s="353">
        <v>0</v>
      </c>
      <c r="BB1164" s="353">
        <v>0</v>
      </c>
    </row>
    <row r="1165" spans="1:54" x14ac:dyDescent="0.25">
      <c r="A1165" s="348" t="s">
        <v>1623</v>
      </c>
      <c r="B1165" s="349">
        <v>39</v>
      </c>
      <c r="C1165" s="423">
        <v>45200</v>
      </c>
      <c r="D1165" s="351">
        <v>45158</v>
      </c>
      <c r="F1165" s="353">
        <v>6</v>
      </c>
      <c r="G1165" s="427" t="s">
        <v>1053</v>
      </c>
      <c r="H1165" s="350" t="s">
        <v>1636</v>
      </c>
      <c r="I1165" s="350"/>
      <c r="J1165" s="560">
        <v>144000</v>
      </c>
      <c r="K1165" s="350" t="s">
        <v>394</v>
      </c>
      <c r="L1165" s="354">
        <v>2803.6597999999999</v>
      </c>
      <c r="M1165" s="576">
        <f t="shared" si="899"/>
        <v>51.361438359960793</v>
      </c>
      <c r="N1165" s="354" t="s">
        <v>395</v>
      </c>
      <c r="O1165" s="354">
        <v>0</v>
      </c>
      <c r="P1165" s="374"/>
      <c r="Q1165" s="354">
        <v>0</v>
      </c>
      <c r="R1165" s="354">
        <v>0</v>
      </c>
      <c r="S1165" s="354">
        <v>0</v>
      </c>
      <c r="T1165" s="354">
        <v>0</v>
      </c>
      <c r="U1165" s="374"/>
      <c r="V1165" s="354">
        <v>0</v>
      </c>
      <c r="W1165" s="354">
        <v>0</v>
      </c>
      <c r="X1165" s="354">
        <v>0</v>
      </c>
      <c r="Y1165" s="374"/>
      <c r="Z1165" s="354">
        <v>0</v>
      </c>
      <c r="AA1165" s="354">
        <v>0</v>
      </c>
      <c r="AB1165" s="374"/>
      <c r="AC1165" s="376">
        <v>0</v>
      </c>
      <c r="AD1165" s="376">
        <v>0</v>
      </c>
      <c r="AE1165" s="376">
        <v>0</v>
      </c>
      <c r="AF1165" s="374"/>
      <c r="AG1165" s="376">
        <v>0</v>
      </c>
      <c r="AH1165" s="376">
        <v>0</v>
      </c>
      <c r="AI1165" s="376">
        <v>0</v>
      </c>
      <c r="AJ1165" s="376">
        <v>0</v>
      </c>
      <c r="AK1165" s="374"/>
      <c r="AL1165" s="376">
        <v>0</v>
      </c>
      <c r="AM1165" s="376">
        <v>0</v>
      </c>
      <c r="AN1165" s="376">
        <v>0</v>
      </c>
      <c r="AO1165" s="374"/>
      <c r="AP1165" s="376">
        <v>0</v>
      </c>
      <c r="AQ1165" s="376">
        <v>0</v>
      </c>
      <c r="AR1165" s="374"/>
      <c r="AS1165" s="376">
        <v>0</v>
      </c>
      <c r="AT1165" s="376">
        <v>0</v>
      </c>
      <c r="AU1165" s="355" t="s">
        <v>396</v>
      </c>
      <c r="AV1165" s="353" t="s">
        <v>346</v>
      </c>
      <c r="AW1165" s="353">
        <v>0</v>
      </c>
      <c r="AX1165" s="353">
        <v>0</v>
      </c>
      <c r="AY1165" s="353">
        <v>0</v>
      </c>
      <c r="AZ1165" s="353">
        <v>0</v>
      </c>
      <c r="BA1165" s="353">
        <v>0</v>
      </c>
      <c r="BB1165" s="353">
        <v>0</v>
      </c>
    </row>
    <row r="1166" spans="1:54" x14ac:dyDescent="0.25">
      <c r="A1166" s="348" t="s">
        <v>1624</v>
      </c>
      <c r="B1166" s="349">
        <v>35</v>
      </c>
      <c r="C1166" s="423">
        <v>45200</v>
      </c>
      <c r="D1166" s="351">
        <v>45154</v>
      </c>
      <c r="F1166" s="353">
        <v>6</v>
      </c>
      <c r="G1166" s="427" t="s">
        <v>1053</v>
      </c>
      <c r="H1166" s="350" t="s">
        <v>1637</v>
      </c>
      <c r="I1166" s="350" t="s">
        <v>393</v>
      </c>
      <c r="J1166" s="560">
        <v>3000000</v>
      </c>
      <c r="K1166" s="350" t="s">
        <v>394</v>
      </c>
      <c r="L1166" s="354">
        <v>2803.6597999999999</v>
      </c>
      <c r="M1166" s="576">
        <f>+J1166/L1166</f>
        <v>1070.0299658325166</v>
      </c>
      <c r="N1166" s="354" t="s">
        <v>395</v>
      </c>
      <c r="O1166" s="354">
        <v>0</v>
      </c>
      <c r="P1166" s="374"/>
      <c r="Q1166" s="354">
        <v>0</v>
      </c>
      <c r="R1166" s="354">
        <v>0</v>
      </c>
      <c r="S1166" s="354">
        <v>0</v>
      </c>
      <c r="T1166" s="354">
        <v>0</v>
      </c>
      <c r="U1166" s="374"/>
      <c r="V1166" s="354">
        <v>0</v>
      </c>
      <c r="W1166" s="354">
        <v>0</v>
      </c>
      <c r="X1166" s="354">
        <v>0</v>
      </c>
      <c r="Y1166" s="374"/>
      <c r="Z1166" s="354">
        <v>0</v>
      </c>
      <c r="AA1166" s="354">
        <v>0</v>
      </c>
      <c r="AB1166" s="374"/>
      <c r="AC1166" s="376">
        <v>0</v>
      </c>
      <c r="AD1166" s="376">
        <v>0</v>
      </c>
      <c r="AE1166" s="376">
        <v>0</v>
      </c>
      <c r="AF1166" s="374"/>
      <c r="AG1166" s="376">
        <v>0</v>
      </c>
      <c r="AH1166" s="376">
        <v>0</v>
      </c>
      <c r="AI1166" s="376">
        <v>0</v>
      </c>
      <c r="AJ1166" s="376">
        <v>0</v>
      </c>
      <c r="AK1166" s="374"/>
      <c r="AL1166" s="376">
        <v>0</v>
      </c>
      <c r="AM1166" s="376">
        <v>0</v>
      </c>
      <c r="AN1166" s="376">
        <v>0</v>
      </c>
      <c r="AO1166" s="374"/>
      <c r="AP1166" s="376">
        <v>0</v>
      </c>
      <c r="AQ1166" s="376">
        <v>0</v>
      </c>
      <c r="AR1166" s="374"/>
      <c r="AS1166" s="376">
        <v>0</v>
      </c>
      <c r="AT1166" s="376">
        <v>0</v>
      </c>
      <c r="AU1166" s="355" t="s">
        <v>396</v>
      </c>
      <c r="AV1166" s="353" t="s">
        <v>346</v>
      </c>
      <c r="AW1166" s="353">
        <v>0</v>
      </c>
      <c r="AX1166" s="353">
        <v>0</v>
      </c>
      <c r="AY1166" s="353">
        <v>0</v>
      </c>
      <c r="AZ1166" s="353">
        <v>0</v>
      </c>
      <c r="BA1166" s="353">
        <v>0</v>
      </c>
      <c r="BB1166" s="353">
        <v>0</v>
      </c>
    </row>
    <row r="1167" spans="1:54" x14ac:dyDescent="0.25">
      <c r="A1167" s="348" t="s">
        <v>1624</v>
      </c>
      <c r="B1167" s="349">
        <v>35</v>
      </c>
      <c r="C1167" s="423">
        <v>45200</v>
      </c>
      <c r="D1167" s="351">
        <v>45154</v>
      </c>
      <c r="F1167" s="353">
        <v>6</v>
      </c>
      <c r="G1167" s="427" t="s">
        <v>1053</v>
      </c>
      <c r="H1167" s="350" t="s">
        <v>1638</v>
      </c>
      <c r="I1167" s="350" t="s">
        <v>393</v>
      </c>
      <c r="J1167" s="560">
        <v>1500000</v>
      </c>
      <c r="K1167" s="350" t="s">
        <v>394</v>
      </c>
      <c r="L1167" s="354">
        <v>2803.6597999999999</v>
      </c>
      <c r="M1167" s="576">
        <f>+J1167/L1167</f>
        <v>535.0149829162583</v>
      </c>
      <c r="N1167" s="354" t="s">
        <v>395</v>
      </c>
      <c r="O1167" s="354">
        <v>0</v>
      </c>
      <c r="P1167" s="374"/>
      <c r="Q1167" s="354">
        <v>0</v>
      </c>
      <c r="R1167" s="354">
        <v>0</v>
      </c>
      <c r="S1167" s="354">
        <v>0</v>
      </c>
      <c r="T1167" s="354">
        <v>0</v>
      </c>
      <c r="U1167" s="374"/>
      <c r="V1167" s="354">
        <v>0</v>
      </c>
      <c r="W1167" s="354">
        <v>0</v>
      </c>
      <c r="X1167" s="354">
        <v>0</v>
      </c>
      <c r="Y1167" s="374"/>
      <c r="Z1167" s="354">
        <v>0</v>
      </c>
      <c r="AA1167" s="354">
        <v>0</v>
      </c>
      <c r="AB1167" s="374"/>
      <c r="AC1167" s="376">
        <v>0</v>
      </c>
      <c r="AD1167" s="376">
        <v>0</v>
      </c>
      <c r="AE1167" s="376">
        <v>0</v>
      </c>
      <c r="AF1167" s="374"/>
      <c r="AG1167" s="376">
        <v>0</v>
      </c>
      <c r="AH1167" s="376">
        <v>0</v>
      </c>
      <c r="AI1167" s="376">
        <v>0</v>
      </c>
      <c r="AJ1167" s="376">
        <v>0</v>
      </c>
      <c r="AK1167" s="374"/>
      <c r="AL1167" s="376">
        <v>0</v>
      </c>
      <c r="AM1167" s="376">
        <v>0</v>
      </c>
      <c r="AN1167" s="376">
        <v>0</v>
      </c>
      <c r="AO1167" s="374"/>
      <c r="AP1167" s="376">
        <v>0</v>
      </c>
      <c r="AQ1167" s="376">
        <v>0</v>
      </c>
      <c r="AR1167" s="374"/>
      <c r="AS1167" s="376">
        <v>0</v>
      </c>
      <c r="AT1167" s="376">
        <v>0</v>
      </c>
      <c r="AU1167" s="355" t="s">
        <v>396</v>
      </c>
      <c r="AV1167" s="353" t="s">
        <v>346</v>
      </c>
      <c r="AW1167" s="353">
        <v>0</v>
      </c>
      <c r="AX1167" s="353">
        <v>0</v>
      </c>
      <c r="AY1167" s="353">
        <v>0</v>
      </c>
      <c r="AZ1167" s="353">
        <v>0</v>
      </c>
      <c r="BA1167" s="353">
        <v>0</v>
      </c>
      <c r="BB1167" s="353">
        <v>0</v>
      </c>
    </row>
    <row r="1168" spans="1:54" x14ac:dyDescent="0.25">
      <c r="A1168" s="348" t="s">
        <v>1625</v>
      </c>
      <c r="B1168" s="349">
        <v>39</v>
      </c>
      <c r="C1168" s="423">
        <v>45200</v>
      </c>
      <c r="D1168" s="351">
        <v>45161</v>
      </c>
      <c r="F1168" s="353">
        <v>6</v>
      </c>
      <c r="G1168" s="427" t="s">
        <v>1053</v>
      </c>
      <c r="H1168" s="350" t="s">
        <v>1639</v>
      </c>
      <c r="I1168" s="350" t="s">
        <v>393</v>
      </c>
      <c r="J1168" s="560">
        <v>191500</v>
      </c>
      <c r="K1168" s="350" t="s">
        <v>394</v>
      </c>
      <c r="L1168" s="354">
        <v>2803.6597999999999</v>
      </c>
      <c r="M1168" s="576">
        <f t="shared" si="899"/>
        <v>68.303579485642302</v>
      </c>
      <c r="N1168" s="354" t="s">
        <v>395</v>
      </c>
      <c r="O1168" s="354">
        <v>0</v>
      </c>
      <c r="P1168" s="374"/>
      <c r="Q1168" s="354">
        <v>0</v>
      </c>
      <c r="R1168" s="354">
        <v>0</v>
      </c>
      <c r="S1168" s="354">
        <v>0</v>
      </c>
      <c r="T1168" s="354">
        <v>0</v>
      </c>
      <c r="U1168" s="374"/>
      <c r="V1168" s="354">
        <v>0</v>
      </c>
      <c r="W1168" s="354">
        <v>0</v>
      </c>
      <c r="X1168" s="354">
        <v>0</v>
      </c>
      <c r="Y1168" s="374"/>
      <c r="Z1168" s="354">
        <v>0</v>
      </c>
      <c r="AA1168" s="354">
        <v>0</v>
      </c>
      <c r="AB1168" s="374"/>
      <c r="AC1168" s="376">
        <v>0</v>
      </c>
      <c r="AD1168" s="376">
        <v>0</v>
      </c>
      <c r="AE1168" s="376">
        <v>0</v>
      </c>
      <c r="AF1168" s="374"/>
      <c r="AG1168" s="376">
        <v>0</v>
      </c>
      <c r="AH1168" s="376">
        <v>0</v>
      </c>
      <c r="AI1168" s="376">
        <v>0</v>
      </c>
      <c r="AJ1168" s="376">
        <v>0</v>
      </c>
      <c r="AK1168" s="374"/>
      <c r="AL1168" s="376">
        <v>0</v>
      </c>
      <c r="AM1168" s="376">
        <v>0</v>
      </c>
      <c r="AN1168" s="376">
        <v>0</v>
      </c>
      <c r="AO1168" s="374"/>
      <c r="AP1168" s="376">
        <v>0</v>
      </c>
      <c r="AQ1168" s="376">
        <v>0</v>
      </c>
      <c r="AR1168" s="374"/>
      <c r="AS1168" s="376">
        <v>0</v>
      </c>
      <c r="AT1168" s="376">
        <v>0</v>
      </c>
      <c r="AU1168" s="355" t="s">
        <v>396</v>
      </c>
      <c r="AV1168" s="353" t="s">
        <v>346</v>
      </c>
      <c r="AW1168" s="353">
        <v>0</v>
      </c>
      <c r="AX1168" s="353">
        <v>0</v>
      </c>
      <c r="AY1168" s="353">
        <v>0</v>
      </c>
      <c r="AZ1168" s="353">
        <v>0</v>
      </c>
      <c r="BA1168" s="353">
        <v>0</v>
      </c>
      <c r="BB1168" s="353">
        <v>0</v>
      </c>
    </row>
    <row r="1169" spans="1:54" x14ac:dyDescent="0.25">
      <c r="A1169" s="348" t="s">
        <v>1626</v>
      </c>
      <c r="B1169" s="349">
        <v>39</v>
      </c>
      <c r="C1169" s="423">
        <v>45200</v>
      </c>
      <c r="D1169" s="351">
        <v>45161</v>
      </c>
      <c r="F1169" s="353">
        <v>6</v>
      </c>
      <c r="G1169" s="427" t="s">
        <v>1053</v>
      </c>
      <c r="H1169" s="350" t="s">
        <v>1640</v>
      </c>
      <c r="I1169" s="350" t="s">
        <v>393</v>
      </c>
      <c r="J1169" s="560">
        <f>192000+192000+192000+192000+192000+280000</f>
        <v>1240000</v>
      </c>
      <c r="K1169" s="350" t="s">
        <v>394</v>
      </c>
      <c r="L1169" s="354">
        <v>2803.6597999999999</v>
      </c>
      <c r="M1169" s="576">
        <f t="shared" si="899"/>
        <v>442.27905254410683</v>
      </c>
      <c r="N1169" s="354" t="s">
        <v>395</v>
      </c>
      <c r="O1169" s="354">
        <v>0</v>
      </c>
      <c r="P1169" s="374"/>
      <c r="Q1169" s="354">
        <v>0</v>
      </c>
      <c r="R1169" s="354">
        <v>0</v>
      </c>
      <c r="S1169" s="354">
        <v>0</v>
      </c>
      <c r="T1169" s="354">
        <v>0</v>
      </c>
      <c r="U1169" s="374"/>
      <c r="V1169" s="354">
        <v>0</v>
      </c>
      <c r="W1169" s="354">
        <v>0</v>
      </c>
      <c r="X1169" s="354">
        <v>0</v>
      </c>
      <c r="Y1169" s="374"/>
      <c r="Z1169" s="354">
        <v>0</v>
      </c>
      <c r="AA1169" s="354">
        <v>0</v>
      </c>
      <c r="AB1169" s="374"/>
      <c r="AC1169" s="376">
        <v>0</v>
      </c>
      <c r="AD1169" s="376">
        <v>0</v>
      </c>
      <c r="AE1169" s="376">
        <v>0</v>
      </c>
      <c r="AF1169" s="374"/>
      <c r="AG1169" s="376">
        <v>0</v>
      </c>
      <c r="AH1169" s="376">
        <v>0</v>
      </c>
      <c r="AI1169" s="376">
        <v>0</v>
      </c>
      <c r="AJ1169" s="376">
        <v>0</v>
      </c>
      <c r="AK1169" s="374"/>
      <c r="AL1169" s="376">
        <v>0</v>
      </c>
      <c r="AM1169" s="376">
        <v>0</v>
      </c>
      <c r="AN1169" s="376">
        <v>0</v>
      </c>
      <c r="AO1169" s="374"/>
      <c r="AP1169" s="376">
        <v>0</v>
      </c>
      <c r="AQ1169" s="376">
        <v>0</v>
      </c>
      <c r="AR1169" s="374"/>
      <c r="AS1169" s="376">
        <v>0</v>
      </c>
      <c r="AT1169" s="376">
        <v>0</v>
      </c>
      <c r="AU1169" s="355" t="s">
        <v>396</v>
      </c>
      <c r="AV1169" s="353" t="s">
        <v>346</v>
      </c>
      <c r="AW1169" s="353">
        <v>0</v>
      </c>
      <c r="AX1169" s="353">
        <v>0</v>
      </c>
      <c r="AY1169" s="353">
        <v>0</v>
      </c>
      <c r="AZ1169" s="353">
        <v>0</v>
      </c>
      <c r="BA1169" s="353">
        <v>0</v>
      </c>
      <c r="BB1169" s="353">
        <v>0</v>
      </c>
    </row>
    <row r="1170" spans="1:54" x14ac:dyDescent="0.25">
      <c r="A1170" s="348" t="s">
        <v>1626</v>
      </c>
      <c r="B1170" s="349">
        <v>39</v>
      </c>
      <c r="C1170" s="423">
        <v>45200</v>
      </c>
      <c r="D1170" s="351">
        <v>45161</v>
      </c>
      <c r="F1170" s="353">
        <v>6</v>
      </c>
      <c r="G1170" s="427" t="s">
        <v>1053</v>
      </c>
      <c r="H1170" s="350" t="s">
        <v>1641</v>
      </c>
      <c r="I1170" s="350" t="s">
        <v>393</v>
      </c>
      <c r="J1170" s="560">
        <v>2275000</v>
      </c>
      <c r="K1170" s="350" t="s">
        <v>394</v>
      </c>
      <c r="L1170" s="354">
        <v>2803.6597999999999</v>
      </c>
      <c r="M1170" s="576">
        <f t="shared" si="899"/>
        <v>811.439390756325</v>
      </c>
      <c r="N1170" s="354" t="s">
        <v>395</v>
      </c>
      <c r="O1170" s="354">
        <v>0</v>
      </c>
      <c r="P1170" s="374"/>
      <c r="Q1170" s="354">
        <v>0</v>
      </c>
      <c r="R1170" s="354">
        <v>0</v>
      </c>
      <c r="S1170" s="354">
        <v>0</v>
      </c>
      <c r="T1170" s="354">
        <v>0</v>
      </c>
      <c r="U1170" s="374"/>
      <c r="V1170" s="354">
        <v>0</v>
      </c>
      <c r="W1170" s="354">
        <v>0</v>
      </c>
      <c r="X1170" s="354">
        <v>0</v>
      </c>
      <c r="Y1170" s="374"/>
      <c r="Z1170" s="354">
        <v>0</v>
      </c>
      <c r="AA1170" s="354">
        <v>0</v>
      </c>
      <c r="AB1170" s="374"/>
      <c r="AC1170" s="376">
        <v>0</v>
      </c>
      <c r="AD1170" s="376">
        <v>0</v>
      </c>
      <c r="AE1170" s="376">
        <v>0</v>
      </c>
      <c r="AF1170" s="374"/>
      <c r="AG1170" s="376">
        <v>0</v>
      </c>
      <c r="AH1170" s="376">
        <v>0</v>
      </c>
      <c r="AI1170" s="376">
        <v>0</v>
      </c>
      <c r="AJ1170" s="376">
        <v>0</v>
      </c>
      <c r="AK1170" s="374"/>
      <c r="AL1170" s="376">
        <v>0</v>
      </c>
      <c r="AM1170" s="376">
        <v>0</v>
      </c>
      <c r="AN1170" s="376">
        <v>0</v>
      </c>
      <c r="AO1170" s="374"/>
      <c r="AP1170" s="376">
        <v>0</v>
      </c>
      <c r="AQ1170" s="376">
        <v>0</v>
      </c>
      <c r="AR1170" s="374"/>
      <c r="AS1170" s="376">
        <v>0</v>
      </c>
      <c r="AT1170" s="376">
        <v>0</v>
      </c>
      <c r="AU1170" s="355" t="s">
        <v>396</v>
      </c>
      <c r="AV1170" s="353" t="s">
        <v>346</v>
      </c>
      <c r="AW1170" s="353">
        <v>0</v>
      </c>
      <c r="AX1170" s="353">
        <v>0</v>
      </c>
      <c r="AY1170" s="353">
        <v>0</v>
      </c>
      <c r="AZ1170" s="353">
        <v>0</v>
      </c>
      <c r="BA1170" s="353">
        <v>0</v>
      </c>
      <c r="BB1170" s="353">
        <v>0</v>
      </c>
    </row>
    <row r="1171" spans="1:54" x14ac:dyDescent="0.25">
      <c r="A1171" s="348" t="s">
        <v>1626</v>
      </c>
      <c r="B1171" s="349">
        <v>39</v>
      </c>
      <c r="C1171" s="423">
        <v>45200</v>
      </c>
      <c r="D1171" s="351">
        <v>45161</v>
      </c>
      <c r="F1171" s="353">
        <v>6</v>
      </c>
      <c r="G1171" s="427" t="s">
        <v>1053</v>
      </c>
      <c r="H1171" s="350" t="s">
        <v>1642</v>
      </c>
      <c r="I1171" s="350" t="s">
        <v>393</v>
      </c>
      <c r="J1171" s="560">
        <v>15000</v>
      </c>
      <c r="K1171" s="350" t="s">
        <v>394</v>
      </c>
      <c r="L1171" s="354">
        <v>2803.6597999999999</v>
      </c>
      <c r="M1171" s="576">
        <f t="shared" si="899"/>
        <v>5.3501498291625822</v>
      </c>
      <c r="N1171" s="354" t="s">
        <v>395</v>
      </c>
      <c r="O1171" s="354">
        <v>0</v>
      </c>
      <c r="P1171" s="374"/>
      <c r="Q1171" s="354">
        <v>0</v>
      </c>
      <c r="R1171" s="354">
        <v>0</v>
      </c>
      <c r="S1171" s="354">
        <v>0</v>
      </c>
      <c r="T1171" s="354">
        <v>0</v>
      </c>
      <c r="U1171" s="374"/>
      <c r="V1171" s="354">
        <v>0</v>
      </c>
      <c r="W1171" s="354">
        <v>0</v>
      </c>
      <c r="X1171" s="354">
        <v>0</v>
      </c>
      <c r="Y1171" s="374"/>
      <c r="Z1171" s="354">
        <v>0</v>
      </c>
      <c r="AA1171" s="354">
        <v>0</v>
      </c>
      <c r="AB1171" s="374"/>
      <c r="AC1171" s="376">
        <v>0</v>
      </c>
      <c r="AD1171" s="376">
        <v>0</v>
      </c>
      <c r="AE1171" s="376">
        <v>0</v>
      </c>
      <c r="AF1171" s="374"/>
      <c r="AG1171" s="376">
        <v>0</v>
      </c>
      <c r="AH1171" s="376">
        <v>0</v>
      </c>
      <c r="AI1171" s="376">
        <v>0</v>
      </c>
      <c r="AJ1171" s="376">
        <v>0</v>
      </c>
      <c r="AK1171" s="374"/>
      <c r="AL1171" s="376">
        <v>0</v>
      </c>
      <c r="AM1171" s="376">
        <v>0</v>
      </c>
      <c r="AN1171" s="376">
        <v>0</v>
      </c>
      <c r="AO1171" s="374"/>
      <c r="AP1171" s="376">
        <v>0</v>
      </c>
      <c r="AQ1171" s="376">
        <v>0</v>
      </c>
      <c r="AR1171" s="374"/>
      <c r="AS1171" s="376">
        <v>0</v>
      </c>
      <c r="AT1171" s="376">
        <v>0</v>
      </c>
      <c r="AU1171" s="355" t="s">
        <v>396</v>
      </c>
      <c r="AV1171" s="353" t="s">
        <v>346</v>
      </c>
      <c r="AW1171" s="353">
        <v>0</v>
      </c>
      <c r="AX1171" s="353">
        <v>0</v>
      </c>
      <c r="AY1171" s="353">
        <v>0</v>
      </c>
      <c r="AZ1171" s="353">
        <v>0</v>
      </c>
      <c r="BA1171" s="353">
        <v>0</v>
      </c>
      <c r="BB1171" s="353">
        <v>0</v>
      </c>
    </row>
    <row r="1172" spans="1:54" x14ac:dyDescent="0.25">
      <c r="A1172" s="348" t="s">
        <v>1626</v>
      </c>
      <c r="B1172" s="349">
        <v>39</v>
      </c>
      <c r="C1172" s="423">
        <v>45200</v>
      </c>
      <c r="D1172" s="351">
        <v>45161</v>
      </c>
      <c r="F1172" s="353">
        <v>6</v>
      </c>
      <c r="G1172" s="427" t="s">
        <v>1053</v>
      </c>
      <c r="H1172" s="350" t="s">
        <v>1187</v>
      </c>
      <c r="I1172" s="350" t="s">
        <v>393</v>
      </c>
      <c r="J1172" s="560">
        <v>222500</v>
      </c>
      <c r="K1172" s="350" t="s">
        <v>394</v>
      </c>
      <c r="L1172" s="354">
        <v>2803.6597999999999</v>
      </c>
      <c r="M1172" s="576">
        <f t="shared" si="899"/>
        <v>79.360555799244977</v>
      </c>
      <c r="N1172" s="354" t="s">
        <v>395</v>
      </c>
      <c r="O1172" s="354">
        <v>0</v>
      </c>
      <c r="P1172" s="374"/>
      <c r="Q1172" s="354">
        <v>0</v>
      </c>
      <c r="R1172" s="354">
        <v>0</v>
      </c>
      <c r="S1172" s="354">
        <v>0</v>
      </c>
      <c r="T1172" s="354">
        <v>0</v>
      </c>
      <c r="U1172" s="374"/>
      <c r="V1172" s="354">
        <v>0</v>
      </c>
      <c r="W1172" s="354">
        <v>0</v>
      </c>
      <c r="X1172" s="354">
        <v>0</v>
      </c>
      <c r="Y1172" s="374"/>
      <c r="Z1172" s="354">
        <v>0</v>
      </c>
      <c r="AA1172" s="354">
        <v>0</v>
      </c>
      <c r="AB1172" s="374"/>
      <c r="AC1172" s="376">
        <v>0</v>
      </c>
      <c r="AD1172" s="376">
        <v>0</v>
      </c>
      <c r="AE1172" s="376">
        <v>0</v>
      </c>
      <c r="AF1172" s="374"/>
      <c r="AG1172" s="376">
        <v>0</v>
      </c>
      <c r="AH1172" s="376">
        <v>0</v>
      </c>
      <c r="AI1172" s="376">
        <v>0</v>
      </c>
      <c r="AJ1172" s="376">
        <v>0</v>
      </c>
      <c r="AK1172" s="374"/>
      <c r="AL1172" s="376">
        <v>0</v>
      </c>
      <c r="AM1172" s="376">
        <v>0</v>
      </c>
      <c r="AN1172" s="376">
        <v>0</v>
      </c>
      <c r="AO1172" s="374"/>
      <c r="AP1172" s="376">
        <v>0</v>
      </c>
      <c r="AQ1172" s="376">
        <v>0</v>
      </c>
      <c r="AR1172" s="374"/>
      <c r="AS1172" s="376">
        <v>0</v>
      </c>
      <c r="AT1172" s="376">
        <v>0</v>
      </c>
      <c r="AU1172" s="355" t="s">
        <v>396</v>
      </c>
      <c r="AV1172" s="353" t="s">
        <v>346</v>
      </c>
      <c r="AW1172" s="353">
        <v>0</v>
      </c>
      <c r="AX1172" s="353">
        <v>0</v>
      </c>
      <c r="AY1172" s="353">
        <v>0</v>
      </c>
      <c r="AZ1172" s="353">
        <v>0</v>
      </c>
      <c r="BA1172" s="353">
        <v>0</v>
      </c>
      <c r="BB1172" s="353">
        <v>0</v>
      </c>
    </row>
    <row r="1173" spans="1:54" x14ac:dyDescent="0.25">
      <c r="A1173" s="348" t="s">
        <v>1627</v>
      </c>
      <c r="B1173" s="349">
        <v>39</v>
      </c>
      <c r="C1173" s="423">
        <v>45200</v>
      </c>
      <c r="D1173" s="351">
        <v>45230</v>
      </c>
      <c r="F1173" s="353">
        <v>6</v>
      </c>
      <c r="G1173" s="427" t="s">
        <v>1053</v>
      </c>
      <c r="H1173" s="350" t="s">
        <v>1643</v>
      </c>
      <c r="I1173" s="350" t="s">
        <v>393</v>
      </c>
      <c r="J1173" s="560">
        <v>500000</v>
      </c>
      <c r="K1173" s="350" t="s">
        <v>394</v>
      </c>
      <c r="L1173" s="354">
        <v>2803.6597999999999</v>
      </c>
      <c r="M1173" s="576">
        <f t="shared" si="899"/>
        <v>178.33832763875276</v>
      </c>
      <c r="N1173" s="354" t="s">
        <v>395</v>
      </c>
      <c r="O1173" s="354">
        <v>0</v>
      </c>
      <c r="P1173" s="374"/>
      <c r="Q1173" s="354">
        <v>0</v>
      </c>
      <c r="R1173" s="354">
        <v>0</v>
      </c>
      <c r="S1173" s="354">
        <v>0</v>
      </c>
      <c r="T1173" s="354">
        <v>0</v>
      </c>
      <c r="U1173" s="374"/>
      <c r="V1173" s="354">
        <v>0</v>
      </c>
      <c r="W1173" s="354">
        <v>0</v>
      </c>
      <c r="X1173" s="354">
        <v>0</v>
      </c>
      <c r="Y1173" s="374"/>
      <c r="Z1173" s="354">
        <v>0</v>
      </c>
      <c r="AA1173" s="354">
        <v>0</v>
      </c>
      <c r="AB1173" s="374"/>
      <c r="AC1173" s="376">
        <v>0</v>
      </c>
      <c r="AD1173" s="376">
        <v>0</v>
      </c>
      <c r="AE1173" s="376">
        <v>0</v>
      </c>
      <c r="AF1173" s="374"/>
      <c r="AG1173" s="376">
        <v>0</v>
      </c>
      <c r="AH1173" s="376">
        <v>0</v>
      </c>
      <c r="AI1173" s="376">
        <v>0</v>
      </c>
      <c r="AJ1173" s="376">
        <v>0</v>
      </c>
      <c r="AK1173" s="374"/>
      <c r="AL1173" s="376">
        <v>0</v>
      </c>
      <c r="AM1173" s="376">
        <v>0</v>
      </c>
      <c r="AN1173" s="376">
        <v>0</v>
      </c>
      <c r="AO1173" s="374"/>
      <c r="AP1173" s="376">
        <v>0</v>
      </c>
      <c r="AQ1173" s="376">
        <v>0</v>
      </c>
      <c r="AR1173" s="374"/>
      <c r="AS1173" s="376">
        <v>0</v>
      </c>
      <c r="AT1173" s="376">
        <v>0</v>
      </c>
      <c r="AU1173" s="355" t="s">
        <v>396</v>
      </c>
      <c r="AV1173" s="353" t="s">
        <v>346</v>
      </c>
      <c r="AW1173" s="353">
        <v>0</v>
      </c>
      <c r="AX1173" s="353">
        <v>0</v>
      </c>
      <c r="AY1173" s="353">
        <v>0</v>
      </c>
      <c r="AZ1173" s="353">
        <v>0</v>
      </c>
      <c r="BA1173" s="353">
        <v>0</v>
      </c>
      <c r="BB1173" s="353">
        <v>0</v>
      </c>
    </row>
    <row r="1174" spans="1:54" x14ac:dyDescent="0.25">
      <c r="A1174" s="348" t="s">
        <v>1627</v>
      </c>
      <c r="B1174" s="349">
        <v>39</v>
      </c>
      <c r="C1174" s="423">
        <v>45200</v>
      </c>
      <c r="D1174" s="351">
        <v>45230</v>
      </c>
      <c r="F1174" s="353">
        <v>6</v>
      </c>
      <c r="G1174" s="427" t="s">
        <v>1053</v>
      </c>
      <c r="H1174" s="350" t="s">
        <v>1634</v>
      </c>
      <c r="I1174" s="350" t="s">
        <v>393</v>
      </c>
      <c r="J1174" s="560">
        <v>960000</v>
      </c>
      <c r="K1174" s="350" t="s">
        <v>394</v>
      </c>
      <c r="L1174" s="354">
        <v>2803.6597999999999</v>
      </c>
      <c r="M1174" s="576">
        <f t="shared" si="899"/>
        <v>342.40958906640526</v>
      </c>
      <c r="N1174" s="354" t="s">
        <v>395</v>
      </c>
      <c r="O1174" s="354">
        <v>0</v>
      </c>
      <c r="P1174" s="374"/>
      <c r="Q1174" s="354">
        <v>0</v>
      </c>
      <c r="R1174" s="354">
        <v>0</v>
      </c>
      <c r="S1174" s="354">
        <v>0</v>
      </c>
      <c r="T1174" s="354">
        <v>0</v>
      </c>
      <c r="U1174" s="374"/>
      <c r="V1174" s="354">
        <v>0</v>
      </c>
      <c r="W1174" s="354">
        <v>0</v>
      </c>
      <c r="X1174" s="354">
        <v>0</v>
      </c>
      <c r="Y1174" s="374"/>
      <c r="Z1174" s="354">
        <v>0</v>
      </c>
      <c r="AA1174" s="354">
        <v>0</v>
      </c>
      <c r="AB1174" s="374"/>
      <c r="AC1174" s="376">
        <v>0</v>
      </c>
      <c r="AD1174" s="376">
        <v>0</v>
      </c>
      <c r="AE1174" s="376">
        <v>0</v>
      </c>
      <c r="AF1174" s="374"/>
      <c r="AG1174" s="376">
        <v>0</v>
      </c>
      <c r="AH1174" s="376">
        <v>0</v>
      </c>
      <c r="AI1174" s="376">
        <v>0</v>
      </c>
      <c r="AJ1174" s="376">
        <v>0</v>
      </c>
      <c r="AK1174" s="374"/>
      <c r="AL1174" s="376">
        <v>0</v>
      </c>
      <c r="AM1174" s="376">
        <v>0</v>
      </c>
      <c r="AN1174" s="376">
        <v>0</v>
      </c>
      <c r="AO1174" s="374"/>
      <c r="AP1174" s="376">
        <v>0</v>
      </c>
      <c r="AQ1174" s="376">
        <v>0</v>
      </c>
      <c r="AR1174" s="374"/>
      <c r="AS1174" s="376">
        <v>0</v>
      </c>
      <c r="AT1174" s="376">
        <v>0</v>
      </c>
      <c r="AU1174" s="355" t="s">
        <v>396</v>
      </c>
      <c r="AV1174" s="353" t="s">
        <v>346</v>
      </c>
      <c r="AW1174" s="353">
        <v>0</v>
      </c>
      <c r="AX1174" s="353">
        <v>0</v>
      </c>
      <c r="AY1174" s="353">
        <v>0</v>
      </c>
      <c r="AZ1174" s="353">
        <v>0</v>
      </c>
      <c r="BA1174" s="353">
        <v>0</v>
      </c>
      <c r="BB1174" s="353">
        <v>0</v>
      </c>
    </row>
    <row r="1175" spans="1:54" x14ac:dyDescent="0.25">
      <c r="A1175" s="348" t="s">
        <v>1627</v>
      </c>
      <c r="B1175" s="349">
        <v>39</v>
      </c>
      <c r="C1175" s="423">
        <v>45200</v>
      </c>
      <c r="D1175" s="351">
        <v>45230</v>
      </c>
      <c r="F1175" s="353">
        <v>6</v>
      </c>
      <c r="G1175" s="427" t="s">
        <v>1053</v>
      </c>
      <c r="H1175" s="350" t="s">
        <v>1635</v>
      </c>
      <c r="I1175" s="350" t="s">
        <v>393</v>
      </c>
      <c r="J1175" s="560">
        <v>2000000</v>
      </c>
      <c r="K1175" s="350" t="s">
        <v>394</v>
      </c>
      <c r="L1175" s="354">
        <v>2803.6597999999999</v>
      </c>
      <c r="M1175" s="576">
        <f t="shared" si="899"/>
        <v>713.35331055501103</v>
      </c>
      <c r="N1175" s="354" t="s">
        <v>395</v>
      </c>
      <c r="O1175" s="354">
        <v>0</v>
      </c>
      <c r="P1175" s="374"/>
      <c r="Q1175" s="354">
        <v>0</v>
      </c>
      <c r="R1175" s="354">
        <v>0</v>
      </c>
      <c r="S1175" s="354">
        <v>0</v>
      </c>
      <c r="T1175" s="354">
        <v>0</v>
      </c>
      <c r="U1175" s="374"/>
      <c r="V1175" s="354">
        <v>0</v>
      </c>
      <c r="W1175" s="354">
        <v>0</v>
      </c>
      <c r="X1175" s="354">
        <v>0</v>
      </c>
      <c r="Y1175" s="374"/>
      <c r="Z1175" s="354">
        <v>0</v>
      </c>
      <c r="AA1175" s="354">
        <v>0</v>
      </c>
      <c r="AB1175" s="374"/>
      <c r="AC1175" s="376">
        <v>0</v>
      </c>
      <c r="AD1175" s="376">
        <v>0</v>
      </c>
      <c r="AE1175" s="376">
        <v>0</v>
      </c>
      <c r="AF1175" s="374"/>
      <c r="AG1175" s="376">
        <v>0</v>
      </c>
      <c r="AH1175" s="376">
        <v>0</v>
      </c>
      <c r="AI1175" s="376">
        <v>0</v>
      </c>
      <c r="AJ1175" s="376">
        <v>0</v>
      </c>
      <c r="AK1175" s="374"/>
      <c r="AL1175" s="376">
        <v>0</v>
      </c>
      <c r="AM1175" s="376">
        <v>0</v>
      </c>
      <c r="AN1175" s="376">
        <v>0</v>
      </c>
      <c r="AO1175" s="374"/>
      <c r="AP1175" s="376">
        <v>0</v>
      </c>
      <c r="AQ1175" s="376">
        <v>0</v>
      </c>
      <c r="AR1175" s="374"/>
      <c r="AS1175" s="376">
        <v>0</v>
      </c>
      <c r="AT1175" s="376">
        <v>0</v>
      </c>
      <c r="AU1175" s="355" t="s">
        <v>396</v>
      </c>
      <c r="AV1175" s="353" t="s">
        <v>346</v>
      </c>
      <c r="AW1175" s="353">
        <v>0</v>
      </c>
      <c r="AX1175" s="353">
        <v>0</v>
      </c>
      <c r="AY1175" s="353">
        <v>0</v>
      </c>
      <c r="AZ1175" s="353">
        <v>0</v>
      </c>
      <c r="BA1175" s="353">
        <v>0</v>
      </c>
      <c r="BB1175" s="353">
        <v>0</v>
      </c>
    </row>
    <row r="1176" spans="1:54" x14ac:dyDescent="0.25">
      <c r="A1176" s="348" t="s">
        <v>1627</v>
      </c>
      <c r="B1176" s="349">
        <v>39</v>
      </c>
      <c r="C1176" s="423">
        <v>45200</v>
      </c>
      <c r="D1176" s="351">
        <v>45230</v>
      </c>
      <c r="F1176" s="353">
        <v>6</v>
      </c>
      <c r="G1176" s="427" t="s">
        <v>1053</v>
      </c>
      <c r="H1176" s="350" t="s">
        <v>1644</v>
      </c>
      <c r="I1176" s="350" t="s">
        <v>393</v>
      </c>
      <c r="J1176" s="560">
        <v>240000</v>
      </c>
      <c r="K1176" s="350" t="s">
        <v>394</v>
      </c>
      <c r="L1176" s="354">
        <v>2803.6597999999999</v>
      </c>
      <c r="M1176" s="576">
        <f t="shared" si="899"/>
        <v>85.602397266601315</v>
      </c>
      <c r="N1176" s="354" t="s">
        <v>395</v>
      </c>
      <c r="O1176" s="354">
        <v>0</v>
      </c>
      <c r="P1176" s="374"/>
      <c r="Q1176" s="354">
        <v>0</v>
      </c>
      <c r="R1176" s="354">
        <v>0</v>
      </c>
      <c r="S1176" s="354">
        <v>0</v>
      </c>
      <c r="T1176" s="354">
        <v>0</v>
      </c>
      <c r="U1176" s="374"/>
      <c r="V1176" s="354">
        <v>0</v>
      </c>
      <c r="W1176" s="354">
        <v>0</v>
      </c>
      <c r="X1176" s="354">
        <v>0</v>
      </c>
      <c r="Y1176" s="374"/>
      <c r="Z1176" s="354">
        <v>0</v>
      </c>
      <c r="AA1176" s="354">
        <v>0</v>
      </c>
      <c r="AB1176" s="374"/>
      <c r="AC1176" s="376">
        <v>0</v>
      </c>
      <c r="AD1176" s="376">
        <v>0</v>
      </c>
      <c r="AE1176" s="376">
        <v>0</v>
      </c>
      <c r="AF1176" s="374"/>
      <c r="AG1176" s="376">
        <v>0</v>
      </c>
      <c r="AH1176" s="376">
        <v>0</v>
      </c>
      <c r="AI1176" s="376">
        <v>0</v>
      </c>
      <c r="AJ1176" s="376">
        <v>0</v>
      </c>
      <c r="AK1176" s="374"/>
      <c r="AL1176" s="376">
        <v>0</v>
      </c>
      <c r="AM1176" s="376">
        <v>0</v>
      </c>
      <c r="AN1176" s="376">
        <v>0</v>
      </c>
      <c r="AO1176" s="374"/>
      <c r="AP1176" s="376">
        <v>0</v>
      </c>
      <c r="AQ1176" s="376">
        <v>0</v>
      </c>
      <c r="AR1176" s="374"/>
      <c r="AS1176" s="376">
        <v>0</v>
      </c>
      <c r="AT1176" s="376">
        <v>0</v>
      </c>
      <c r="AU1176" s="355" t="s">
        <v>396</v>
      </c>
      <c r="AV1176" s="353" t="s">
        <v>346</v>
      </c>
      <c r="AW1176" s="353">
        <v>0</v>
      </c>
      <c r="AX1176" s="353">
        <v>0</v>
      </c>
      <c r="AY1176" s="353">
        <v>0</v>
      </c>
      <c r="AZ1176" s="353">
        <v>0</v>
      </c>
      <c r="BA1176" s="353">
        <v>0</v>
      </c>
      <c r="BB1176" s="353">
        <v>0</v>
      </c>
    </row>
    <row r="1177" spans="1:54" ht="30" x14ac:dyDescent="0.25">
      <c r="A1177" s="348" t="s">
        <v>1645</v>
      </c>
      <c r="B1177" s="349">
        <v>33</v>
      </c>
      <c r="C1177" s="423">
        <v>45200</v>
      </c>
      <c r="D1177" s="351">
        <v>45209</v>
      </c>
      <c r="F1177" s="353">
        <v>6</v>
      </c>
      <c r="G1177" s="427" t="s">
        <v>1572</v>
      </c>
      <c r="H1177" s="424" t="s">
        <v>1647</v>
      </c>
      <c r="I1177" s="350" t="s">
        <v>393</v>
      </c>
      <c r="J1177" s="560">
        <v>190000</v>
      </c>
      <c r="K1177" s="350" t="s">
        <v>394</v>
      </c>
      <c r="L1177" s="354">
        <v>2803.6597999999999</v>
      </c>
      <c r="M1177" s="576">
        <f t="shared" si="899"/>
        <v>67.768564502726051</v>
      </c>
      <c r="N1177" s="354" t="s">
        <v>395</v>
      </c>
      <c r="O1177" s="354">
        <v>0</v>
      </c>
      <c r="P1177" s="374"/>
      <c r="Q1177" s="354">
        <v>0</v>
      </c>
      <c r="R1177" s="354">
        <v>0</v>
      </c>
      <c r="S1177" s="354">
        <v>0</v>
      </c>
      <c r="T1177" s="354">
        <v>0</v>
      </c>
      <c r="U1177" s="374"/>
      <c r="V1177" s="354">
        <v>0</v>
      </c>
      <c r="W1177" s="354">
        <v>0</v>
      </c>
      <c r="X1177" s="354">
        <v>0</v>
      </c>
      <c r="Y1177" s="374"/>
      <c r="Z1177" s="354">
        <v>0</v>
      </c>
      <c r="AA1177" s="354">
        <v>0</v>
      </c>
      <c r="AB1177" s="374"/>
      <c r="AC1177" s="376">
        <v>0</v>
      </c>
      <c r="AD1177" s="376">
        <v>0</v>
      </c>
      <c r="AE1177" s="376">
        <v>0</v>
      </c>
      <c r="AF1177" s="374"/>
      <c r="AG1177" s="376">
        <v>0</v>
      </c>
      <c r="AH1177" s="376">
        <v>0</v>
      </c>
      <c r="AI1177" s="376">
        <v>0</v>
      </c>
      <c r="AJ1177" s="376">
        <v>0</v>
      </c>
      <c r="AK1177" s="374"/>
      <c r="AL1177" s="376">
        <v>0</v>
      </c>
      <c r="AM1177" s="376">
        <v>0</v>
      </c>
      <c r="AN1177" s="376">
        <v>0</v>
      </c>
      <c r="AO1177" s="374"/>
      <c r="AP1177" s="376">
        <v>0</v>
      </c>
      <c r="AQ1177" s="376">
        <v>0</v>
      </c>
      <c r="AR1177" s="374"/>
      <c r="AS1177" s="376">
        <v>0</v>
      </c>
      <c r="AT1177" s="376">
        <v>0</v>
      </c>
      <c r="AU1177" s="355" t="s">
        <v>396</v>
      </c>
      <c r="AV1177" s="353" t="s">
        <v>346</v>
      </c>
      <c r="AW1177" s="353">
        <v>0</v>
      </c>
      <c r="AX1177" s="353">
        <v>0</v>
      </c>
      <c r="AY1177" s="353">
        <v>0</v>
      </c>
      <c r="AZ1177" s="353">
        <v>0</v>
      </c>
      <c r="BA1177" s="353">
        <v>0</v>
      </c>
      <c r="BB1177" s="353">
        <v>0</v>
      </c>
    </row>
    <row r="1178" spans="1:54" ht="30" x14ac:dyDescent="0.25">
      <c r="A1178" s="348" t="s">
        <v>1646</v>
      </c>
      <c r="B1178" s="349">
        <v>34</v>
      </c>
      <c r="C1178" s="423">
        <v>45200</v>
      </c>
      <c r="D1178" s="351">
        <v>45217</v>
      </c>
      <c r="F1178" s="353">
        <v>6</v>
      </c>
      <c r="G1178" s="427" t="s">
        <v>1572</v>
      </c>
      <c r="H1178" s="424" t="s">
        <v>1648</v>
      </c>
      <c r="I1178" s="350" t="s">
        <v>393</v>
      </c>
      <c r="J1178" s="560">
        <v>120000</v>
      </c>
      <c r="K1178" s="350" t="s">
        <v>394</v>
      </c>
      <c r="L1178" s="354">
        <v>2803.6597999999999</v>
      </c>
      <c r="M1178" s="576">
        <f t="shared" si="899"/>
        <v>42.801198633300658</v>
      </c>
      <c r="N1178" s="354" t="s">
        <v>395</v>
      </c>
      <c r="O1178" s="354">
        <v>0</v>
      </c>
      <c r="P1178" s="374"/>
      <c r="Q1178" s="354">
        <v>0</v>
      </c>
      <c r="R1178" s="354">
        <v>0</v>
      </c>
      <c r="S1178" s="354">
        <v>0</v>
      </c>
      <c r="T1178" s="354">
        <v>0</v>
      </c>
      <c r="U1178" s="374"/>
      <c r="V1178" s="354">
        <v>0</v>
      </c>
      <c r="W1178" s="354">
        <v>0</v>
      </c>
      <c r="X1178" s="354">
        <v>0</v>
      </c>
      <c r="Y1178" s="374"/>
      <c r="Z1178" s="354">
        <v>0</v>
      </c>
      <c r="AA1178" s="354">
        <v>0</v>
      </c>
      <c r="AB1178" s="374"/>
      <c r="AC1178" s="376">
        <v>0</v>
      </c>
      <c r="AD1178" s="376">
        <v>0</v>
      </c>
      <c r="AE1178" s="376">
        <v>0</v>
      </c>
      <c r="AF1178" s="374"/>
      <c r="AG1178" s="376">
        <v>0</v>
      </c>
      <c r="AH1178" s="376">
        <v>0</v>
      </c>
      <c r="AI1178" s="376">
        <v>0</v>
      </c>
      <c r="AJ1178" s="376">
        <v>0</v>
      </c>
      <c r="AK1178" s="374"/>
      <c r="AL1178" s="376">
        <v>0</v>
      </c>
      <c r="AM1178" s="376">
        <v>0</v>
      </c>
      <c r="AN1178" s="376">
        <v>0</v>
      </c>
      <c r="AO1178" s="374"/>
      <c r="AP1178" s="376">
        <v>0</v>
      </c>
      <c r="AQ1178" s="376">
        <v>0</v>
      </c>
      <c r="AR1178" s="374"/>
      <c r="AS1178" s="376">
        <v>0</v>
      </c>
      <c r="AT1178" s="376">
        <v>0</v>
      </c>
      <c r="AU1178" s="355" t="s">
        <v>396</v>
      </c>
      <c r="AV1178" s="353" t="s">
        <v>346</v>
      </c>
      <c r="AW1178" s="353">
        <v>0</v>
      </c>
      <c r="AX1178" s="353">
        <v>0</v>
      </c>
      <c r="AY1178" s="353">
        <v>0</v>
      </c>
      <c r="AZ1178" s="353">
        <v>0</v>
      </c>
      <c r="BA1178" s="353">
        <v>0</v>
      </c>
      <c r="BB1178" s="353">
        <v>0</v>
      </c>
    </row>
    <row r="1179" spans="1:54" x14ac:dyDescent="0.25">
      <c r="A1179" s="348" t="s">
        <v>1624</v>
      </c>
      <c r="B1179" s="349">
        <v>35</v>
      </c>
      <c r="C1179" s="423">
        <v>45200</v>
      </c>
      <c r="D1179" s="351">
        <v>45215</v>
      </c>
      <c r="F1179" s="353">
        <v>6</v>
      </c>
      <c r="G1179" s="427" t="s">
        <v>1649</v>
      </c>
      <c r="H1179" s="350" t="s">
        <v>1419</v>
      </c>
      <c r="I1179" s="350" t="s">
        <v>393</v>
      </c>
      <c r="J1179" s="560">
        <v>4740000</v>
      </c>
      <c r="K1179" s="350" t="s">
        <v>394</v>
      </c>
      <c r="L1179" s="354">
        <v>2803.6597999999999</v>
      </c>
      <c r="M1179" s="621">
        <f>+J1179/L1179</f>
        <v>1690.6473460153761</v>
      </c>
      <c r="N1179" s="354" t="s">
        <v>395</v>
      </c>
      <c r="O1179" s="354">
        <v>0</v>
      </c>
      <c r="P1179" s="374"/>
      <c r="Q1179" s="354">
        <v>0</v>
      </c>
      <c r="R1179" s="354">
        <v>0</v>
      </c>
      <c r="S1179" s="354">
        <v>0</v>
      </c>
      <c r="T1179" s="354">
        <v>0</v>
      </c>
      <c r="U1179" s="374"/>
      <c r="V1179" s="354">
        <v>0</v>
      </c>
      <c r="W1179" s="354">
        <v>0</v>
      </c>
      <c r="X1179" s="354">
        <v>0</v>
      </c>
      <c r="Y1179" s="374"/>
      <c r="Z1179" s="354">
        <v>0</v>
      </c>
      <c r="AA1179" s="354">
        <v>0</v>
      </c>
      <c r="AB1179" s="374"/>
      <c r="AC1179" s="376">
        <v>0</v>
      </c>
      <c r="AD1179" s="376">
        <v>0</v>
      </c>
      <c r="AE1179" s="376">
        <v>0</v>
      </c>
      <c r="AF1179" s="374"/>
      <c r="AG1179" s="376">
        <v>0</v>
      </c>
      <c r="AH1179" s="376">
        <v>0</v>
      </c>
      <c r="AI1179" s="376">
        <v>0</v>
      </c>
      <c r="AJ1179" s="376">
        <v>0</v>
      </c>
      <c r="AK1179" s="374"/>
      <c r="AL1179" s="376">
        <v>0</v>
      </c>
      <c r="AM1179" s="376">
        <v>0</v>
      </c>
      <c r="AN1179" s="376">
        <v>0</v>
      </c>
      <c r="AO1179" s="374"/>
      <c r="AP1179" s="376">
        <v>0</v>
      </c>
      <c r="AQ1179" s="376">
        <v>0</v>
      </c>
      <c r="AR1179" s="374"/>
      <c r="AS1179" s="376">
        <v>0</v>
      </c>
      <c r="AT1179" s="376">
        <v>0</v>
      </c>
      <c r="AU1179" s="355" t="s">
        <v>396</v>
      </c>
      <c r="AV1179" s="353" t="s">
        <v>346</v>
      </c>
      <c r="AW1179" s="353">
        <v>0</v>
      </c>
      <c r="AX1179" s="353">
        <v>0</v>
      </c>
      <c r="AY1179" s="353">
        <v>0</v>
      </c>
      <c r="AZ1179" s="353">
        <v>0</v>
      </c>
      <c r="BA1179" s="353">
        <v>0</v>
      </c>
      <c r="BB1179" s="353">
        <v>0</v>
      </c>
    </row>
    <row r="1180" spans="1:54" x14ac:dyDescent="0.25">
      <c r="A1180" s="348" t="s">
        <v>1676</v>
      </c>
      <c r="B1180" s="377">
        <v>94</v>
      </c>
      <c r="C1180" s="423">
        <v>45200</v>
      </c>
      <c r="D1180" s="427" t="s">
        <v>1677</v>
      </c>
      <c r="E1180" s="352">
        <v>6345</v>
      </c>
      <c r="F1180" s="353">
        <v>6</v>
      </c>
      <c r="G1180" s="351" t="s">
        <v>1572</v>
      </c>
      <c r="H1180" s="350" t="s">
        <v>1698</v>
      </c>
      <c r="I1180" s="350" t="s">
        <v>393</v>
      </c>
      <c r="J1180" s="560">
        <v>113000</v>
      </c>
      <c r="K1180" s="350" t="s">
        <v>394</v>
      </c>
      <c r="L1180" s="353">
        <v>2801.6</v>
      </c>
      <c r="M1180" s="560">
        <f t="shared" ref="M1180:M1207" si="900">+J1180/L1180</f>
        <v>40.33409480296973</v>
      </c>
      <c r="N1180" s="354" t="s">
        <v>395</v>
      </c>
      <c r="O1180" s="354">
        <v>0</v>
      </c>
      <c r="P1180" s="374"/>
      <c r="Q1180" s="354">
        <v>0</v>
      </c>
      <c r="R1180" s="354">
        <v>0</v>
      </c>
      <c r="S1180" s="354">
        <v>0</v>
      </c>
      <c r="T1180" s="354">
        <v>0</v>
      </c>
      <c r="U1180" s="374"/>
      <c r="V1180" s="354">
        <v>0</v>
      </c>
      <c r="W1180" s="354">
        <v>0</v>
      </c>
      <c r="X1180" s="354">
        <v>0</v>
      </c>
      <c r="Y1180" s="374"/>
      <c r="Z1180" s="354">
        <v>0</v>
      </c>
      <c r="AA1180" s="354">
        <v>0</v>
      </c>
      <c r="AB1180" s="374"/>
      <c r="AC1180" s="376">
        <v>0</v>
      </c>
      <c r="AD1180" s="376">
        <v>0</v>
      </c>
      <c r="AE1180" s="376">
        <v>0</v>
      </c>
      <c r="AF1180" s="374"/>
      <c r="AG1180" s="376">
        <v>0</v>
      </c>
      <c r="AH1180" s="376">
        <v>0</v>
      </c>
      <c r="AI1180" s="376">
        <v>0</v>
      </c>
      <c r="AJ1180" s="376">
        <v>0</v>
      </c>
      <c r="AK1180" s="374"/>
      <c r="AL1180" s="376">
        <v>0</v>
      </c>
      <c r="AM1180" s="376">
        <v>0</v>
      </c>
      <c r="AN1180" s="376">
        <v>0</v>
      </c>
      <c r="AO1180" s="374"/>
      <c r="AP1180" s="376">
        <v>0</v>
      </c>
      <c r="AQ1180" s="376">
        <v>0</v>
      </c>
      <c r="AR1180" s="374"/>
      <c r="AS1180" s="376">
        <v>0</v>
      </c>
      <c r="AT1180" s="376">
        <v>0</v>
      </c>
      <c r="AU1180" s="355" t="s">
        <v>396</v>
      </c>
      <c r="AV1180" s="353" t="s">
        <v>345</v>
      </c>
      <c r="AW1180" s="353">
        <v>0</v>
      </c>
      <c r="AX1180" s="353">
        <v>0</v>
      </c>
      <c r="AY1180" s="353">
        <v>0</v>
      </c>
      <c r="AZ1180" s="353">
        <v>0</v>
      </c>
      <c r="BA1180" s="353">
        <v>0</v>
      </c>
      <c r="BB1180" s="353">
        <v>0</v>
      </c>
    </row>
    <row r="1181" spans="1:54" x14ac:dyDescent="0.25">
      <c r="A1181" s="348" t="s">
        <v>1678</v>
      </c>
      <c r="B1181" s="379">
        <v>95</v>
      </c>
      <c r="C1181" s="423">
        <v>45200</v>
      </c>
      <c r="D1181" s="427" t="s">
        <v>1677</v>
      </c>
      <c r="E1181" s="352">
        <v>6345</v>
      </c>
      <c r="F1181" s="353">
        <v>6</v>
      </c>
      <c r="G1181" s="351" t="s">
        <v>1572</v>
      </c>
      <c r="H1181" s="350" t="s">
        <v>1685</v>
      </c>
      <c r="I1181" s="350" t="s">
        <v>393</v>
      </c>
      <c r="J1181" s="560">
        <v>1250000</v>
      </c>
      <c r="K1181" s="350" t="s">
        <v>394</v>
      </c>
      <c r="L1181" s="353">
        <v>2801.6</v>
      </c>
      <c r="M1181" s="560">
        <f t="shared" si="900"/>
        <v>446.17361507709882</v>
      </c>
      <c r="N1181" s="354" t="s">
        <v>395</v>
      </c>
      <c r="O1181" s="354">
        <v>0</v>
      </c>
      <c r="P1181" s="374"/>
      <c r="Q1181" s="354">
        <v>0</v>
      </c>
      <c r="R1181" s="354">
        <v>0</v>
      </c>
      <c r="S1181" s="354">
        <v>0</v>
      </c>
      <c r="T1181" s="354">
        <v>0</v>
      </c>
      <c r="U1181" s="374"/>
      <c r="V1181" s="354">
        <v>0</v>
      </c>
      <c r="W1181" s="354">
        <v>0</v>
      </c>
      <c r="X1181" s="354">
        <v>0</v>
      </c>
      <c r="Y1181" s="374"/>
      <c r="Z1181" s="354">
        <v>0</v>
      </c>
      <c r="AA1181" s="354">
        <v>0</v>
      </c>
      <c r="AB1181" s="374"/>
      <c r="AC1181" s="376">
        <v>0</v>
      </c>
      <c r="AD1181" s="376">
        <v>0</v>
      </c>
      <c r="AE1181" s="376">
        <v>0</v>
      </c>
      <c r="AF1181" s="374"/>
      <c r="AG1181" s="376">
        <v>0</v>
      </c>
      <c r="AH1181" s="376">
        <v>0</v>
      </c>
      <c r="AI1181" s="376">
        <v>0</v>
      </c>
      <c r="AJ1181" s="376">
        <v>0</v>
      </c>
      <c r="AK1181" s="374"/>
      <c r="AL1181" s="376">
        <v>0</v>
      </c>
      <c r="AM1181" s="376">
        <v>0</v>
      </c>
      <c r="AN1181" s="376">
        <v>0</v>
      </c>
      <c r="AO1181" s="374"/>
      <c r="AP1181" s="376">
        <v>0</v>
      </c>
      <c r="AQ1181" s="376">
        <v>0</v>
      </c>
      <c r="AR1181" s="374"/>
      <c r="AS1181" s="376">
        <v>0</v>
      </c>
      <c r="AT1181" s="376">
        <v>0</v>
      </c>
      <c r="AU1181" s="355" t="s">
        <v>396</v>
      </c>
      <c r="AV1181" s="353" t="s">
        <v>345</v>
      </c>
      <c r="AW1181" s="353">
        <v>0</v>
      </c>
      <c r="AX1181" s="353">
        <v>0</v>
      </c>
      <c r="AY1181" s="353">
        <v>0</v>
      </c>
      <c r="AZ1181" s="353">
        <v>0</v>
      </c>
      <c r="BA1181" s="353">
        <v>0</v>
      </c>
      <c r="BB1181" s="353">
        <v>0</v>
      </c>
    </row>
    <row r="1182" spans="1:54" x14ac:dyDescent="0.25">
      <c r="A1182" s="348" t="s">
        <v>1679</v>
      </c>
      <c r="B1182" s="379">
        <v>96</v>
      </c>
      <c r="C1182" s="423">
        <v>45200</v>
      </c>
      <c r="D1182" s="427" t="s">
        <v>1677</v>
      </c>
      <c r="E1182" s="352">
        <v>6345</v>
      </c>
      <c r="F1182" s="353">
        <v>6</v>
      </c>
      <c r="G1182" s="351" t="s">
        <v>1572</v>
      </c>
      <c r="H1182" s="350" t="s">
        <v>1686</v>
      </c>
      <c r="I1182" s="350" t="s">
        <v>393</v>
      </c>
      <c r="J1182" s="560">
        <v>15000</v>
      </c>
      <c r="K1182" s="350" t="s">
        <v>394</v>
      </c>
      <c r="L1182" s="353">
        <v>2801.6</v>
      </c>
      <c r="M1182" s="560">
        <f t="shared" si="900"/>
        <v>5.3540833809251858</v>
      </c>
      <c r="N1182" s="354" t="s">
        <v>395</v>
      </c>
      <c r="O1182" s="354">
        <v>0</v>
      </c>
      <c r="P1182" s="374"/>
      <c r="Q1182" s="354">
        <v>0</v>
      </c>
      <c r="R1182" s="354">
        <v>0</v>
      </c>
      <c r="S1182" s="354">
        <v>0</v>
      </c>
      <c r="T1182" s="354">
        <v>0</v>
      </c>
      <c r="U1182" s="374"/>
      <c r="V1182" s="354">
        <v>0</v>
      </c>
      <c r="W1182" s="354">
        <v>0</v>
      </c>
      <c r="X1182" s="354">
        <v>0</v>
      </c>
      <c r="Y1182" s="374"/>
      <c r="Z1182" s="354">
        <v>0</v>
      </c>
      <c r="AA1182" s="354">
        <v>0</v>
      </c>
      <c r="AB1182" s="374"/>
      <c r="AC1182" s="376">
        <v>0</v>
      </c>
      <c r="AD1182" s="376">
        <v>0</v>
      </c>
      <c r="AE1182" s="376">
        <v>0</v>
      </c>
      <c r="AF1182" s="374"/>
      <c r="AG1182" s="376">
        <v>0</v>
      </c>
      <c r="AH1182" s="376">
        <v>0</v>
      </c>
      <c r="AI1182" s="376">
        <v>0</v>
      </c>
      <c r="AJ1182" s="376">
        <v>0</v>
      </c>
      <c r="AK1182" s="374"/>
      <c r="AL1182" s="376">
        <v>0</v>
      </c>
      <c r="AM1182" s="376">
        <v>0</v>
      </c>
      <c r="AN1182" s="376">
        <v>0</v>
      </c>
      <c r="AO1182" s="374"/>
      <c r="AP1182" s="376">
        <v>0</v>
      </c>
      <c r="AQ1182" s="376">
        <v>0</v>
      </c>
      <c r="AR1182" s="374"/>
      <c r="AS1182" s="376">
        <v>0</v>
      </c>
      <c r="AT1182" s="376">
        <v>0</v>
      </c>
      <c r="AU1182" s="355" t="s">
        <v>396</v>
      </c>
      <c r="AV1182" s="353" t="s">
        <v>345</v>
      </c>
      <c r="AW1182" s="353">
        <v>0</v>
      </c>
      <c r="AX1182" s="353">
        <v>0</v>
      </c>
      <c r="AY1182" s="353">
        <v>0</v>
      </c>
      <c r="AZ1182" s="353">
        <v>0</v>
      </c>
      <c r="BA1182" s="353">
        <v>0</v>
      </c>
      <c r="BB1182" s="353">
        <v>0</v>
      </c>
    </row>
    <row r="1183" spans="1:54" x14ac:dyDescent="0.25">
      <c r="A1183" s="622" t="s">
        <v>1679</v>
      </c>
      <c r="B1183" s="623">
        <v>96</v>
      </c>
      <c r="C1183" s="423">
        <v>45200</v>
      </c>
      <c r="D1183" s="624" t="s">
        <v>1677</v>
      </c>
      <c r="E1183" s="625">
        <v>6345</v>
      </c>
      <c r="F1183" s="353">
        <v>6</v>
      </c>
      <c r="G1183" s="626" t="s">
        <v>1572</v>
      </c>
      <c r="H1183" s="350" t="s">
        <v>1687</v>
      </c>
      <c r="I1183" s="627" t="s">
        <v>393</v>
      </c>
      <c r="J1183" s="628">
        <v>25000</v>
      </c>
      <c r="K1183" s="627" t="s">
        <v>394</v>
      </c>
      <c r="L1183" s="353">
        <v>2801.6</v>
      </c>
      <c r="M1183" s="560">
        <f t="shared" si="900"/>
        <v>8.9234723015419757</v>
      </c>
      <c r="N1183" s="354" t="s">
        <v>395</v>
      </c>
      <c r="O1183" s="354">
        <v>0</v>
      </c>
      <c r="P1183" s="374"/>
      <c r="Q1183" s="354">
        <v>0</v>
      </c>
      <c r="R1183" s="354">
        <v>0</v>
      </c>
      <c r="S1183" s="354">
        <v>0</v>
      </c>
      <c r="T1183" s="354">
        <v>0</v>
      </c>
      <c r="U1183" s="374"/>
      <c r="V1183" s="354">
        <v>0</v>
      </c>
      <c r="W1183" s="354">
        <v>0</v>
      </c>
      <c r="X1183" s="354">
        <v>0</v>
      </c>
      <c r="Y1183" s="374"/>
      <c r="Z1183" s="354">
        <v>0</v>
      </c>
      <c r="AA1183" s="354">
        <v>0</v>
      </c>
      <c r="AB1183" s="374"/>
      <c r="AC1183" s="376">
        <v>0</v>
      </c>
      <c r="AD1183" s="376">
        <v>0</v>
      </c>
      <c r="AE1183" s="376">
        <v>0</v>
      </c>
      <c r="AF1183" s="374"/>
      <c r="AG1183" s="376">
        <v>0</v>
      </c>
      <c r="AH1183" s="376">
        <v>0</v>
      </c>
      <c r="AI1183" s="376">
        <v>0</v>
      </c>
      <c r="AJ1183" s="376">
        <v>0</v>
      </c>
      <c r="AK1183" s="374"/>
      <c r="AL1183" s="376">
        <v>0</v>
      </c>
      <c r="AM1183" s="376">
        <v>0</v>
      </c>
      <c r="AN1183" s="376">
        <v>0</v>
      </c>
      <c r="AO1183" s="374"/>
      <c r="AP1183" s="376">
        <v>0</v>
      </c>
      <c r="AQ1183" s="376">
        <v>0</v>
      </c>
      <c r="AR1183" s="374"/>
      <c r="AS1183" s="376">
        <v>0</v>
      </c>
      <c r="AT1183" s="376">
        <v>0</v>
      </c>
      <c r="AU1183" s="355" t="s">
        <v>396</v>
      </c>
      <c r="AV1183" s="353" t="s">
        <v>345</v>
      </c>
      <c r="AW1183" s="353">
        <v>0</v>
      </c>
      <c r="AX1183" s="353">
        <v>0</v>
      </c>
      <c r="AY1183" s="353">
        <v>0</v>
      </c>
      <c r="AZ1183" s="353">
        <v>0</v>
      </c>
      <c r="BA1183" s="353">
        <v>0</v>
      </c>
      <c r="BB1183" s="353">
        <v>0</v>
      </c>
    </row>
    <row r="1184" spans="1:54" x14ac:dyDescent="0.25">
      <c r="A1184" s="348" t="s">
        <v>1679</v>
      </c>
      <c r="B1184" s="379">
        <v>96</v>
      </c>
      <c r="C1184" s="423">
        <v>45200</v>
      </c>
      <c r="D1184" s="427" t="s">
        <v>1677</v>
      </c>
      <c r="E1184" s="352">
        <v>6345</v>
      </c>
      <c r="F1184" s="353">
        <v>6</v>
      </c>
      <c r="G1184" s="351" t="s">
        <v>1572</v>
      </c>
      <c r="H1184" s="350" t="s">
        <v>1688</v>
      </c>
      <c r="I1184" s="350" t="s">
        <v>393</v>
      </c>
      <c r="J1184" s="560">
        <v>100000</v>
      </c>
      <c r="K1184" s="350" t="s">
        <v>394</v>
      </c>
      <c r="L1184" s="353">
        <v>2801.6</v>
      </c>
      <c r="M1184" s="560">
        <f t="shared" si="900"/>
        <v>35.693889206167903</v>
      </c>
      <c r="N1184" s="354" t="s">
        <v>395</v>
      </c>
      <c r="O1184" s="354">
        <v>0</v>
      </c>
      <c r="P1184" s="374"/>
      <c r="Q1184" s="354">
        <v>0</v>
      </c>
      <c r="R1184" s="354">
        <v>0</v>
      </c>
      <c r="S1184" s="354">
        <v>0</v>
      </c>
      <c r="T1184" s="354">
        <v>0</v>
      </c>
      <c r="U1184" s="374"/>
      <c r="V1184" s="354">
        <v>0</v>
      </c>
      <c r="W1184" s="354">
        <v>0</v>
      </c>
      <c r="X1184" s="354">
        <v>0</v>
      </c>
      <c r="Y1184" s="374"/>
      <c r="Z1184" s="354">
        <v>0</v>
      </c>
      <c r="AA1184" s="354">
        <v>0</v>
      </c>
      <c r="AB1184" s="374"/>
      <c r="AC1184" s="376">
        <v>0</v>
      </c>
      <c r="AD1184" s="376">
        <v>0</v>
      </c>
      <c r="AE1184" s="376">
        <v>0</v>
      </c>
      <c r="AF1184" s="374"/>
      <c r="AG1184" s="376">
        <v>0</v>
      </c>
      <c r="AH1184" s="376">
        <v>0</v>
      </c>
      <c r="AI1184" s="376">
        <v>0</v>
      </c>
      <c r="AJ1184" s="376">
        <v>0</v>
      </c>
      <c r="AK1184" s="374"/>
      <c r="AL1184" s="376">
        <v>0</v>
      </c>
      <c r="AM1184" s="376">
        <v>0</v>
      </c>
      <c r="AN1184" s="376">
        <v>0</v>
      </c>
      <c r="AO1184" s="374"/>
      <c r="AP1184" s="376">
        <v>0</v>
      </c>
      <c r="AQ1184" s="376">
        <v>0</v>
      </c>
      <c r="AR1184" s="374"/>
      <c r="AS1184" s="376">
        <v>0</v>
      </c>
      <c r="AT1184" s="376">
        <v>0</v>
      </c>
      <c r="AU1184" s="355" t="s">
        <v>396</v>
      </c>
      <c r="AV1184" s="353" t="s">
        <v>345</v>
      </c>
      <c r="AW1184" s="353">
        <v>0</v>
      </c>
      <c r="AX1184" s="353">
        <v>0</v>
      </c>
      <c r="AY1184" s="353">
        <v>0</v>
      </c>
      <c r="AZ1184" s="353">
        <v>0</v>
      </c>
      <c r="BA1184" s="353">
        <v>0</v>
      </c>
      <c r="BB1184" s="353">
        <v>0</v>
      </c>
    </row>
    <row r="1185" spans="1:54" x14ac:dyDescent="0.25">
      <c r="A1185" s="348" t="s">
        <v>1680</v>
      </c>
      <c r="B1185" s="379">
        <v>97</v>
      </c>
      <c r="C1185" s="423">
        <v>45200</v>
      </c>
      <c r="D1185" s="427" t="s">
        <v>1677</v>
      </c>
      <c r="E1185" s="352">
        <v>6345</v>
      </c>
      <c r="F1185" s="353">
        <v>6</v>
      </c>
      <c r="G1185" s="351" t="s">
        <v>1572</v>
      </c>
      <c r="H1185" s="350" t="s">
        <v>1689</v>
      </c>
      <c r="I1185" s="350" t="s">
        <v>393</v>
      </c>
      <c r="J1185" s="560">
        <v>120000</v>
      </c>
      <c r="K1185" s="350" t="s">
        <v>394</v>
      </c>
      <c r="L1185" s="353">
        <v>2801.6</v>
      </c>
      <c r="M1185" s="560">
        <f t="shared" si="900"/>
        <v>42.832667047401486</v>
      </c>
      <c r="N1185" s="354" t="s">
        <v>395</v>
      </c>
      <c r="O1185" s="354">
        <v>0</v>
      </c>
      <c r="P1185" s="374"/>
      <c r="Q1185" s="354">
        <v>0</v>
      </c>
      <c r="R1185" s="354">
        <v>0</v>
      </c>
      <c r="S1185" s="354">
        <v>0</v>
      </c>
      <c r="T1185" s="354">
        <v>0</v>
      </c>
      <c r="U1185" s="374"/>
      <c r="V1185" s="354">
        <v>0</v>
      </c>
      <c r="W1185" s="354">
        <v>0</v>
      </c>
      <c r="X1185" s="354">
        <v>0</v>
      </c>
      <c r="Y1185" s="374"/>
      <c r="Z1185" s="354">
        <v>0</v>
      </c>
      <c r="AA1185" s="354">
        <v>0</v>
      </c>
      <c r="AB1185" s="374"/>
      <c r="AC1185" s="376">
        <v>0</v>
      </c>
      <c r="AD1185" s="376">
        <v>0</v>
      </c>
      <c r="AE1185" s="376">
        <v>0</v>
      </c>
      <c r="AF1185" s="374"/>
      <c r="AG1185" s="376">
        <v>0</v>
      </c>
      <c r="AH1185" s="376">
        <v>0</v>
      </c>
      <c r="AI1185" s="376">
        <v>0</v>
      </c>
      <c r="AJ1185" s="376">
        <v>0</v>
      </c>
      <c r="AK1185" s="374"/>
      <c r="AL1185" s="376">
        <v>0</v>
      </c>
      <c r="AM1185" s="376">
        <v>0</v>
      </c>
      <c r="AN1185" s="376">
        <v>0</v>
      </c>
      <c r="AO1185" s="374"/>
      <c r="AP1185" s="376">
        <v>0</v>
      </c>
      <c r="AQ1185" s="376">
        <v>0</v>
      </c>
      <c r="AR1185" s="374"/>
      <c r="AS1185" s="376">
        <v>0</v>
      </c>
      <c r="AT1185" s="376">
        <v>0</v>
      </c>
      <c r="AU1185" s="355" t="s">
        <v>396</v>
      </c>
      <c r="AV1185" s="353" t="s">
        <v>345</v>
      </c>
      <c r="AW1185" s="353">
        <v>0</v>
      </c>
      <c r="AX1185" s="353">
        <v>0</v>
      </c>
      <c r="AY1185" s="353">
        <v>0</v>
      </c>
      <c r="AZ1185" s="353">
        <v>0</v>
      </c>
      <c r="BA1185" s="353">
        <v>0</v>
      </c>
      <c r="BB1185" s="353">
        <v>0</v>
      </c>
    </row>
    <row r="1186" spans="1:54" x14ac:dyDescent="0.25">
      <c r="A1186" s="348" t="s">
        <v>1680</v>
      </c>
      <c r="B1186" s="379">
        <v>97</v>
      </c>
      <c r="C1186" s="423">
        <v>45200</v>
      </c>
      <c r="D1186" s="427" t="s">
        <v>1677</v>
      </c>
      <c r="E1186" s="352">
        <v>6345</v>
      </c>
      <c r="F1186" s="353">
        <v>6</v>
      </c>
      <c r="G1186" s="351" t="s">
        <v>1572</v>
      </c>
      <c r="H1186" s="350" t="s">
        <v>1690</v>
      </c>
      <c r="I1186" s="350" t="s">
        <v>393</v>
      </c>
      <c r="J1186" s="560">
        <v>360000</v>
      </c>
      <c r="K1186" s="350" t="s">
        <v>394</v>
      </c>
      <c r="L1186" s="353">
        <v>2801.6</v>
      </c>
      <c r="M1186" s="560">
        <f t="shared" si="900"/>
        <v>128.49800114220446</v>
      </c>
      <c r="N1186" s="354" t="s">
        <v>395</v>
      </c>
      <c r="O1186" s="354">
        <v>0</v>
      </c>
      <c r="P1186" s="374"/>
      <c r="Q1186" s="354">
        <v>0</v>
      </c>
      <c r="R1186" s="354">
        <v>0</v>
      </c>
      <c r="S1186" s="354">
        <v>0</v>
      </c>
      <c r="T1186" s="354">
        <v>0</v>
      </c>
      <c r="U1186" s="374"/>
      <c r="V1186" s="354">
        <v>0</v>
      </c>
      <c r="W1186" s="354">
        <v>0</v>
      </c>
      <c r="X1186" s="354">
        <v>0</v>
      </c>
      <c r="Y1186" s="374"/>
      <c r="Z1186" s="354">
        <v>0</v>
      </c>
      <c r="AA1186" s="354">
        <v>0</v>
      </c>
      <c r="AB1186" s="374"/>
      <c r="AC1186" s="376">
        <v>0</v>
      </c>
      <c r="AD1186" s="376">
        <v>0</v>
      </c>
      <c r="AE1186" s="376">
        <v>0</v>
      </c>
      <c r="AF1186" s="374"/>
      <c r="AG1186" s="376">
        <v>0</v>
      </c>
      <c r="AH1186" s="376">
        <v>0</v>
      </c>
      <c r="AI1186" s="376">
        <v>0</v>
      </c>
      <c r="AJ1186" s="376">
        <v>0</v>
      </c>
      <c r="AK1186" s="374"/>
      <c r="AL1186" s="376">
        <v>0</v>
      </c>
      <c r="AM1186" s="376">
        <v>0</v>
      </c>
      <c r="AN1186" s="376">
        <v>0</v>
      </c>
      <c r="AO1186" s="374"/>
      <c r="AP1186" s="376">
        <v>0</v>
      </c>
      <c r="AQ1186" s="376">
        <v>0</v>
      </c>
      <c r="AR1186" s="374"/>
      <c r="AS1186" s="376">
        <v>0</v>
      </c>
      <c r="AT1186" s="376">
        <v>0</v>
      </c>
      <c r="AU1186" s="355" t="s">
        <v>396</v>
      </c>
      <c r="AV1186" s="353" t="s">
        <v>345</v>
      </c>
      <c r="AW1186" s="353">
        <v>0</v>
      </c>
      <c r="AX1186" s="353">
        <v>0</v>
      </c>
      <c r="AY1186" s="353">
        <v>0</v>
      </c>
      <c r="AZ1186" s="353">
        <v>0</v>
      </c>
      <c r="BA1186" s="353">
        <v>0</v>
      </c>
      <c r="BB1186" s="353">
        <v>0</v>
      </c>
    </row>
    <row r="1187" spans="1:54" x14ac:dyDescent="0.25">
      <c r="A1187" s="348" t="s">
        <v>1681</v>
      </c>
      <c r="B1187" s="379">
        <v>98</v>
      </c>
      <c r="C1187" s="423">
        <v>45200</v>
      </c>
      <c r="D1187" s="427" t="s">
        <v>1677</v>
      </c>
      <c r="E1187" s="352">
        <v>6345</v>
      </c>
      <c r="F1187" s="353">
        <v>6</v>
      </c>
      <c r="G1187" s="351" t="s">
        <v>1572</v>
      </c>
      <c r="H1187" s="350" t="s">
        <v>1691</v>
      </c>
      <c r="I1187" s="350" t="s">
        <v>393</v>
      </c>
      <c r="J1187" s="560">
        <v>1160000</v>
      </c>
      <c r="K1187" s="350" t="s">
        <v>394</v>
      </c>
      <c r="L1187" s="353">
        <v>2801.6</v>
      </c>
      <c r="M1187" s="560">
        <f t="shared" si="900"/>
        <v>414.04911479154771</v>
      </c>
      <c r="N1187" s="354" t="s">
        <v>395</v>
      </c>
      <c r="O1187" s="354">
        <v>0</v>
      </c>
      <c r="P1187" s="374"/>
      <c r="Q1187" s="354">
        <v>0</v>
      </c>
      <c r="R1187" s="354">
        <v>0</v>
      </c>
      <c r="S1187" s="354">
        <v>0</v>
      </c>
      <c r="T1187" s="354">
        <v>0</v>
      </c>
      <c r="U1187" s="374"/>
      <c r="V1187" s="354">
        <v>0</v>
      </c>
      <c r="W1187" s="354">
        <v>0</v>
      </c>
      <c r="X1187" s="354">
        <v>0</v>
      </c>
      <c r="Y1187" s="374"/>
      <c r="Z1187" s="354">
        <v>0</v>
      </c>
      <c r="AA1187" s="354">
        <v>0</v>
      </c>
      <c r="AB1187" s="374"/>
      <c r="AC1187" s="376">
        <v>0</v>
      </c>
      <c r="AD1187" s="376">
        <v>0</v>
      </c>
      <c r="AE1187" s="376">
        <v>0</v>
      </c>
      <c r="AF1187" s="374"/>
      <c r="AG1187" s="376">
        <v>0</v>
      </c>
      <c r="AH1187" s="376">
        <v>0</v>
      </c>
      <c r="AI1187" s="376">
        <v>0</v>
      </c>
      <c r="AJ1187" s="376">
        <v>0</v>
      </c>
      <c r="AK1187" s="374"/>
      <c r="AL1187" s="376">
        <v>0</v>
      </c>
      <c r="AM1187" s="376">
        <v>0</v>
      </c>
      <c r="AN1187" s="376">
        <v>0</v>
      </c>
      <c r="AO1187" s="374"/>
      <c r="AP1187" s="376">
        <v>0</v>
      </c>
      <c r="AQ1187" s="376">
        <v>0</v>
      </c>
      <c r="AR1187" s="374"/>
      <c r="AS1187" s="376">
        <v>0</v>
      </c>
      <c r="AT1187" s="376">
        <v>0</v>
      </c>
      <c r="AU1187" s="355" t="s">
        <v>396</v>
      </c>
      <c r="AV1187" s="353" t="s">
        <v>345</v>
      </c>
      <c r="AW1187" s="353">
        <v>0</v>
      </c>
      <c r="AX1187" s="353">
        <v>0</v>
      </c>
      <c r="AY1187" s="353">
        <v>0</v>
      </c>
      <c r="AZ1187" s="353">
        <v>0</v>
      </c>
      <c r="BA1187" s="353">
        <v>0</v>
      </c>
      <c r="BB1187" s="353">
        <v>0</v>
      </c>
    </row>
    <row r="1188" spans="1:54" x14ac:dyDescent="0.25">
      <c r="A1188" s="622" t="s">
        <v>1682</v>
      </c>
      <c r="B1188" s="629">
        <v>99</v>
      </c>
      <c r="C1188" s="423">
        <v>45200</v>
      </c>
      <c r="D1188" s="624" t="s">
        <v>1677</v>
      </c>
      <c r="E1188" s="625">
        <v>6345</v>
      </c>
      <c r="F1188" s="353">
        <v>6</v>
      </c>
      <c r="G1188" s="626" t="s">
        <v>1572</v>
      </c>
      <c r="H1188" s="350" t="s">
        <v>1692</v>
      </c>
      <c r="I1188" s="627" t="s">
        <v>393</v>
      </c>
      <c r="J1188" s="628">
        <v>531038</v>
      </c>
      <c r="K1188" s="627" t="s">
        <v>394</v>
      </c>
      <c r="L1188" s="353">
        <v>2801.6</v>
      </c>
      <c r="M1188" s="560">
        <f t="shared" si="900"/>
        <v>189.54811536264992</v>
      </c>
      <c r="N1188" s="354" t="s">
        <v>395</v>
      </c>
      <c r="O1188" s="354">
        <v>0</v>
      </c>
      <c r="P1188" s="374"/>
      <c r="Q1188" s="354">
        <v>0</v>
      </c>
      <c r="R1188" s="354">
        <v>0</v>
      </c>
      <c r="S1188" s="354">
        <v>0</v>
      </c>
      <c r="T1188" s="354">
        <v>0</v>
      </c>
      <c r="U1188" s="374"/>
      <c r="V1188" s="354">
        <v>0</v>
      </c>
      <c r="W1188" s="354">
        <v>0</v>
      </c>
      <c r="X1188" s="354">
        <v>0</v>
      </c>
      <c r="Y1188" s="374"/>
      <c r="Z1188" s="354">
        <v>0</v>
      </c>
      <c r="AA1188" s="354">
        <v>0</v>
      </c>
      <c r="AB1188" s="374"/>
      <c r="AC1188" s="376">
        <v>0</v>
      </c>
      <c r="AD1188" s="376">
        <v>0</v>
      </c>
      <c r="AE1188" s="376">
        <v>0</v>
      </c>
      <c r="AF1188" s="374"/>
      <c r="AG1188" s="376">
        <v>0</v>
      </c>
      <c r="AH1188" s="376">
        <v>0</v>
      </c>
      <c r="AI1188" s="376">
        <v>0</v>
      </c>
      <c r="AJ1188" s="376">
        <v>0</v>
      </c>
      <c r="AK1188" s="374"/>
      <c r="AL1188" s="376">
        <v>0</v>
      </c>
      <c r="AM1188" s="376">
        <v>0</v>
      </c>
      <c r="AN1188" s="376">
        <v>0</v>
      </c>
      <c r="AO1188" s="374"/>
      <c r="AP1188" s="376">
        <v>0</v>
      </c>
      <c r="AQ1188" s="376">
        <v>0</v>
      </c>
      <c r="AR1188" s="374"/>
      <c r="AS1188" s="376">
        <v>0</v>
      </c>
      <c r="AT1188" s="376">
        <v>0</v>
      </c>
      <c r="AU1188" s="355" t="s">
        <v>396</v>
      </c>
      <c r="AV1188" s="353" t="s">
        <v>345</v>
      </c>
      <c r="AW1188" s="353">
        <v>0</v>
      </c>
      <c r="AX1188" s="353">
        <v>0</v>
      </c>
      <c r="AY1188" s="353">
        <v>0</v>
      </c>
      <c r="AZ1188" s="353">
        <v>0</v>
      </c>
      <c r="BA1188" s="353">
        <v>0</v>
      </c>
      <c r="BB1188" s="353">
        <v>0</v>
      </c>
    </row>
    <row r="1189" spans="1:54" x14ac:dyDescent="0.25">
      <c r="A1189" s="348" t="s">
        <v>1683</v>
      </c>
      <c r="B1189" s="379">
        <v>100</v>
      </c>
      <c r="C1189" s="423">
        <v>45200</v>
      </c>
      <c r="D1189" s="427" t="s">
        <v>1677</v>
      </c>
      <c r="E1189" s="352">
        <v>6345</v>
      </c>
      <c r="F1189" s="353">
        <v>6</v>
      </c>
      <c r="G1189" s="351" t="s">
        <v>1572</v>
      </c>
      <c r="H1189" s="350" t="s">
        <v>1693</v>
      </c>
      <c r="I1189" s="350" t="s">
        <v>393</v>
      </c>
      <c r="J1189" s="560">
        <v>160000</v>
      </c>
      <c r="K1189" s="350" t="s">
        <v>394</v>
      </c>
      <c r="L1189" s="353">
        <v>2801.6</v>
      </c>
      <c r="M1189" s="560">
        <f t="shared" si="900"/>
        <v>57.110222729868646</v>
      </c>
      <c r="N1189" s="354" t="s">
        <v>395</v>
      </c>
      <c r="O1189" s="354">
        <v>0</v>
      </c>
      <c r="P1189" s="374"/>
      <c r="Q1189" s="354">
        <v>0</v>
      </c>
      <c r="R1189" s="354">
        <v>0</v>
      </c>
      <c r="S1189" s="354">
        <v>0</v>
      </c>
      <c r="T1189" s="354">
        <v>0</v>
      </c>
      <c r="U1189" s="374"/>
      <c r="V1189" s="354">
        <v>0</v>
      </c>
      <c r="W1189" s="354">
        <v>0</v>
      </c>
      <c r="X1189" s="354">
        <v>0</v>
      </c>
      <c r="Y1189" s="374"/>
      <c r="Z1189" s="354">
        <v>0</v>
      </c>
      <c r="AA1189" s="354">
        <v>0</v>
      </c>
      <c r="AB1189" s="374"/>
      <c r="AC1189" s="376">
        <v>0</v>
      </c>
      <c r="AD1189" s="376">
        <v>0</v>
      </c>
      <c r="AE1189" s="376">
        <v>0</v>
      </c>
      <c r="AF1189" s="374"/>
      <c r="AG1189" s="376">
        <v>0</v>
      </c>
      <c r="AH1189" s="376">
        <v>0</v>
      </c>
      <c r="AI1189" s="376">
        <v>0</v>
      </c>
      <c r="AJ1189" s="376">
        <v>0</v>
      </c>
      <c r="AK1189" s="374"/>
      <c r="AL1189" s="376">
        <v>0</v>
      </c>
      <c r="AM1189" s="376">
        <v>0</v>
      </c>
      <c r="AN1189" s="376">
        <v>0</v>
      </c>
      <c r="AO1189" s="374"/>
      <c r="AP1189" s="376">
        <v>0</v>
      </c>
      <c r="AQ1189" s="376">
        <v>0</v>
      </c>
      <c r="AR1189" s="374"/>
      <c r="AS1189" s="376">
        <v>0</v>
      </c>
      <c r="AT1189" s="376">
        <v>0</v>
      </c>
      <c r="AU1189" s="355" t="s">
        <v>396</v>
      </c>
      <c r="AV1189" s="353" t="s">
        <v>345</v>
      </c>
      <c r="AW1189" s="353">
        <v>0</v>
      </c>
      <c r="AX1189" s="353">
        <v>0</v>
      </c>
      <c r="AY1189" s="353">
        <v>0</v>
      </c>
      <c r="AZ1189" s="353">
        <v>0</v>
      </c>
      <c r="BA1189" s="353">
        <v>0</v>
      </c>
      <c r="BB1189" s="353">
        <v>0</v>
      </c>
    </row>
    <row r="1190" spans="1:54" x14ac:dyDescent="0.25">
      <c r="A1190" s="348" t="s">
        <v>1683</v>
      </c>
      <c r="B1190" s="379">
        <v>100</v>
      </c>
      <c r="C1190" s="423">
        <v>45200</v>
      </c>
      <c r="D1190" s="427" t="s">
        <v>1677</v>
      </c>
      <c r="E1190" s="352">
        <v>6345</v>
      </c>
      <c r="F1190" s="353">
        <v>6</v>
      </c>
      <c r="G1190" s="351" t="s">
        <v>1572</v>
      </c>
      <c r="H1190" s="350" t="s">
        <v>1694</v>
      </c>
      <c r="I1190" s="350" t="s">
        <v>393</v>
      </c>
      <c r="J1190" s="560">
        <v>320000</v>
      </c>
      <c r="K1190" s="350" t="s">
        <v>394</v>
      </c>
      <c r="L1190" s="353">
        <v>2801.6</v>
      </c>
      <c r="M1190" s="560">
        <f t="shared" si="900"/>
        <v>114.22044545973729</v>
      </c>
      <c r="N1190" s="354" t="s">
        <v>395</v>
      </c>
      <c r="O1190" s="354">
        <v>0</v>
      </c>
      <c r="P1190" s="374"/>
      <c r="Q1190" s="354">
        <v>0</v>
      </c>
      <c r="R1190" s="354">
        <v>0</v>
      </c>
      <c r="S1190" s="354">
        <v>0</v>
      </c>
      <c r="T1190" s="354">
        <v>0</v>
      </c>
      <c r="U1190" s="374"/>
      <c r="V1190" s="354">
        <v>0</v>
      </c>
      <c r="W1190" s="354">
        <v>0</v>
      </c>
      <c r="X1190" s="354">
        <v>0</v>
      </c>
      <c r="Y1190" s="374"/>
      <c r="Z1190" s="354">
        <v>0</v>
      </c>
      <c r="AA1190" s="354">
        <v>0</v>
      </c>
      <c r="AB1190" s="374"/>
      <c r="AC1190" s="376">
        <v>0</v>
      </c>
      <c r="AD1190" s="376">
        <v>0</v>
      </c>
      <c r="AE1190" s="376">
        <v>0</v>
      </c>
      <c r="AF1190" s="374"/>
      <c r="AG1190" s="376">
        <v>0</v>
      </c>
      <c r="AH1190" s="376">
        <v>0</v>
      </c>
      <c r="AI1190" s="376">
        <v>0</v>
      </c>
      <c r="AJ1190" s="376">
        <v>0</v>
      </c>
      <c r="AK1190" s="374"/>
      <c r="AL1190" s="376">
        <v>0</v>
      </c>
      <c r="AM1190" s="376">
        <v>0</v>
      </c>
      <c r="AN1190" s="376">
        <v>0</v>
      </c>
      <c r="AO1190" s="374"/>
      <c r="AP1190" s="376">
        <v>0</v>
      </c>
      <c r="AQ1190" s="376">
        <v>0</v>
      </c>
      <c r="AR1190" s="374"/>
      <c r="AS1190" s="376">
        <v>0</v>
      </c>
      <c r="AT1190" s="376">
        <v>0</v>
      </c>
      <c r="AU1190" s="355" t="s">
        <v>396</v>
      </c>
      <c r="AV1190" s="353" t="s">
        <v>345</v>
      </c>
      <c r="AW1190" s="353">
        <v>0</v>
      </c>
      <c r="AX1190" s="353">
        <v>0</v>
      </c>
      <c r="AY1190" s="353">
        <v>0</v>
      </c>
      <c r="AZ1190" s="353">
        <v>0</v>
      </c>
      <c r="BA1190" s="353">
        <v>0</v>
      </c>
      <c r="BB1190" s="353">
        <v>0</v>
      </c>
    </row>
    <row r="1191" spans="1:54" x14ac:dyDescent="0.25">
      <c r="A1191" s="348" t="s">
        <v>1683</v>
      </c>
      <c r="B1191" s="379">
        <v>100</v>
      </c>
      <c r="C1191" s="423">
        <v>45200</v>
      </c>
      <c r="D1191" s="427" t="s">
        <v>1677</v>
      </c>
      <c r="E1191" s="352">
        <v>6345</v>
      </c>
      <c r="F1191" s="353">
        <v>6</v>
      </c>
      <c r="G1191" s="351" t="s">
        <v>1572</v>
      </c>
      <c r="H1191" s="350" t="s">
        <v>1695</v>
      </c>
      <c r="I1191" s="350" t="s">
        <v>393</v>
      </c>
      <c r="J1191" s="560">
        <v>960000</v>
      </c>
      <c r="K1191" s="350" t="s">
        <v>394</v>
      </c>
      <c r="L1191" s="353">
        <v>2801.6</v>
      </c>
      <c r="M1191" s="560">
        <f t="shared" si="900"/>
        <v>342.66133637921189</v>
      </c>
      <c r="N1191" s="354" t="s">
        <v>395</v>
      </c>
      <c r="O1191" s="354">
        <v>0</v>
      </c>
      <c r="P1191" s="374"/>
      <c r="Q1191" s="354">
        <v>0</v>
      </c>
      <c r="R1191" s="354">
        <v>0</v>
      </c>
      <c r="S1191" s="354">
        <v>0</v>
      </c>
      <c r="T1191" s="354">
        <v>0</v>
      </c>
      <c r="U1191" s="374"/>
      <c r="V1191" s="354">
        <v>0</v>
      </c>
      <c r="W1191" s="354">
        <v>0</v>
      </c>
      <c r="X1191" s="354">
        <v>0</v>
      </c>
      <c r="Y1191" s="374"/>
      <c r="Z1191" s="354">
        <v>0</v>
      </c>
      <c r="AA1191" s="354">
        <v>0</v>
      </c>
      <c r="AB1191" s="374"/>
      <c r="AC1191" s="376">
        <v>0</v>
      </c>
      <c r="AD1191" s="376">
        <v>0</v>
      </c>
      <c r="AE1191" s="376">
        <v>0</v>
      </c>
      <c r="AF1191" s="374"/>
      <c r="AG1191" s="376">
        <v>0</v>
      </c>
      <c r="AH1191" s="376">
        <v>0</v>
      </c>
      <c r="AI1191" s="376">
        <v>0</v>
      </c>
      <c r="AJ1191" s="376">
        <v>0</v>
      </c>
      <c r="AK1191" s="374"/>
      <c r="AL1191" s="376">
        <v>0</v>
      </c>
      <c r="AM1191" s="376">
        <v>0</v>
      </c>
      <c r="AN1191" s="376">
        <v>0</v>
      </c>
      <c r="AO1191" s="374"/>
      <c r="AP1191" s="376">
        <v>0</v>
      </c>
      <c r="AQ1191" s="376">
        <v>0</v>
      </c>
      <c r="AR1191" s="374"/>
      <c r="AS1191" s="376">
        <v>0</v>
      </c>
      <c r="AT1191" s="376">
        <v>0</v>
      </c>
      <c r="AU1191" s="355" t="s">
        <v>396</v>
      </c>
      <c r="AV1191" s="353" t="s">
        <v>345</v>
      </c>
      <c r="AW1191" s="353">
        <v>0</v>
      </c>
      <c r="AX1191" s="353">
        <v>0</v>
      </c>
      <c r="AY1191" s="353">
        <v>0</v>
      </c>
      <c r="AZ1191" s="353">
        <v>0</v>
      </c>
      <c r="BA1191" s="353">
        <v>0</v>
      </c>
      <c r="BB1191" s="353">
        <v>0</v>
      </c>
    </row>
    <row r="1192" spans="1:54" x14ac:dyDescent="0.25">
      <c r="A1192" s="348" t="s">
        <v>1683</v>
      </c>
      <c r="B1192" s="379">
        <v>100</v>
      </c>
      <c r="C1192" s="423">
        <v>45200</v>
      </c>
      <c r="D1192" s="427" t="s">
        <v>1677</v>
      </c>
      <c r="E1192" s="352">
        <v>6345</v>
      </c>
      <c r="F1192" s="353">
        <v>6</v>
      </c>
      <c r="G1192" s="351" t="s">
        <v>1572</v>
      </c>
      <c r="H1192" s="350" t="s">
        <v>1696</v>
      </c>
      <c r="I1192" s="350" t="s">
        <v>393</v>
      </c>
      <c r="J1192" s="560">
        <v>160000</v>
      </c>
      <c r="K1192" s="350" t="s">
        <v>394</v>
      </c>
      <c r="L1192" s="353">
        <v>2801.6</v>
      </c>
      <c r="M1192" s="560">
        <f t="shared" si="900"/>
        <v>57.110222729868646</v>
      </c>
      <c r="N1192" s="354" t="s">
        <v>395</v>
      </c>
      <c r="O1192" s="354">
        <v>0</v>
      </c>
      <c r="P1192" s="374"/>
      <c r="Q1192" s="354">
        <v>0</v>
      </c>
      <c r="R1192" s="354">
        <v>0</v>
      </c>
      <c r="S1192" s="354">
        <v>0</v>
      </c>
      <c r="T1192" s="354">
        <v>0</v>
      </c>
      <c r="U1192" s="374"/>
      <c r="V1192" s="354">
        <v>0</v>
      </c>
      <c r="W1192" s="354">
        <v>0</v>
      </c>
      <c r="X1192" s="354">
        <v>0</v>
      </c>
      <c r="Y1192" s="374"/>
      <c r="Z1192" s="354">
        <v>0</v>
      </c>
      <c r="AA1192" s="354">
        <v>0</v>
      </c>
      <c r="AB1192" s="374"/>
      <c r="AC1192" s="376">
        <v>0</v>
      </c>
      <c r="AD1192" s="376">
        <v>0</v>
      </c>
      <c r="AE1192" s="376">
        <v>0</v>
      </c>
      <c r="AF1192" s="374"/>
      <c r="AG1192" s="376">
        <v>0</v>
      </c>
      <c r="AH1192" s="376">
        <v>0</v>
      </c>
      <c r="AI1192" s="376">
        <v>0</v>
      </c>
      <c r="AJ1192" s="376">
        <v>0</v>
      </c>
      <c r="AK1192" s="374"/>
      <c r="AL1192" s="376">
        <v>0</v>
      </c>
      <c r="AM1192" s="376">
        <v>0</v>
      </c>
      <c r="AN1192" s="376">
        <v>0</v>
      </c>
      <c r="AO1192" s="374"/>
      <c r="AP1192" s="376">
        <v>0</v>
      </c>
      <c r="AQ1192" s="376">
        <v>0</v>
      </c>
      <c r="AR1192" s="374"/>
      <c r="AS1192" s="376">
        <v>0</v>
      </c>
      <c r="AT1192" s="376">
        <v>0</v>
      </c>
      <c r="AU1192" s="355" t="s">
        <v>396</v>
      </c>
      <c r="AV1192" s="353" t="s">
        <v>345</v>
      </c>
      <c r="AW1192" s="353">
        <v>0</v>
      </c>
      <c r="AX1192" s="353">
        <v>0</v>
      </c>
      <c r="AY1192" s="353">
        <v>0</v>
      </c>
      <c r="AZ1192" s="353">
        <v>0</v>
      </c>
      <c r="BA1192" s="353">
        <v>0</v>
      </c>
      <c r="BB1192" s="353">
        <v>0</v>
      </c>
    </row>
    <row r="1193" spans="1:54" x14ac:dyDescent="0.25">
      <c r="A1193" s="348" t="s">
        <v>1684</v>
      </c>
      <c r="B1193" s="379">
        <v>101</v>
      </c>
      <c r="C1193" s="423">
        <v>45200</v>
      </c>
      <c r="D1193" s="427" t="s">
        <v>1677</v>
      </c>
      <c r="E1193" s="352">
        <v>6345</v>
      </c>
      <c r="F1193" s="353">
        <v>6</v>
      </c>
      <c r="G1193" s="351" t="s">
        <v>1572</v>
      </c>
      <c r="H1193" s="350" t="s">
        <v>1697</v>
      </c>
      <c r="I1193" s="350" t="s">
        <v>393</v>
      </c>
      <c r="J1193" s="630">
        <v>44992</v>
      </c>
      <c r="K1193" s="350" t="s">
        <v>394</v>
      </c>
      <c r="L1193" s="353">
        <v>2801.6</v>
      </c>
      <c r="M1193" s="560">
        <f t="shared" si="900"/>
        <v>16.059394631639066</v>
      </c>
      <c r="N1193" s="354" t="s">
        <v>395</v>
      </c>
      <c r="O1193" s="354">
        <v>0</v>
      </c>
      <c r="P1193" s="374"/>
      <c r="Q1193" s="354">
        <v>0</v>
      </c>
      <c r="R1193" s="354">
        <v>0</v>
      </c>
      <c r="S1193" s="354">
        <v>0</v>
      </c>
      <c r="T1193" s="354">
        <v>0</v>
      </c>
      <c r="U1193" s="374"/>
      <c r="V1193" s="354">
        <v>0</v>
      </c>
      <c r="W1193" s="354">
        <v>0</v>
      </c>
      <c r="X1193" s="354">
        <v>0</v>
      </c>
      <c r="Y1193" s="374"/>
      <c r="Z1193" s="354">
        <v>0</v>
      </c>
      <c r="AA1193" s="354">
        <v>0</v>
      </c>
      <c r="AB1193" s="374"/>
      <c r="AC1193" s="376">
        <v>0</v>
      </c>
      <c r="AD1193" s="376">
        <v>0</v>
      </c>
      <c r="AE1193" s="376">
        <v>0</v>
      </c>
      <c r="AF1193" s="374"/>
      <c r="AG1193" s="376">
        <v>0</v>
      </c>
      <c r="AH1193" s="376">
        <v>0</v>
      </c>
      <c r="AI1193" s="376">
        <v>0</v>
      </c>
      <c r="AJ1193" s="376">
        <v>0</v>
      </c>
      <c r="AK1193" s="374"/>
      <c r="AL1193" s="376">
        <v>0</v>
      </c>
      <c r="AM1193" s="376">
        <v>0</v>
      </c>
      <c r="AN1193" s="376">
        <v>0</v>
      </c>
      <c r="AO1193" s="374"/>
      <c r="AP1193" s="376">
        <v>0</v>
      </c>
      <c r="AQ1193" s="376">
        <v>0</v>
      </c>
      <c r="AR1193" s="374"/>
      <c r="AS1193" s="376">
        <v>0</v>
      </c>
      <c r="AT1193" s="376">
        <v>0</v>
      </c>
      <c r="AU1193" s="355" t="s">
        <v>396</v>
      </c>
      <c r="AV1193" s="353" t="s">
        <v>345</v>
      </c>
      <c r="AW1193" s="353">
        <v>0</v>
      </c>
      <c r="AX1193" s="353">
        <v>0</v>
      </c>
      <c r="AY1193" s="353">
        <v>0</v>
      </c>
      <c r="AZ1193" s="353">
        <v>0</v>
      </c>
      <c r="BA1193" s="353">
        <v>0</v>
      </c>
      <c r="BB1193" s="353">
        <v>0</v>
      </c>
    </row>
    <row r="1194" spans="1:54" x14ac:dyDescent="0.25">
      <c r="A1194" s="348" t="s">
        <v>1699</v>
      </c>
      <c r="B1194" s="379">
        <v>102</v>
      </c>
      <c r="C1194" s="423">
        <v>45200</v>
      </c>
      <c r="D1194" s="427" t="s">
        <v>1700</v>
      </c>
      <c r="E1194" s="352">
        <v>6345</v>
      </c>
      <c r="F1194" s="353">
        <v>6</v>
      </c>
      <c r="G1194" s="351" t="s">
        <v>1587</v>
      </c>
      <c r="H1194" s="350" t="s">
        <v>1211</v>
      </c>
      <c r="I1194" s="350" t="s">
        <v>393</v>
      </c>
      <c r="J1194" s="560">
        <v>5568000</v>
      </c>
      <c r="K1194" s="350" t="s">
        <v>394</v>
      </c>
      <c r="L1194" s="353">
        <v>2801.6</v>
      </c>
      <c r="M1194" s="560">
        <f t="shared" si="900"/>
        <v>1987.435750999429</v>
      </c>
      <c r="N1194" s="354" t="s">
        <v>395</v>
      </c>
      <c r="O1194" s="354">
        <v>0</v>
      </c>
      <c r="P1194" s="374"/>
      <c r="Q1194" s="354">
        <v>0</v>
      </c>
      <c r="R1194" s="354">
        <v>0</v>
      </c>
      <c r="S1194" s="354">
        <v>0</v>
      </c>
      <c r="T1194" s="354">
        <v>0</v>
      </c>
      <c r="U1194" s="374"/>
      <c r="V1194" s="354">
        <v>0</v>
      </c>
      <c r="W1194" s="354">
        <v>0</v>
      </c>
      <c r="X1194" s="354">
        <v>0</v>
      </c>
      <c r="Y1194" s="374"/>
      <c r="Z1194" s="354">
        <v>0</v>
      </c>
      <c r="AA1194" s="354">
        <v>0</v>
      </c>
      <c r="AB1194" s="374"/>
      <c r="AC1194" s="376">
        <v>0</v>
      </c>
      <c r="AD1194" s="376">
        <v>0</v>
      </c>
      <c r="AE1194" s="376">
        <v>0</v>
      </c>
      <c r="AF1194" s="374"/>
      <c r="AG1194" s="376">
        <v>0</v>
      </c>
      <c r="AH1194" s="376">
        <v>0</v>
      </c>
      <c r="AI1194" s="376">
        <v>0</v>
      </c>
      <c r="AJ1194" s="376">
        <v>0</v>
      </c>
      <c r="AK1194" s="374"/>
      <c r="AL1194" s="376">
        <v>0</v>
      </c>
      <c r="AM1194" s="376">
        <v>0</v>
      </c>
      <c r="AN1194" s="376">
        <v>0</v>
      </c>
      <c r="AO1194" s="374"/>
      <c r="AP1194" s="376">
        <v>0</v>
      </c>
      <c r="AQ1194" s="376">
        <v>0</v>
      </c>
      <c r="AR1194" s="374"/>
      <c r="AS1194" s="376">
        <v>0</v>
      </c>
      <c r="AT1194" s="376">
        <v>0</v>
      </c>
      <c r="AU1194" s="355" t="s">
        <v>396</v>
      </c>
      <c r="AV1194" s="353" t="s">
        <v>345</v>
      </c>
      <c r="AW1194" s="353">
        <v>0</v>
      </c>
      <c r="AX1194" s="353">
        <v>0</v>
      </c>
      <c r="AY1194" s="353">
        <v>0</v>
      </c>
      <c r="AZ1194" s="353">
        <v>0</v>
      </c>
      <c r="BA1194" s="353">
        <v>0</v>
      </c>
      <c r="BB1194" s="353">
        <v>0</v>
      </c>
    </row>
    <row r="1195" spans="1:54" x14ac:dyDescent="0.25">
      <c r="A1195" s="348" t="s">
        <v>1701</v>
      </c>
      <c r="B1195" s="379">
        <v>103</v>
      </c>
      <c r="C1195" s="423">
        <v>45200</v>
      </c>
      <c r="D1195" s="427" t="s">
        <v>1700</v>
      </c>
      <c r="E1195" s="352">
        <v>6345</v>
      </c>
      <c r="F1195" s="353">
        <v>6</v>
      </c>
      <c r="G1195" s="351" t="s">
        <v>1587</v>
      </c>
      <c r="H1195" s="350" t="s">
        <v>1770</v>
      </c>
      <c r="I1195" s="350" t="s">
        <v>393</v>
      </c>
      <c r="J1195" s="560">
        <v>6000000</v>
      </c>
      <c r="K1195" s="350" t="s">
        <v>394</v>
      </c>
      <c r="L1195" s="353">
        <v>2801.6</v>
      </c>
      <c r="M1195" s="560">
        <f t="shared" si="900"/>
        <v>2141.6333523700741</v>
      </c>
      <c r="N1195" s="354" t="s">
        <v>395</v>
      </c>
      <c r="O1195" s="354">
        <v>0</v>
      </c>
      <c r="P1195" s="374"/>
      <c r="Q1195" s="354">
        <v>0</v>
      </c>
      <c r="R1195" s="354">
        <v>0</v>
      </c>
      <c r="S1195" s="354">
        <v>0</v>
      </c>
      <c r="T1195" s="354">
        <v>0</v>
      </c>
      <c r="U1195" s="374"/>
      <c r="V1195" s="354">
        <v>0</v>
      </c>
      <c r="W1195" s="354">
        <v>0</v>
      </c>
      <c r="X1195" s="354">
        <v>0</v>
      </c>
      <c r="Y1195" s="374"/>
      <c r="Z1195" s="354">
        <v>0</v>
      </c>
      <c r="AA1195" s="354">
        <v>0</v>
      </c>
      <c r="AB1195" s="374"/>
      <c r="AC1195" s="376">
        <v>0</v>
      </c>
      <c r="AD1195" s="376">
        <v>0</v>
      </c>
      <c r="AE1195" s="376">
        <v>0</v>
      </c>
      <c r="AF1195" s="374"/>
      <c r="AG1195" s="376">
        <v>0</v>
      </c>
      <c r="AH1195" s="376">
        <v>0</v>
      </c>
      <c r="AI1195" s="376">
        <v>0</v>
      </c>
      <c r="AJ1195" s="376">
        <v>0</v>
      </c>
      <c r="AK1195" s="374"/>
      <c r="AL1195" s="376">
        <v>0</v>
      </c>
      <c r="AM1195" s="376">
        <v>0</v>
      </c>
      <c r="AN1195" s="376">
        <v>0</v>
      </c>
      <c r="AO1195" s="374"/>
      <c r="AP1195" s="376">
        <v>0</v>
      </c>
      <c r="AQ1195" s="376">
        <v>0</v>
      </c>
      <c r="AR1195" s="374"/>
      <c r="AS1195" s="376">
        <v>0</v>
      </c>
      <c r="AT1195" s="376">
        <v>0</v>
      </c>
      <c r="AU1195" s="355" t="s">
        <v>396</v>
      </c>
      <c r="AV1195" s="353" t="s">
        <v>345</v>
      </c>
      <c r="AW1195" s="353">
        <v>0</v>
      </c>
      <c r="AX1195" s="353">
        <v>0</v>
      </c>
      <c r="AY1195" s="353">
        <v>0</v>
      </c>
      <c r="AZ1195" s="353">
        <v>0</v>
      </c>
      <c r="BA1195" s="353">
        <v>0</v>
      </c>
      <c r="BB1195" s="353">
        <v>0</v>
      </c>
    </row>
    <row r="1196" spans="1:54" x14ac:dyDescent="0.25">
      <c r="A1196" s="348" t="s">
        <v>1702</v>
      </c>
      <c r="B1196" s="379">
        <v>104</v>
      </c>
      <c r="C1196" s="423">
        <v>45200</v>
      </c>
      <c r="D1196" s="427" t="s">
        <v>1700</v>
      </c>
      <c r="E1196" s="352">
        <v>6345</v>
      </c>
      <c r="F1196" s="353">
        <v>6</v>
      </c>
      <c r="G1196" s="351" t="s">
        <v>1587</v>
      </c>
      <c r="H1196" s="350" t="s">
        <v>1689</v>
      </c>
      <c r="I1196" s="350" t="s">
        <v>393</v>
      </c>
      <c r="J1196" s="560">
        <v>240000</v>
      </c>
      <c r="K1196" s="350" t="s">
        <v>394</v>
      </c>
      <c r="L1196" s="353">
        <v>2801.6</v>
      </c>
      <c r="M1196" s="560">
        <f t="shared" si="900"/>
        <v>85.665334094802972</v>
      </c>
      <c r="N1196" s="354" t="s">
        <v>395</v>
      </c>
      <c r="O1196" s="354">
        <v>0</v>
      </c>
      <c r="P1196" s="374"/>
      <c r="Q1196" s="354">
        <v>0</v>
      </c>
      <c r="R1196" s="354">
        <v>0</v>
      </c>
      <c r="S1196" s="354">
        <v>0</v>
      </c>
      <c r="T1196" s="354">
        <v>0</v>
      </c>
      <c r="U1196" s="374"/>
      <c r="V1196" s="354">
        <v>0</v>
      </c>
      <c r="W1196" s="354">
        <v>0</v>
      </c>
      <c r="X1196" s="354">
        <v>0</v>
      </c>
      <c r="Y1196" s="374"/>
      <c r="Z1196" s="354">
        <v>0</v>
      </c>
      <c r="AA1196" s="354">
        <v>0</v>
      </c>
      <c r="AB1196" s="374"/>
      <c r="AC1196" s="376">
        <v>0</v>
      </c>
      <c r="AD1196" s="376">
        <v>0</v>
      </c>
      <c r="AE1196" s="376">
        <v>0</v>
      </c>
      <c r="AF1196" s="374"/>
      <c r="AG1196" s="376">
        <v>0</v>
      </c>
      <c r="AH1196" s="376">
        <v>0</v>
      </c>
      <c r="AI1196" s="376">
        <v>0</v>
      </c>
      <c r="AJ1196" s="376">
        <v>0</v>
      </c>
      <c r="AK1196" s="374"/>
      <c r="AL1196" s="376">
        <v>0</v>
      </c>
      <c r="AM1196" s="376">
        <v>0</v>
      </c>
      <c r="AN1196" s="376">
        <v>0</v>
      </c>
      <c r="AO1196" s="374"/>
      <c r="AP1196" s="376">
        <v>0</v>
      </c>
      <c r="AQ1196" s="376">
        <v>0</v>
      </c>
      <c r="AR1196" s="374"/>
      <c r="AS1196" s="376">
        <v>0</v>
      </c>
      <c r="AT1196" s="376">
        <v>0</v>
      </c>
      <c r="AU1196" s="355" t="s">
        <v>396</v>
      </c>
      <c r="AV1196" s="353" t="s">
        <v>345</v>
      </c>
      <c r="AW1196" s="353">
        <v>0</v>
      </c>
      <c r="AX1196" s="353">
        <v>0</v>
      </c>
      <c r="AY1196" s="353">
        <v>0</v>
      </c>
      <c r="AZ1196" s="353">
        <v>0</v>
      </c>
      <c r="BA1196" s="353">
        <v>0</v>
      </c>
      <c r="BB1196" s="353">
        <v>0</v>
      </c>
    </row>
    <row r="1197" spans="1:54" x14ac:dyDescent="0.25">
      <c r="A1197" s="348" t="s">
        <v>1702</v>
      </c>
      <c r="B1197" s="379">
        <v>104</v>
      </c>
      <c r="C1197" s="423">
        <v>45200</v>
      </c>
      <c r="D1197" s="427" t="s">
        <v>1700</v>
      </c>
      <c r="E1197" s="352">
        <v>6345</v>
      </c>
      <c r="F1197" s="353">
        <v>6</v>
      </c>
      <c r="G1197" s="351" t="s">
        <v>1587</v>
      </c>
      <c r="H1197" s="350" t="s">
        <v>1706</v>
      </c>
      <c r="I1197" s="350" t="s">
        <v>393</v>
      </c>
      <c r="J1197" s="560">
        <v>360000</v>
      </c>
      <c r="K1197" s="350" t="s">
        <v>394</v>
      </c>
      <c r="L1197" s="353">
        <v>2801.6</v>
      </c>
      <c r="M1197" s="560">
        <f t="shared" si="900"/>
        <v>128.49800114220446</v>
      </c>
      <c r="N1197" s="354" t="s">
        <v>395</v>
      </c>
      <c r="O1197" s="354">
        <v>0</v>
      </c>
      <c r="P1197" s="374"/>
      <c r="Q1197" s="354">
        <v>0</v>
      </c>
      <c r="R1197" s="354">
        <v>0</v>
      </c>
      <c r="S1197" s="354">
        <v>0</v>
      </c>
      <c r="T1197" s="354">
        <v>0</v>
      </c>
      <c r="U1197" s="374"/>
      <c r="V1197" s="354">
        <v>0</v>
      </c>
      <c r="W1197" s="354">
        <v>0</v>
      </c>
      <c r="X1197" s="354">
        <v>0</v>
      </c>
      <c r="Y1197" s="374"/>
      <c r="Z1197" s="354">
        <v>0</v>
      </c>
      <c r="AA1197" s="354">
        <v>0</v>
      </c>
      <c r="AB1197" s="374"/>
      <c r="AC1197" s="376">
        <v>0</v>
      </c>
      <c r="AD1197" s="376">
        <v>0</v>
      </c>
      <c r="AE1197" s="376">
        <v>0</v>
      </c>
      <c r="AF1197" s="374"/>
      <c r="AG1197" s="376">
        <v>0</v>
      </c>
      <c r="AH1197" s="376">
        <v>0</v>
      </c>
      <c r="AI1197" s="376">
        <v>0</v>
      </c>
      <c r="AJ1197" s="376">
        <v>0</v>
      </c>
      <c r="AK1197" s="374"/>
      <c r="AL1197" s="376">
        <v>0</v>
      </c>
      <c r="AM1197" s="376">
        <v>0</v>
      </c>
      <c r="AN1197" s="376">
        <v>0</v>
      </c>
      <c r="AO1197" s="374"/>
      <c r="AP1197" s="376">
        <v>0</v>
      </c>
      <c r="AQ1197" s="376">
        <v>0</v>
      </c>
      <c r="AR1197" s="374"/>
      <c r="AS1197" s="376">
        <v>0</v>
      </c>
      <c r="AT1197" s="376">
        <v>0</v>
      </c>
      <c r="AU1197" s="355" t="s">
        <v>396</v>
      </c>
      <c r="AV1197" s="353" t="s">
        <v>345</v>
      </c>
      <c r="AW1197" s="353">
        <v>0</v>
      </c>
      <c r="AX1197" s="353">
        <v>0</v>
      </c>
      <c r="AY1197" s="353">
        <v>0</v>
      </c>
      <c r="AZ1197" s="353">
        <v>0</v>
      </c>
      <c r="BA1197" s="353">
        <v>0</v>
      </c>
      <c r="BB1197" s="353">
        <v>0</v>
      </c>
    </row>
    <row r="1198" spans="1:54" x14ac:dyDescent="0.25">
      <c r="A1198" s="348" t="s">
        <v>1703</v>
      </c>
      <c r="B1198" s="379">
        <v>105</v>
      </c>
      <c r="C1198" s="423">
        <v>45200</v>
      </c>
      <c r="D1198" s="427" t="s">
        <v>1700</v>
      </c>
      <c r="E1198" s="352">
        <v>6345</v>
      </c>
      <c r="F1198" s="353">
        <v>6</v>
      </c>
      <c r="G1198" s="351" t="s">
        <v>1587</v>
      </c>
      <c r="H1198" s="350" t="s">
        <v>1707</v>
      </c>
      <c r="I1198" s="350" t="s">
        <v>393</v>
      </c>
      <c r="J1198" s="560">
        <v>10500</v>
      </c>
      <c r="K1198" s="350" t="s">
        <v>394</v>
      </c>
      <c r="L1198" s="353">
        <v>2801.6</v>
      </c>
      <c r="M1198" s="560">
        <f t="shared" si="900"/>
        <v>3.7478583666476299</v>
      </c>
      <c r="N1198" s="354" t="s">
        <v>395</v>
      </c>
      <c r="O1198" s="354">
        <v>0</v>
      </c>
      <c r="P1198" s="374"/>
      <c r="Q1198" s="354">
        <v>0</v>
      </c>
      <c r="R1198" s="354">
        <v>0</v>
      </c>
      <c r="S1198" s="354">
        <v>0</v>
      </c>
      <c r="T1198" s="354">
        <v>0</v>
      </c>
      <c r="U1198" s="374"/>
      <c r="V1198" s="354">
        <v>0</v>
      </c>
      <c r="W1198" s="354">
        <v>0</v>
      </c>
      <c r="X1198" s="354">
        <v>0</v>
      </c>
      <c r="Y1198" s="374"/>
      <c r="Z1198" s="354">
        <v>0</v>
      </c>
      <c r="AA1198" s="354">
        <v>0</v>
      </c>
      <c r="AB1198" s="374"/>
      <c r="AC1198" s="376">
        <v>0</v>
      </c>
      <c r="AD1198" s="376">
        <v>0</v>
      </c>
      <c r="AE1198" s="376">
        <v>0</v>
      </c>
      <c r="AF1198" s="374"/>
      <c r="AG1198" s="376">
        <v>0</v>
      </c>
      <c r="AH1198" s="376">
        <v>0</v>
      </c>
      <c r="AI1198" s="376">
        <v>0</v>
      </c>
      <c r="AJ1198" s="376">
        <v>0</v>
      </c>
      <c r="AK1198" s="374"/>
      <c r="AL1198" s="376">
        <v>0</v>
      </c>
      <c r="AM1198" s="376">
        <v>0</v>
      </c>
      <c r="AN1198" s="376">
        <v>0</v>
      </c>
      <c r="AO1198" s="374"/>
      <c r="AP1198" s="376">
        <v>0</v>
      </c>
      <c r="AQ1198" s="376">
        <v>0</v>
      </c>
      <c r="AR1198" s="374"/>
      <c r="AS1198" s="376">
        <v>0</v>
      </c>
      <c r="AT1198" s="376">
        <v>0</v>
      </c>
      <c r="AU1198" s="355" t="s">
        <v>396</v>
      </c>
      <c r="AV1198" s="353" t="s">
        <v>345</v>
      </c>
      <c r="AW1198" s="353">
        <v>0</v>
      </c>
      <c r="AX1198" s="353">
        <v>0</v>
      </c>
      <c r="AY1198" s="353">
        <v>0</v>
      </c>
      <c r="AZ1198" s="353">
        <v>0</v>
      </c>
      <c r="BA1198" s="353">
        <v>0</v>
      </c>
      <c r="BB1198" s="353">
        <v>0</v>
      </c>
    </row>
    <row r="1199" spans="1:54" x14ac:dyDescent="0.25">
      <c r="A1199" s="348" t="s">
        <v>1703</v>
      </c>
      <c r="B1199" s="379">
        <v>105</v>
      </c>
      <c r="C1199" s="423">
        <v>45200</v>
      </c>
      <c r="D1199" s="427" t="s">
        <v>1700</v>
      </c>
      <c r="E1199" s="352">
        <v>6345</v>
      </c>
      <c r="F1199" s="353">
        <v>6</v>
      </c>
      <c r="G1199" s="351" t="s">
        <v>1587</v>
      </c>
      <c r="H1199" s="350" t="s">
        <v>1708</v>
      </c>
      <c r="I1199" s="350" t="s">
        <v>393</v>
      </c>
      <c r="J1199" s="560">
        <v>27000</v>
      </c>
      <c r="K1199" s="350" t="s">
        <v>394</v>
      </c>
      <c r="L1199" s="353">
        <v>2801.6</v>
      </c>
      <c r="M1199" s="560">
        <f t="shared" si="900"/>
        <v>9.637350085665334</v>
      </c>
      <c r="N1199" s="354" t="s">
        <v>395</v>
      </c>
      <c r="O1199" s="354">
        <v>0</v>
      </c>
      <c r="P1199" s="374"/>
      <c r="Q1199" s="354">
        <v>0</v>
      </c>
      <c r="R1199" s="354">
        <v>0</v>
      </c>
      <c r="S1199" s="354">
        <v>0</v>
      </c>
      <c r="T1199" s="354">
        <v>0</v>
      </c>
      <c r="U1199" s="374"/>
      <c r="V1199" s="354">
        <v>0</v>
      </c>
      <c r="W1199" s="354">
        <v>0</v>
      </c>
      <c r="X1199" s="354">
        <v>0</v>
      </c>
      <c r="Y1199" s="374"/>
      <c r="Z1199" s="354">
        <v>0</v>
      </c>
      <c r="AA1199" s="354">
        <v>0</v>
      </c>
      <c r="AB1199" s="374"/>
      <c r="AC1199" s="376">
        <v>0</v>
      </c>
      <c r="AD1199" s="376">
        <v>0</v>
      </c>
      <c r="AE1199" s="376">
        <v>0</v>
      </c>
      <c r="AF1199" s="374"/>
      <c r="AG1199" s="376">
        <v>0</v>
      </c>
      <c r="AH1199" s="376">
        <v>0</v>
      </c>
      <c r="AI1199" s="376">
        <v>0</v>
      </c>
      <c r="AJ1199" s="376">
        <v>0</v>
      </c>
      <c r="AK1199" s="374"/>
      <c r="AL1199" s="376">
        <v>0</v>
      </c>
      <c r="AM1199" s="376">
        <v>0</v>
      </c>
      <c r="AN1199" s="376">
        <v>0</v>
      </c>
      <c r="AO1199" s="374"/>
      <c r="AP1199" s="376">
        <v>0</v>
      </c>
      <c r="AQ1199" s="376">
        <v>0</v>
      </c>
      <c r="AR1199" s="374"/>
      <c r="AS1199" s="376">
        <v>0</v>
      </c>
      <c r="AT1199" s="376">
        <v>0</v>
      </c>
      <c r="AU1199" s="355" t="s">
        <v>396</v>
      </c>
      <c r="AV1199" s="353" t="s">
        <v>345</v>
      </c>
      <c r="AW1199" s="353">
        <v>0</v>
      </c>
      <c r="AX1199" s="353">
        <v>0</v>
      </c>
      <c r="AY1199" s="353">
        <v>0</v>
      </c>
      <c r="AZ1199" s="353">
        <v>0</v>
      </c>
      <c r="BA1199" s="353">
        <v>0</v>
      </c>
      <c r="BB1199" s="353">
        <v>0</v>
      </c>
    </row>
    <row r="1200" spans="1:54" x14ac:dyDescent="0.25">
      <c r="A1200" s="348" t="s">
        <v>1703</v>
      </c>
      <c r="B1200" s="379">
        <v>105</v>
      </c>
      <c r="C1200" s="423">
        <v>45200</v>
      </c>
      <c r="D1200" s="427" t="s">
        <v>1700</v>
      </c>
      <c r="E1200" s="352">
        <v>6345</v>
      </c>
      <c r="F1200" s="353">
        <v>6</v>
      </c>
      <c r="G1200" s="351" t="s">
        <v>1587</v>
      </c>
      <c r="H1200" s="350" t="s">
        <v>1228</v>
      </c>
      <c r="I1200" s="350" t="s">
        <v>393</v>
      </c>
      <c r="J1200" s="560">
        <v>51000</v>
      </c>
      <c r="K1200" s="350" t="s">
        <v>394</v>
      </c>
      <c r="L1200" s="353">
        <v>2801.6</v>
      </c>
      <c r="M1200" s="560">
        <f t="shared" si="900"/>
        <v>18.203883495145632</v>
      </c>
      <c r="N1200" s="354" t="s">
        <v>395</v>
      </c>
      <c r="O1200" s="354">
        <v>0</v>
      </c>
      <c r="P1200" s="374"/>
      <c r="Q1200" s="354">
        <v>0</v>
      </c>
      <c r="R1200" s="354">
        <v>0</v>
      </c>
      <c r="S1200" s="354">
        <v>0</v>
      </c>
      <c r="T1200" s="354">
        <v>0</v>
      </c>
      <c r="U1200" s="374"/>
      <c r="V1200" s="354">
        <v>0</v>
      </c>
      <c r="W1200" s="354">
        <v>0</v>
      </c>
      <c r="X1200" s="354">
        <v>0</v>
      </c>
      <c r="Y1200" s="374"/>
      <c r="Z1200" s="354">
        <v>0</v>
      </c>
      <c r="AA1200" s="354">
        <v>0</v>
      </c>
      <c r="AB1200" s="374"/>
      <c r="AC1200" s="376">
        <v>0</v>
      </c>
      <c r="AD1200" s="376">
        <v>0</v>
      </c>
      <c r="AE1200" s="376">
        <v>0</v>
      </c>
      <c r="AF1200" s="374"/>
      <c r="AG1200" s="376">
        <v>0</v>
      </c>
      <c r="AH1200" s="376">
        <v>0</v>
      </c>
      <c r="AI1200" s="376">
        <v>0</v>
      </c>
      <c r="AJ1200" s="376">
        <v>0</v>
      </c>
      <c r="AK1200" s="374"/>
      <c r="AL1200" s="376">
        <v>0</v>
      </c>
      <c r="AM1200" s="376">
        <v>0</v>
      </c>
      <c r="AN1200" s="376">
        <v>0</v>
      </c>
      <c r="AO1200" s="374"/>
      <c r="AP1200" s="376">
        <v>0</v>
      </c>
      <c r="AQ1200" s="376">
        <v>0</v>
      </c>
      <c r="AR1200" s="374"/>
      <c r="AS1200" s="376">
        <v>0</v>
      </c>
      <c r="AT1200" s="376">
        <v>0</v>
      </c>
      <c r="AU1200" s="355" t="s">
        <v>396</v>
      </c>
      <c r="AV1200" s="353" t="s">
        <v>345</v>
      </c>
      <c r="AW1200" s="353">
        <v>0</v>
      </c>
      <c r="AX1200" s="353">
        <v>0</v>
      </c>
      <c r="AY1200" s="353">
        <v>0</v>
      </c>
      <c r="AZ1200" s="353">
        <v>0</v>
      </c>
      <c r="BA1200" s="353">
        <v>0</v>
      </c>
      <c r="BB1200" s="353">
        <v>0</v>
      </c>
    </row>
    <row r="1201" spans="1:54" x14ac:dyDescent="0.25">
      <c r="A1201" s="348" t="s">
        <v>1703</v>
      </c>
      <c r="B1201" s="379">
        <v>105</v>
      </c>
      <c r="C1201" s="423">
        <v>45200</v>
      </c>
      <c r="D1201" s="427" t="s">
        <v>1700</v>
      </c>
      <c r="E1201" s="352">
        <v>6345</v>
      </c>
      <c r="F1201" s="353">
        <v>6</v>
      </c>
      <c r="G1201" s="351" t="s">
        <v>1587</v>
      </c>
      <c r="H1201" s="350" t="s">
        <v>1229</v>
      </c>
      <c r="I1201" s="350" t="s">
        <v>393</v>
      </c>
      <c r="J1201" s="560">
        <v>44000</v>
      </c>
      <c r="K1201" s="350" t="s">
        <v>394</v>
      </c>
      <c r="L1201" s="353">
        <v>2801.6</v>
      </c>
      <c r="M1201" s="560">
        <f t="shared" si="900"/>
        <v>15.705311250713878</v>
      </c>
      <c r="N1201" s="354" t="s">
        <v>395</v>
      </c>
      <c r="O1201" s="354">
        <v>0</v>
      </c>
      <c r="P1201" s="374"/>
      <c r="Q1201" s="354">
        <v>0</v>
      </c>
      <c r="R1201" s="354">
        <v>0</v>
      </c>
      <c r="S1201" s="354">
        <v>0</v>
      </c>
      <c r="T1201" s="354">
        <v>0</v>
      </c>
      <c r="U1201" s="374"/>
      <c r="V1201" s="354">
        <v>0</v>
      </c>
      <c r="W1201" s="354">
        <v>0</v>
      </c>
      <c r="X1201" s="354">
        <v>0</v>
      </c>
      <c r="Y1201" s="374"/>
      <c r="Z1201" s="354">
        <v>0</v>
      </c>
      <c r="AA1201" s="354">
        <v>0</v>
      </c>
      <c r="AB1201" s="374"/>
      <c r="AC1201" s="376">
        <v>0</v>
      </c>
      <c r="AD1201" s="376">
        <v>0</v>
      </c>
      <c r="AE1201" s="376">
        <v>0</v>
      </c>
      <c r="AF1201" s="374"/>
      <c r="AG1201" s="376">
        <v>0</v>
      </c>
      <c r="AH1201" s="376">
        <v>0</v>
      </c>
      <c r="AI1201" s="376">
        <v>0</v>
      </c>
      <c r="AJ1201" s="376">
        <v>0</v>
      </c>
      <c r="AK1201" s="374"/>
      <c r="AL1201" s="376">
        <v>0</v>
      </c>
      <c r="AM1201" s="376">
        <v>0</v>
      </c>
      <c r="AN1201" s="376">
        <v>0</v>
      </c>
      <c r="AO1201" s="374"/>
      <c r="AP1201" s="376">
        <v>0</v>
      </c>
      <c r="AQ1201" s="376">
        <v>0</v>
      </c>
      <c r="AR1201" s="374"/>
      <c r="AS1201" s="376">
        <v>0</v>
      </c>
      <c r="AT1201" s="376">
        <v>0</v>
      </c>
      <c r="AU1201" s="355" t="s">
        <v>396</v>
      </c>
      <c r="AV1201" s="353" t="s">
        <v>345</v>
      </c>
      <c r="AW1201" s="353">
        <v>0</v>
      </c>
      <c r="AX1201" s="353">
        <v>0</v>
      </c>
      <c r="AY1201" s="353">
        <v>0</v>
      </c>
      <c r="AZ1201" s="353">
        <v>0</v>
      </c>
      <c r="BA1201" s="353">
        <v>0</v>
      </c>
      <c r="BB1201" s="353">
        <v>0</v>
      </c>
    </row>
    <row r="1202" spans="1:54" x14ac:dyDescent="0.25">
      <c r="A1202" s="348" t="s">
        <v>1703</v>
      </c>
      <c r="B1202" s="379">
        <v>105</v>
      </c>
      <c r="C1202" s="423">
        <v>45200</v>
      </c>
      <c r="D1202" s="427" t="s">
        <v>1700</v>
      </c>
      <c r="E1202" s="352">
        <v>6345</v>
      </c>
      <c r="F1202" s="353">
        <v>6</v>
      </c>
      <c r="G1202" s="351" t="s">
        <v>1587</v>
      </c>
      <c r="H1202" s="350" t="s">
        <v>1709</v>
      </c>
      <c r="I1202" s="350" t="s">
        <v>393</v>
      </c>
      <c r="J1202" s="560">
        <v>86400</v>
      </c>
      <c r="K1202" s="350" t="s">
        <v>394</v>
      </c>
      <c r="L1202" s="353">
        <v>2801.6</v>
      </c>
      <c r="M1202" s="560">
        <f t="shared" si="900"/>
        <v>30.839520274129072</v>
      </c>
      <c r="N1202" s="354" t="s">
        <v>395</v>
      </c>
      <c r="O1202" s="354">
        <v>0</v>
      </c>
      <c r="P1202" s="374"/>
      <c r="Q1202" s="354">
        <v>0</v>
      </c>
      <c r="R1202" s="354">
        <v>0</v>
      </c>
      <c r="S1202" s="354">
        <v>0</v>
      </c>
      <c r="T1202" s="354">
        <v>0</v>
      </c>
      <c r="U1202" s="374"/>
      <c r="V1202" s="354">
        <v>0</v>
      </c>
      <c r="W1202" s="354">
        <v>0</v>
      </c>
      <c r="X1202" s="354">
        <v>0</v>
      </c>
      <c r="Y1202" s="374"/>
      <c r="Z1202" s="354">
        <v>0</v>
      </c>
      <c r="AA1202" s="354">
        <v>0</v>
      </c>
      <c r="AB1202" s="374"/>
      <c r="AC1202" s="376">
        <v>0</v>
      </c>
      <c r="AD1202" s="376">
        <v>0</v>
      </c>
      <c r="AE1202" s="376">
        <v>0</v>
      </c>
      <c r="AF1202" s="374"/>
      <c r="AG1202" s="376">
        <v>0</v>
      </c>
      <c r="AH1202" s="376">
        <v>0</v>
      </c>
      <c r="AI1202" s="376">
        <v>0</v>
      </c>
      <c r="AJ1202" s="376">
        <v>0</v>
      </c>
      <c r="AK1202" s="374"/>
      <c r="AL1202" s="376">
        <v>0</v>
      </c>
      <c r="AM1202" s="376">
        <v>0</v>
      </c>
      <c r="AN1202" s="376">
        <v>0</v>
      </c>
      <c r="AO1202" s="374"/>
      <c r="AP1202" s="376">
        <v>0</v>
      </c>
      <c r="AQ1202" s="376">
        <v>0</v>
      </c>
      <c r="AR1202" s="374"/>
      <c r="AS1202" s="376">
        <v>0</v>
      </c>
      <c r="AT1202" s="376">
        <v>0</v>
      </c>
      <c r="AU1202" s="355" t="s">
        <v>396</v>
      </c>
      <c r="AV1202" s="353" t="s">
        <v>345</v>
      </c>
      <c r="AW1202" s="353">
        <v>0</v>
      </c>
      <c r="AX1202" s="353">
        <v>0</v>
      </c>
      <c r="AY1202" s="353">
        <v>0</v>
      </c>
      <c r="AZ1202" s="353">
        <v>0</v>
      </c>
      <c r="BA1202" s="353">
        <v>0</v>
      </c>
      <c r="BB1202" s="353">
        <v>0</v>
      </c>
    </row>
    <row r="1203" spans="1:54" x14ac:dyDescent="0.25">
      <c r="A1203" s="348" t="s">
        <v>1703</v>
      </c>
      <c r="B1203" s="379">
        <v>105</v>
      </c>
      <c r="C1203" s="423">
        <v>45200</v>
      </c>
      <c r="D1203" s="427" t="s">
        <v>1700</v>
      </c>
      <c r="E1203" s="352">
        <v>6345</v>
      </c>
      <c r="F1203" s="353">
        <v>6</v>
      </c>
      <c r="G1203" s="351" t="s">
        <v>1587</v>
      </c>
      <c r="H1203" s="350" t="s">
        <v>1710</v>
      </c>
      <c r="I1203" s="350" t="s">
        <v>393</v>
      </c>
      <c r="J1203" s="560">
        <v>216000</v>
      </c>
      <c r="K1203" s="350" t="s">
        <v>394</v>
      </c>
      <c r="L1203" s="353">
        <v>2801.6</v>
      </c>
      <c r="M1203" s="560">
        <f t="shared" si="900"/>
        <v>77.098800685322672</v>
      </c>
      <c r="N1203" s="354" t="s">
        <v>395</v>
      </c>
      <c r="O1203" s="354">
        <v>0</v>
      </c>
      <c r="P1203" s="374"/>
      <c r="Q1203" s="354">
        <v>0</v>
      </c>
      <c r="R1203" s="354">
        <v>0</v>
      </c>
      <c r="S1203" s="354">
        <v>0</v>
      </c>
      <c r="T1203" s="354">
        <v>0</v>
      </c>
      <c r="U1203" s="374"/>
      <c r="V1203" s="354">
        <v>0</v>
      </c>
      <c r="W1203" s="354">
        <v>0</v>
      </c>
      <c r="X1203" s="354">
        <v>0</v>
      </c>
      <c r="Y1203" s="374"/>
      <c r="Z1203" s="354">
        <v>0</v>
      </c>
      <c r="AA1203" s="354">
        <v>0</v>
      </c>
      <c r="AB1203" s="374"/>
      <c r="AC1203" s="376">
        <v>0</v>
      </c>
      <c r="AD1203" s="376">
        <v>0</v>
      </c>
      <c r="AE1203" s="376">
        <v>0</v>
      </c>
      <c r="AF1203" s="374"/>
      <c r="AG1203" s="376">
        <v>0</v>
      </c>
      <c r="AH1203" s="376">
        <v>0</v>
      </c>
      <c r="AI1203" s="376">
        <v>0</v>
      </c>
      <c r="AJ1203" s="376">
        <v>0</v>
      </c>
      <c r="AK1203" s="374"/>
      <c r="AL1203" s="376">
        <v>0</v>
      </c>
      <c r="AM1203" s="376">
        <v>0</v>
      </c>
      <c r="AN1203" s="376">
        <v>0</v>
      </c>
      <c r="AO1203" s="374"/>
      <c r="AP1203" s="376">
        <v>0</v>
      </c>
      <c r="AQ1203" s="376">
        <v>0</v>
      </c>
      <c r="AR1203" s="374"/>
      <c r="AS1203" s="376">
        <v>0</v>
      </c>
      <c r="AT1203" s="376">
        <v>0</v>
      </c>
      <c r="AU1203" s="355" t="s">
        <v>396</v>
      </c>
      <c r="AV1203" s="353" t="s">
        <v>345</v>
      </c>
      <c r="AW1203" s="353">
        <v>0</v>
      </c>
      <c r="AX1203" s="353">
        <v>0</v>
      </c>
      <c r="AY1203" s="353">
        <v>0</v>
      </c>
      <c r="AZ1203" s="353">
        <v>0</v>
      </c>
      <c r="BA1203" s="353">
        <v>0</v>
      </c>
      <c r="BB1203" s="353">
        <v>0</v>
      </c>
    </row>
    <row r="1204" spans="1:54" x14ac:dyDescent="0.25">
      <c r="A1204" s="622" t="s">
        <v>1704</v>
      </c>
      <c r="B1204" s="623">
        <v>106</v>
      </c>
      <c r="C1204" s="423">
        <v>45200</v>
      </c>
      <c r="D1204" s="624" t="s">
        <v>1700</v>
      </c>
      <c r="E1204" s="625">
        <v>6345</v>
      </c>
      <c r="F1204" s="353">
        <v>6</v>
      </c>
      <c r="G1204" s="626" t="s">
        <v>1587</v>
      </c>
      <c r="H1204" s="627" t="s">
        <v>1692</v>
      </c>
      <c r="I1204" s="627" t="s">
        <v>393</v>
      </c>
      <c r="J1204" s="628">
        <v>236600</v>
      </c>
      <c r="K1204" s="627" t="s">
        <v>394</v>
      </c>
      <c r="L1204" s="353">
        <v>2801.6</v>
      </c>
      <c r="M1204" s="560">
        <f t="shared" si="900"/>
        <v>84.451741861793266</v>
      </c>
      <c r="N1204" s="354" t="s">
        <v>395</v>
      </c>
      <c r="O1204" s="354">
        <v>0</v>
      </c>
      <c r="P1204" s="374"/>
      <c r="Q1204" s="354">
        <v>0</v>
      </c>
      <c r="R1204" s="354">
        <v>0</v>
      </c>
      <c r="S1204" s="354">
        <v>0</v>
      </c>
      <c r="T1204" s="354">
        <v>0</v>
      </c>
      <c r="U1204" s="374"/>
      <c r="V1204" s="354">
        <v>0</v>
      </c>
      <c r="W1204" s="354">
        <v>0</v>
      </c>
      <c r="X1204" s="354">
        <v>0</v>
      </c>
      <c r="Y1204" s="374"/>
      <c r="Z1204" s="354">
        <v>0</v>
      </c>
      <c r="AA1204" s="354">
        <v>0</v>
      </c>
      <c r="AB1204" s="374"/>
      <c r="AC1204" s="376">
        <v>0</v>
      </c>
      <c r="AD1204" s="376">
        <v>0</v>
      </c>
      <c r="AE1204" s="376">
        <v>0</v>
      </c>
      <c r="AF1204" s="374"/>
      <c r="AG1204" s="376">
        <v>0</v>
      </c>
      <c r="AH1204" s="376">
        <v>0</v>
      </c>
      <c r="AI1204" s="376">
        <v>0</v>
      </c>
      <c r="AJ1204" s="376">
        <v>0</v>
      </c>
      <c r="AK1204" s="374"/>
      <c r="AL1204" s="376">
        <v>0</v>
      </c>
      <c r="AM1204" s="376">
        <v>0</v>
      </c>
      <c r="AN1204" s="376">
        <v>0</v>
      </c>
      <c r="AO1204" s="374"/>
      <c r="AP1204" s="376">
        <v>0</v>
      </c>
      <c r="AQ1204" s="376">
        <v>0</v>
      </c>
      <c r="AR1204" s="374"/>
      <c r="AS1204" s="376">
        <v>0</v>
      </c>
      <c r="AT1204" s="376">
        <v>0</v>
      </c>
      <c r="AU1204" s="355" t="s">
        <v>396</v>
      </c>
      <c r="AV1204" s="353" t="s">
        <v>345</v>
      </c>
      <c r="AW1204" s="353">
        <v>0</v>
      </c>
      <c r="AX1204" s="353">
        <v>0</v>
      </c>
      <c r="AY1204" s="353">
        <v>0</v>
      </c>
      <c r="AZ1204" s="353">
        <v>0</v>
      </c>
      <c r="BA1204" s="353">
        <v>0</v>
      </c>
      <c r="BB1204" s="353">
        <v>0</v>
      </c>
    </row>
    <row r="1205" spans="1:54" x14ac:dyDescent="0.25">
      <c r="A1205" s="348" t="s">
        <v>1705</v>
      </c>
      <c r="B1205" s="379">
        <v>107</v>
      </c>
      <c r="C1205" s="423">
        <v>45200</v>
      </c>
      <c r="D1205" s="427" t="s">
        <v>1700</v>
      </c>
      <c r="E1205" s="352">
        <v>6345</v>
      </c>
      <c r="F1205" s="353">
        <v>6</v>
      </c>
      <c r="G1205" s="351" t="s">
        <v>1587</v>
      </c>
      <c r="H1205" s="350" t="s">
        <v>1711</v>
      </c>
      <c r="I1205" s="350" t="s">
        <v>393</v>
      </c>
      <c r="J1205" s="560">
        <v>30000</v>
      </c>
      <c r="K1205" s="350" t="s">
        <v>394</v>
      </c>
      <c r="L1205" s="353">
        <v>2801.6</v>
      </c>
      <c r="M1205" s="560">
        <f t="shared" si="900"/>
        <v>10.708166761850372</v>
      </c>
      <c r="N1205" s="354" t="s">
        <v>395</v>
      </c>
      <c r="O1205" s="354">
        <v>0</v>
      </c>
      <c r="P1205" s="374"/>
      <c r="Q1205" s="354">
        <v>0</v>
      </c>
      <c r="R1205" s="354">
        <v>0</v>
      </c>
      <c r="S1205" s="354">
        <v>0</v>
      </c>
      <c r="T1205" s="354">
        <v>0</v>
      </c>
      <c r="U1205" s="374"/>
      <c r="V1205" s="354">
        <v>0</v>
      </c>
      <c r="W1205" s="354">
        <v>0</v>
      </c>
      <c r="X1205" s="354">
        <v>0</v>
      </c>
      <c r="Y1205" s="374"/>
      <c r="Z1205" s="354">
        <v>0</v>
      </c>
      <c r="AA1205" s="354">
        <v>0</v>
      </c>
      <c r="AB1205" s="374"/>
      <c r="AC1205" s="376">
        <v>0</v>
      </c>
      <c r="AD1205" s="376">
        <v>0</v>
      </c>
      <c r="AE1205" s="376">
        <v>0</v>
      </c>
      <c r="AF1205" s="374"/>
      <c r="AG1205" s="376">
        <v>0</v>
      </c>
      <c r="AH1205" s="376">
        <v>0</v>
      </c>
      <c r="AI1205" s="376">
        <v>0</v>
      </c>
      <c r="AJ1205" s="376">
        <v>0</v>
      </c>
      <c r="AK1205" s="374"/>
      <c r="AL1205" s="376">
        <v>0</v>
      </c>
      <c r="AM1205" s="376">
        <v>0</v>
      </c>
      <c r="AN1205" s="376">
        <v>0</v>
      </c>
      <c r="AO1205" s="374"/>
      <c r="AP1205" s="376">
        <v>0</v>
      </c>
      <c r="AQ1205" s="376">
        <v>0</v>
      </c>
      <c r="AR1205" s="374"/>
      <c r="AS1205" s="376">
        <v>0</v>
      </c>
      <c r="AT1205" s="376">
        <v>0</v>
      </c>
      <c r="AU1205" s="355" t="s">
        <v>396</v>
      </c>
      <c r="AV1205" s="353" t="s">
        <v>345</v>
      </c>
      <c r="AW1205" s="353">
        <v>0</v>
      </c>
      <c r="AX1205" s="353">
        <v>0</v>
      </c>
      <c r="AY1205" s="353">
        <v>0</v>
      </c>
      <c r="AZ1205" s="353">
        <v>0</v>
      </c>
      <c r="BA1205" s="353">
        <v>0</v>
      </c>
      <c r="BB1205" s="353">
        <v>0</v>
      </c>
    </row>
    <row r="1206" spans="1:54" x14ac:dyDescent="0.25">
      <c r="A1206" s="348" t="s">
        <v>1705</v>
      </c>
      <c r="B1206" s="379">
        <v>107</v>
      </c>
      <c r="C1206" s="423">
        <v>45200</v>
      </c>
      <c r="D1206" s="427" t="s">
        <v>1700</v>
      </c>
      <c r="E1206" s="352">
        <v>6345</v>
      </c>
      <c r="F1206" s="353">
        <v>6</v>
      </c>
      <c r="G1206" s="351" t="s">
        <v>1587</v>
      </c>
      <c r="H1206" s="350" t="s">
        <v>1712</v>
      </c>
      <c r="I1206" s="350" t="s">
        <v>393</v>
      </c>
      <c r="J1206" s="560">
        <v>15000</v>
      </c>
      <c r="K1206" s="350" t="s">
        <v>394</v>
      </c>
      <c r="L1206" s="353">
        <v>2801.6</v>
      </c>
      <c r="M1206" s="560">
        <f t="shared" si="900"/>
        <v>5.3540833809251858</v>
      </c>
      <c r="N1206" s="354" t="s">
        <v>395</v>
      </c>
      <c r="O1206" s="354">
        <v>0</v>
      </c>
      <c r="P1206" s="374"/>
      <c r="Q1206" s="354">
        <v>0</v>
      </c>
      <c r="R1206" s="354">
        <v>0</v>
      </c>
      <c r="S1206" s="354">
        <v>0</v>
      </c>
      <c r="T1206" s="354">
        <v>0</v>
      </c>
      <c r="U1206" s="374"/>
      <c r="V1206" s="354">
        <v>0</v>
      </c>
      <c r="W1206" s="354">
        <v>0</v>
      </c>
      <c r="X1206" s="354">
        <v>0</v>
      </c>
      <c r="Y1206" s="374"/>
      <c r="Z1206" s="354">
        <v>0</v>
      </c>
      <c r="AA1206" s="354">
        <v>0</v>
      </c>
      <c r="AB1206" s="374"/>
      <c r="AC1206" s="376">
        <v>0</v>
      </c>
      <c r="AD1206" s="376">
        <v>0</v>
      </c>
      <c r="AE1206" s="376">
        <v>0</v>
      </c>
      <c r="AF1206" s="374"/>
      <c r="AG1206" s="376">
        <v>0</v>
      </c>
      <c r="AH1206" s="376">
        <v>0</v>
      </c>
      <c r="AI1206" s="376">
        <v>0</v>
      </c>
      <c r="AJ1206" s="376">
        <v>0</v>
      </c>
      <c r="AK1206" s="374"/>
      <c r="AL1206" s="376">
        <v>0</v>
      </c>
      <c r="AM1206" s="376">
        <v>0</v>
      </c>
      <c r="AN1206" s="376">
        <v>0</v>
      </c>
      <c r="AO1206" s="374"/>
      <c r="AP1206" s="376">
        <v>0</v>
      </c>
      <c r="AQ1206" s="376">
        <v>0</v>
      </c>
      <c r="AR1206" s="374"/>
      <c r="AS1206" s="376">
        <v>0</v>
      </c>
      <c r="AT1206" s="376">
        <v>0</v>
      </c>
      <c r="AU1206" s="355" t="s">
        <v>396</v>
      </c>
      <c r="AV1206" s="353" t="s">
        <v>345</v>
      </c>
      <c r="AW1206" s="353">
        <v>0</v>
      </c>
      <c r="AX1206" s="353">
        <v>0</v>
      </c>
      <c r="AY1206" s="353">
        <v>0</v>
      </c>
      <c r="AZ1206" s="353">
        <v>0</v>
      </c>
      <c r="BA1206" s="353">
        <v>0</v>
      </c>
      <c r="BB1206" s="353">
        <v>0</v>
      </c>
    </row>
    <row r="1207" spans="1:54" x14ac:dyDescent="0.25">
      <c r="A1207" s="348" t="s">
        <v>1705</v>
      </c>
      <c r="B1207" s="379">
        <v>107</v>
      </c>
      <c r="C1207" s="423">
        <v>45200</v>
      </c>
      <c r="D1207" s="427" t="s">
        <v>1700</v>
      </c>
      <c r="E1207" s="352">
        <v>6345</v>
      </c>
      <c r="F1207" s="353">
        <v>6</v>
      </c>
      <c r="G1207" s="351" t="s">
        <v>1587</v>
      </c>
      <c r="H1207" s="350" t="s">
        <v>1713</v>
      </c>
      <c r="I1207" s="350" t="s">
        <v>393</v>
      </c>
      <c r="J1207" s="560">
        <v>100000</v>
      </c>
      <c r="K1207" s="350" t="s">
        <v>394</v>
      </c>
      <c r="L1207" s="353">
        <v>2801.6</v>
      </c>
      <c r="M1207" s="560">
        <f t="shared" si="900"/>
        <v>35.693889206167903</v>
      </c>
      <c r="N1207" s="354" t="s">
        <v>395</v>
      </c>
      <c r="O1207" s="354">
        <v>0</v>
      </c>
      <c r="P1207" s="374"/>
      <c r="Q1207" s="354">
        <v>0</v>
      </c>
      <c r="R1207" s="354">
        <v>0</v>
      </c>
      <c r="S1207" s="354">
        <v>0</v>
      </c>
      <c r="T1207" s="354">
        <v>0</v>
      </c>
      <c r="U1207" s="374"/>
      <c r="V1207" s="354">
        <v>0</v>
      </c>
      <c r="W1207" s="354">
        <v>0</v>
      </c>
      <c r="X1207" s="354">
        <v>0</v>
      </c>
      <c r="Y1207" s="374"/>
      <c r="Z1207" s="354">
        <v>0</v>
      </c>
      <c r="AA1207" s="354">
        <v>0</v>
      </c>
      <c r="AB1207" s="374"/>
      <c r="AC1207" s="376">
        <v>0</v>
      </c>
      <c r="AD1207" s="376">
        <v>0</v>
      </c>
      <c r="AE1207" s="376">
        <v>0</v>
      </c>
      <c r="AF1207" s="374"/>
      <c r="AG1207" s="376">
        <v>0</v>
      </c>
      <c r="AH1207" s="376">
        <v>0</v>
      </c>
      <c r="AI1207" s="376">
        <v>0</v>
      </c>
      <c r="AJ1207" s="376">
        <v>0</v>
      </c>
      <c r="AK1207" s="374"/>
      <c r="AL1207" s="376">
        <v>0</v>
      </c>
      <c r="AM1207" s="376">
        <v>0</v>
      </c>
      <c r="AN1207" s="376">
        <v>0</v>
      </c>
      <c r="AO1207" s="374"/>
      <c r="AP1207" s="376">
        <v>0</v>
      </c>
      <c r="AQ1207" s="376">
        <v>0</v>
      </c>
      <c r="AR1207" s="374"/>
      <c r="AS1207" s="376">
        <v>0</v>
      </c>
      <c r="AT1207" s="376">
        <v>0</v>
      </c>
      <c r="AU1207" s="355" t="s">
        <v>396</v>
      </c>
      <c r="AV1207" s="353" t="s">
        <v>345</v>
      </c>
      <c r="AW1207" s="353">
        <v>0</v>
      </c>
      <c r="AX1207" s="353">
        <v>0</v>
      </c>
      <c r="AY1207" s="353">
        <v>0</v>
      </c>
      <c r="AZ1207" s="353">
        <v>0</v>
      </c>
      <c r="BA1207" s="353">
        <v>0</v>
      </c>
      <c r="BB1207" s="353">
        <v>0</v>
      </c>
    </row>
    <row r="1208" spans="1:54" x14ac:dyDescent="0.25">
      <c r="A1208" s="348" t="s">
        <v>1714</v>
      </c>
      <c r="B1208" s="379">
        <v>87</v>
      </c>
      <c r="C1208" s="423">
        <v>45200</v>
      </c>
      <c r="D1208" s="351">
        <v>45056</v>
      </c>
      <c r="E1208" s="352">
        <v>6345</v>
      </c>
      <c r="F1208" s="353">
        <v>6</v>
      </c>
      <c r="G1208" s="351" t="s">
        <v>1270</v>
      </c>
      <c r="H1208" s="350" t="s">
        <v>1715</v>
      </c>
      <c r="I1208" s="350" t="s">
        <v>393</v>
      </c>
      <c r="J1208" s="375">
        <v>1500000</v>
      </c>
      <c r="K1208" s="350" t="s">
        <v>394</v>
      </c>
      <c r="L1208" s="353">
        <v>2801.6</v>
      </c>
      <c r="M1208" s="433">
        <f>J1208/L1208</f>
        <v>535.40833809251853</v>
      </c>
      <c r="N1208" s="354" t="s">
        <v>395</v>
      </c>
      <c r="O1208" s="354">
        <v>0</v>
      </c>
      <c r="P1208" s="374"/>
      <c r="Q1208" s="354">
        <v>0</v>
      </c>
      <c r="R1208" s="354">
        <v>0</v>
      </c>
      <c r="S1208" s="354">
        <v>0</v>
      </c>
      <c r="T1208" s="354">
        <v>0</v>
      </c>
      <c r="U1208" s="374"/>
      <c r="V1208" s="354">
        <v>0</v>
      </c>
      <c r="W1208" s="354">
        <v>0</v>
      </c>
      <c r="X1208" s="354">
        <v>0</v>
      </c>
      <c r="Y1208" s="374"/>
      <c r="Z1208" s="354">
        <v>0</v>
      </c>
      <c r="AA1208" s="354">
        <v>0</v>
      </c>
      <c r="AB1208" s="374"/>
      <c r="AC1208" s="376">
        <v>0</v>
      </c>
      <c r="AD1208" s="376">
        <v>0</v>
      </c>
      <c r="AE1208" s="376">
        <v>0</v>
      </c>
      <c r="AF1208" s="374"/>
      <c r="AG1208" s="376">
        <v>0</v>
      </c>
      <c r="AH1208" s="376">
        <v>0</v>
      </c>
      <c r="AI1208" s="376">
        <v>0</v>
      </c>
      <c r="AJ1208" s="376">
        <v>0</v>
      </c>
      <c r="AK1208" s="374"/>
      <c r="AL1208" s="376">
        <v>0</v>
      </c>
      <c r="AM1208" s="376">
        <v>0</v>
      </c>
      <c r="AN1208" s="376">
        <v>0</v>
      </c>
      <c r="AO1208" s="374"/>
      <c r="AP1208" s="376">
        <v>0</v>
      </c>
      <c r="AQ1208" s="376">
        <v>0</v>
      </c>
      <c r="AR1208" s="374"/>
      <c r="AS1208" s="376">
        <v>0</v>
      </c>
      <c r="AT1208" s="376">
        <v>0</v>
      </c>
      <c r="AU1208" s="355" t="s">
        <v>396</v>
      </c>
      <c r="AV1208" s="353" t="s">
        <v>345</v>
      </c>
      <c r="AW1208" s="353">
        <v>0</v>
      </c>
      <c r="AX1208" s="353">
        <v>0</v>
      </c>
      <c r="AY1208" s="353">
        <v>0</v>
      </c>
      <c r="AZ1208" s="353">
        <v>0</v>
      </c>
      <c r="BA1208" s="353">
        <v>0</v>
      </c>
      <c r="BB1208" s="353">
        <v>0</v>
      </c>
    </row>
    <row r="1209" spans="1:54" x14ac:dyDescent="0.25">
      <c r="A1209" s="348" t="s">
        <v>1716</v>
      </c>
      <c r="B1209" s="379">
        <v>108</v>
      </c>
      <c r="C1209" s="423">
        <v>45200</v>
      </c>
      <c r="D1209" s="427" t="s">
        <v>1717</v>
      </c>
      <c r="E1209" s="352">
        <v>6171</v>
      </c>
      <c r="F1209" s="353">
        <v>6</v>
      </c>
      <c r="G1209" s="353" t="s">
        <v>1423</v>
      </c>
      <c r="H1209" s="627" t="s">
        <v>1692</v>
      </c>
      <c r="I1209" s="350" t="s">
        <v>393</v>
      </c>
      <c r="J1209" s="560">
        <v>295750</v>
      </c>
      <c r="K1209" s="350" t="s">
        <v>394</v>
      </c>
      <c r="L1209" s="353">
        <v>2801.6</v>
      </c>
      <c r="M1209" s="433">
        <f t="shared" ref="M1209:M1214" si="901">J1209/L1209</f>
        <v>105.56467732724158</v>
      </c>
      <c r="N1209" s="354" t="s">
        <v>395</v>
      </c>
      <c r="O1209" s="354">
        <v>0</v>
      </c>
      <c r="P1209" s="374"/>
      <c r="Q1209" s="354">
        <v>0</v>
      </c>
      <c r="R1209" s="354">
        <v>0</v>
      </c>
      <c r="S1209" s="354">
        <v>0</v>
      </c>
      <c r="T1209" s="354">
        <v>0</v>
      </c>
      <c r="U1209" s="374"/>
      <c r="V1209" s="354">
        <v>0</v>
      </c>
      <c r="W1209" s="354">
        <v>0</v>
      </c>
      <c r="X1209" s="354">
        <v>0</v>
      </c>
      <c r="Y1209" s="374"/>
      <c r="Z1209" s="354">
        <v>0</v>
      </c>
      <c r="AA1209" s="354">
        <v>0</v>
      </c>
      <c r="AB1209" s="374"/>
      <c r="AC1209" s="376">
        <v>0</v>
      </c>
      <c r="AD1209" s="376">
        <v>0</v>
      </c>
      <c r="AE1209" s="376">
        <v>0</v>
      </c>
      <c r="AF1209" s="374"/>
      <c r="AG1209" s="376">
        <v>0</v>
      </c>
      <c r="AH1209" s="376">
        <v>0</v>
      </c>
      <c r="AI1209" s="376">
        <v>0</v>
      </c>
      <c r="AJ1209" s="376">
        <v>0</v>
      </c>
      <c r="AK1209" s="374"/>
      <c r="AL1209" s="376">
        <v>0</v>
      </c>
      <c r="AM1209" s="376">
        <v>0</v>
      </c>
      <c r="AN1209" s="376">
        <v>0</v>
      </c>
      <c r="AO1209" s="374"/>
      <c r="AP1209" s="376">
        <v>0</v>
      </c>
      <c r="AQ1209" s="376">
        <v>0</v>
      </c>
      <c r="AR1209" s="374"/>
      <c r="AS1209" s="376">
        <v>0</v>
      </c>
      <c r="AT1209" s="376">
        <v>0</v>
      </c>
      <c r="AU1209" s="355" t="s">
        <v>396</v>
      </c>
      <c r="AV1209" s="353" t="s">
        <v>345</v>
      </c>
      <c r="AW1209" s="353">
        <v>0</v>
      </c>
      <c r="AX1209" s="353">
        <v>0</v>
      </c>
      <c r="AY1209" s="353">
        <v>0</v>
      </c>
      <c r="AZ1209" s="353">
        <v>0</v>
      </c>
      <c r="BA1209" s="353">
        <v>0</v>
      </c>
      <c r="BB1209" s="353">
        <v>0</v>
      </c>
    </row>
    <row r="1210" spans="1:54" x14ac:dyDescent="0.25">
      <c r="A1210" s="348" t="s">
        <v>1718</v>
      </c>
      <c r="B1210" s="379">
        <v>109</v>
      </c>
      <c r="C1210" s="423">
        <v>45200</v>
      </c>
      <c r="D1210" s="427" t="s">
        <v>1717</v>
      </c>
      <c r="E1210" s="352">
        <v>6345</v>
      </c>
      <c r="F1210" s="353">
        <v>6</v>
      </c>
      <c r="G1210" s="353" t="s">
        <v>1423</v>
      </c>
      <c r="H1210" s="350" t="s">
        <v>1689</v>
      </c>
      <c r="I1210" s="350" t="s">
        <v>393</v>
      </c>
      <c r="J1210" s="560">
        <v>600000</v>
      </c>
      <c r="K1210" s="350" t="s">
        <v>394</v>
      </c>
      <c r="L1210" s="353">
        <v>2801.6</v>
      </c>
      <c r="M1210" s="433">
        <f t="shared" si="901"/>
        <v>214.16333523700743</v>
      </c>
      <c r="N1210" s="354" t="s">
        <v>395</v>
      </c>
      <c r="O1210" s="354">
        <v>0</v>
      </c>
      <c r="P1210" s="374"/>
      <c r="Q1210" s="354">
        <v>0</v>
      </c>
      <c r="R1210" s="354">
        <v>0</v>
      </c>
      <c r="S1210" s="354">
        <v>0</v>
      </c>
      <c r="T1210" s="354">
        <v>0</v>
      </c>
      <c r="U1210" s="374"/>
      <c r="V1210" s="354">
        <v>0</v>
      </c>
      <c r="W1210" s="354">
        <v>0</v>
      </c>
      <c r="X1210" s="354">
        <v>0</v>
      </c>
      <c r="Y1210" s="374"/>
      <c r="Z1210" s="354">
        <v>0</v>
      </c>
      <c r="AA1210" s="354">
        <v>0</v>
      </c>
      <c r="AB1210" s="374"/>
      <c r="AC1210" s="376">
        <v>0</v>
      </c>
      <c r="AD1210" s="376">
        <v>0</v>
      </c>
      <c r="AE1210" s="376">
        <v>0</v>
      </c>
      <c r="AF1210" s="374"/>
      <c r="AG1210" s="376">
        <v>0</v>
      </c>
      <c r="AH1210" s="376">
        <v>0</v>
      </c>
      <c r="AI1210" s="376">
        <v>0</v>
      </c>
      <c r="AJ1210" s="376">
        <v>0</v>
      </c>
      <c r="AK1210" s="374"/>
      <c r="AL1210" s="376">
        <v>0</v>
      </c>
      <c r="AM1210" s="376">
        <v>0</v>
      </c>
      <c r="AN1210" s="376">
        <v>0</v>
      </c>
      <c r="AO1210" s="374"/>
      <c r="AP1210" s="376">
        <v>0</v>
      </c>
      <c r="AQ1210" s="376">
        <v>0</v>
      </c>
      <c r="AR1210" s="374"/>
      <c r="AS1210" s="376">
        <v>0</v>
      </c>
      <c r="AT1210" s="376">
        <v>0</v>
      </c>
      <c r="AU1210" s="355" t="s">
        <v>396</v>
      </c>
      <c r="AV1210" s="353" t="s">
        <v>345</v>
      </c>
      <c r="AW1210" s="353">
        <v>0</v>
      </c>
      <c r="AX1210" s="353">
        <v>0</v>
      </c>
      <c r="AY1210" s="353">
        <v>0</v>
      </c>
      <c r="AZ1210" s="353">
        <v>0</v>
      </c>
      <c r="BA1210" s="353">
        <v>0</v>
      </c>
      <c r="BB1210" s="353">
        <v>0</v>
      </c>
    </row>
    <row r="1211" spans="1:54" x14ac:dyDescent="0.25">
      <c r="A1211" s="348" t="s">
        <v>1719</v>
      </c>
      <c r="B1211" s="379">
        <v>110</v>
      </c>
      <c r="C1211" s="423">
        <v>45200</v>
      </c>
      <c r="D1211" s="427" t="s">
        <v>1720</v>
      </c>
      <c r="E1211" s="352">
        <v>6345</v>
      </c>
      <c r="F1211" s="353">
        <v>6</v>
      </c>
      <c r="G1211" s="353" t="s">
        <v>1423</v>
      </c>
      <c r="H1211" s="350" t="s">
        <v>1689</v>
      </c>
      <c r="I1211" s="350" t="s">
        <v>393</v>
      </c>
      <c r="J1211" s="560">
        <v>150000</v>
      </c>
      <c r="K1211" s="350" t="s">
        <v>394</v>
      </c>
      <c r="L1211" s="353">
        <v>2801.6</v>
      </c>
      <c r="M1211" s="433">
        <f t="shared" si="901"/>
        <v>53.540833809251858</v>
      </c>
      <c r="N1211" s="354" t="s">
        <v>395</v>
      </c>
      <c r="O1211" s="354">
        <v>0</v>
      </c>
      <c r="P1211" s="374"/>
      <c r="Q1211" s="354">
        <v>0</v>
      </c>
      <c r="R1211" s="354">
        <v>0</v>
      </c>
      <c r="S1211" s="354">
        <v>0</v>
      </c>
      <c r="T1211" s="354">
        <v>0</v>
      </c>
      <c r="U1211" s="374"/>
      <c r="V1211" s="354">
        <v>0</v>
      </c>
      <c r="W1211" s="354">
        <v>0</v>
      </c>
      <c r="X1211" s="354">
        <v>0</v>
      </c>
      <c r="Y1211" s="374"/>
      <c r="Z1211" s="354">
        <v>0</v>
      </c>
      <c r="AA1211" s="354">
        <v>0</v>
      </c>
      <c r="AB1211" s="374"/>
      <c r="AC1211" s="376">
        <v>0</v>
      </c>
      <c r="AD1211" s="376">
        <v>0</v>
      </c>
      <c r="AE1211" s="376">
        <v>0</v>
      </c>
      <c r="AF1211" s="374"/>
      <c r="AG1211" s="376">
        <v>0</v>
      </c>
      <c r="AH1211" s="376">
        <v>0</v>
      </c>
      <c r="AI1211" s="376">
        <v>0</v>
      </c>
      <c r="AJ1211" s="376">
        <v>0</v>
      </c>
      <c r="AK1211" s="374"/>
      <c r="AL1211" s="376">
        <v>0</v>
      </c>
      <c r="AM1211" s="376">
        <v>0</v>
      </c>
      <c r="AN1211" s="376">
        <v>0</v>
      </c>
      <c r="AO1211" s="374"/>
      <c r="AP1211" s="376">
        <v>0</v>
      </c>
      <c r="AQ1211" s="376">
        <v>0</v>
      </c>
      <c r="AR1211" s="374"/>
      <c r="AS1211" s="376">
        <v>0</v>
      </c>
      <c r="AT1211" s="376">
        <v>0</v>
      </c>
      <c r="AU1211" s="355" t="s">
        <v>396</v>
      </c>
      <c r="AV1211" s="353" t="s">
        <v>345</v>
      </c>
      <c r="AW1211" s="353">
        <v>0</v>
      </c>
      <c r="AX1211" s="353">
        <v>0</v>
      </c>
      <c r="AY1211" s="353">
        <v>0</v>
      </c>
      <c r="AZ1211" s="353">
        <v>0</v>
      </c>
      <c r="BA1211" s="353">
        <v>0</v>
      </c>
      <c r="BB1211" s="353">
        <v>0</v>
      </c>
    </row>
    <row r="1212" spans="1:54" x14ac:dyDescent="0.25">
      <c r="A1212" s="348" t="s">
        <v>1716</v>
      </c>
      <c r="B1212" s="379">
        <v>108</v>
      </c>
      <c r="C1212" s="423">
        <v>45200</v>
      </c>
      <c r="D1212" s="427" t="s">
        <v>1717</v>
      </c>
      <c r="E1212" s="352">
        <v>6171</v>
      </c>
      <c r="F1212" s="353">
        <v>6</v>
      </c>
      <c r="G1212" s="353" t="s">
        <v>1423</v>
      </c>
      <c r="H1212" s="627" t="s">
        <v>1692</v>
      </c>
      <c r="I1212" s="350" t="s">
        <v>393</v>
      </c>
      <c r="J1212" s="560">
        <v>295750</v>
      </c>
      <c r="K1212" s="350" t="s">
        <v>394</v>
      </c>
      <c r="L1212" s="353">
        <v>2801.6</v>
      </c>
      <c r="M1212" s="433">
        <f t="shared" si="901"/>
        <v>105.56467732724158</v>
      </c>
      <c r="N1212" s="354" t="s">
        <v>395</v>
      </c>
      <c r="O1212" s="354">
        <v>0</v>
      </c>
      <c r="P1212" s="374"/>
      <c r="Q1212" s="354">
        <v>0</v>
      </c>
      <c r="R1212" s="354">
        <v>0</v>
      </c>
      <c r="S1212" s="354">
        <v>0</v>
      </c>
      <c r="T1212" s="354">
        <v>0</v>
      </c>
      <c r="U1212" s="374"/>
      <c r="V1212" s="354">
        <v>0</v>
      </c>
      <c r="W1212" s="354">
        <v>0</v>
      </c>
      <c r="X1212" s="354">
        <v>0</v>
      </c>
      <c r="Y1212" s="374"/>
      <c r="Z1212" s="354">
        <v>0</v>
      </c>
      <c r="AA1212" s="354">
        <v>0</v>
      </c>
      <c r="AB1212" s="374"/>
      <c r="AC1212" s="376">
        <v>0</v>
      </c>
      <c r="AD1212" s="376">
        <v>0</v>
      </c>
      <c r="AE1212" s="376">
        <v>0</v>
      </c>
      <c r="AF1212" s="374"/>
      <c r="AG1212" s="376">
        <v>0</v>
      </c>
      <c r="AH1212" s="376">
        <v>0</v>
      </c>
      <c r="AI1212" s="376">
        <v>0</v>
      </c>
      <c r="AJ1212" s="376">
        <v>0</v>
      </c>
      <c r="AK1212" s="374"/>
      <c r="AL1212" s="376">
        <v>0</v>
      </c>
      <c r="AM1212" s="376">
        <v>0</v>
      </c>
      <c r="AN1212" s="376">
        <v>0</v>
      </c>
      <c r="AO1212" s="374"/>
      <c r="AP1212" s="376">
        <v>0</v>
      </c>
      <c r="AQ1212" s="376">
        <v>0</v>
      </c>
      <c r="AR1212" s="374"/>
      <c r="AS1212" s="376">
        <v>0</v>
      </c>
      <c r="AT1212" s="376">
        <v>0</v>
      </c>
      <c r="AU1212" s="355" t="s">
        <v>396</v>
      </c>
      <c r="AV1212" s="353" t="s">
        <v>345</v>
      </c>
      <c r="AW1212" s="353">
        <v>0</v>
      </c>
      <c r="AX1212" s="353">
        <v>0</v>
      </c>
      <c r="AY1212" s="353">
        <v>0</v>
      </c>
      <c r="AZ1212" s="353">
        <v>0</v>
      </c>
      <c r="BA1212" s="353">
        <v>0</v>
      </c>
      <c r="BB1212" s="353">
        <v>0</v>
      </c>
    </row>
    <row r="1213" spans="1:54" x14ac:dyDescent="0.25">
      <c r="A1213" s="348" t="s">
        <v>1718</v>
      </c>
      <c r="B1213" s="379">
        <v>109</v>
      </c>
      <c r="C1213" s="423">
        <v>45200</v>
      </c>
      <c r="D1213" s="427" t="s">
        <v>1717</v>
      </c>
      <c r="E1213" s="352">
        <v>6345</v>
      </c>
      <c r="F1213" s="353">
        <v>6</v>
      </c>
      <c r="G1213" s="353" t="s">
        <v>1423</v>
      </c>
      <c r="H1213" s="350" t="s">
        <v>1689</v>
      </c>
      <c r="I1213" s="350" t="s">
        <v>393</v>
      </c>
      <c r="J1213" s="560">
        <v>600000</v>
      </c>
      <c r="K1213" s="350" t="s">
        <v>394</v>
      </c>
      <c r="L1213" s="353">
        <v>2801.6</v>
      </c>
      <c r="M1213" s="433">
        <f t="shared" si="901"/>
        <v>214.16333523700743</v>
      </c>
      <c r="N1213" s="354" t="s">
        <v>395</v>
      </c>
      <c r="O1213" s="354">
        <v>0</v>
      </c>
      <c r="P1213" s="374"/>
      <c r="Q1213" s="354">
        <v>0</v>
      </c>
      <c r="R1213" s="354">
        <v>0</v>
      </c>
      <c r="S1213" s="354">
        <v>0</v>
      </c>
      <c r="T1213" s="354">
        <v>0</v>
      </c>
      <c r="U1213" s="374"/>
      <c r="V1213" s="354">
        <v>0</v>
      </c>
      <c r="W1213" s="354">
        <v>0</v>
      </c>
      <c r="X1213" s="354">
        <v>0</v>
      </c>
      <c r="Y1213" s="374"/>
      <c r="Z1213" s="354">
        <v>0</v>
      </c>
      <c r="AA1213" s="354">
        <v>0</v>
      </c>
      <c r="AB1213" s="374"/>
      <c r="AC1213" s="376">
        <v>0</v>
      </c>
      <c r="AD1213" s="376">
        <v>0</v>
      </c>
      <c r="AE1213" s="376">
        <v>0</v>
      </c>
      <c r="AF1213" s="374"/>
      <c r="AG1213" s="376">
        <v>0</v>
      </c>
      <c r="AH1213" s="376">
        <v>0</v>
      </c>
      <c r="AI1213" s="376">
        <v>0</v>
      </c>
      <c r="AJ1213" s="376">
        <v>0</v>
      </c>
      <c r="AK1213" s="374"/>
      <c r="AL1213" s="376">
        <v>0</v>
      </c>
      <c r="AM1213" s="376">
        <v>0</v>
      </c>
      <c r="AN1213" s="376">
        <v>0</v>
      </c>
      <c r="AO1213" s="374"/>
      <c r="AP1213" s="376">
        <v>0</v>
      </c>
      <c r="AQ1213" s="376">
        <v>0</v>
      </c>
      <c r="AR1213" s="374"/>
      <c r="AS1213" s="376">
        <v>0</v>
      </c>
      <c r="AT1213" s="376">
        <v>0</v>
      </c>
      <c r="AU1213" s="355" t="s">
        <v>396</v>
      </c>
      <c r="AV1213" s="353" t="s">
        <v>345</v>
      </c>
      <c r="AW1213" s="353">
        <v>0</v>
      </c>
      <c r="AX1213" s="353">
        <v>0</v>
      </c>
      <c r="AY1213" s="353">
        <v>0</v>
      </c>
      <c r="AZ1213" s="353">
        <v>0</v>
      </c>
      <c r="BA1213" s="353">
        <v>0</v>
      </c>
      <c r="BB1213" s="353">
        <v>0</v>
      </c>
    </row>
    <row r="1214" spans="1:54" x14ac:dyDescent="0.25">
      <c r="A1214" s="348" t="s">
        <v>1719</v>
      </c>
      <c r="B1214" s="379">
        <v>110</v>
      </c>
      <c r="C1214" s="423">
        <v>45200</v>
      </c>
      <c r="D1214" s="427" t="s">
        <v>1720</v>
      </c>
      <c r="E1214" s="352">
        <v>6345</v>
      </c>
      <c r="F1214" s="353">
        <v>6</v>
      </c>
      <c r="G1214" s="353" t="s">
        <v>1423</v>
      </c>
      <c r="H1214" s="350" t="s">
        <v>1689</v>
      </c>
      <c r="I1214" s="350" t="s">
        <v>393</v>
      </c>
      <c r="J1214" s="560">
        <v>150000</v>
      </c>
      <c r="K1214" s="350" t="s">
        <v>394</v>
      </c>
      <c r="L1214" s="353">
        <v>2801.6</v>
      </c>
      <c r="M1214" s="433">
        <f t="shared" si="901"/>
        <v>53.540833809251858</v>
      </c>
      <c r="N1214" s="354" t="s">
        <v>395</v>
      </c>
      <c r="O1214" s="354">
        <v>0</v>
      </c>
      <c r="P1214" s="374"/>
      <c r="Q1214" s="354">
        <v>0</v>
      </c>
      <c r="R1214" s="354">
        <v>0</v>
      </c>
      <c r="S1214" s="354">
        <v>0</v>
      </c>
      <c r="T1214" s="354">
        <v>0</v>
      </c>
      <c r="U1214" s="374"/>
      <c r="V1214" s="354">
        <v>0</v>
      </c>
      <c r="W1214" s="354">
        <v>0</v>
      </c>
      <c r="X1214" s="354">
        <v>0</v>
      </c>
      <c r="Y1214" s="374"/>
      <c r="Z1214" s="354">
        <v>0</v>
      </c>
      <c r="AA1214" s="354">
        <v>0</v>
      </c>
      <c r="AB1214" s="374"/>
      <c r="AC1214" s="376">
        <v>0</v>
      </c>
      <c r="AD1214" s="376">
        <v>0</v>
      </c>
      <c r="AE1214" s="376">
        <v>0</v>
      </c>
      <c r="AF1214" s="374"/>
      <c r="AG1214" s="376">
        <v>0</v>
      </c>
      <c r="AH1214" s="376">
        <v>0</v>
      </c>
      <c r="AI1214" s="376">
        <v>0</v>
      </c>
      <c r="AJ1214" s="376">
        <v>0</v>
      </c>
      <c r="AK1214" s="374"/>
      <c r="AL1214" s="376">
        <v>0</v>
      </c>
      <c r="AM1214" s="376">
        <v>0</v>
      </c>
      <c r="AN1214" s="376">
        <v>0</v>
      </c>
      <c r="AO1214" s="374"/>
      <c r="AP1214" s="376">
        <v>0</v>
      </c>
      <c r="AQ1214" s="376">
        <v>0</v>
      </c>
      <c r="AR1214" s="374"/>
      <c r="AS1214" s="376">
        <v>0</v>
      </c>
      <c r="AT1214" s="376">
        <v>0</v>
      </c>
      <c r="AU1214" s="355" t="s">
        <v>396</v>
      </c>
      <c r="AV1214" s="353" t="s">
        <v>345</v>
      </c>
      <c r="AW1214" s="353">
        <v>0</v>
      </c>
      <c r="AX1214" s="353">
        <v>0</v>
      </c>
      <c r="AY1214" s="353">
        <v>0</v>
      </c>
      <c r="AZ1214" s="353">
        <v>0</v>
      </c>
      <c r="BA1214" s="353">
        <v>0</v>
      </c>
      <c r="BB1214" s="353">
        <v>0</v>
      </c>
    </row>
    <row r="1215" spans="1:54" x14ac:dyDescent="0.25">
      <c r="A1215" s="348" t="s">
        <v>1751</v>
      </c>
      <c r="B1215" s="349">
        <v>5646</v>
      </c>
      <c r="C1215" s="352" t="s">
        <v>1733</v>
      </c>
      <c r="D1215" s="351">
        <v>45210</v>
      </c>
      <c r="E1215" s="352">
        <v>3570</v>
      </c>
      <c r="F1215" s="353">
        <v>7</v>
      </c>
      <c r="G1215" s="353" t="s">
        <v>1423</v>
      </c>
      <c r="H1215" s="350" t="s">
        <v>1755</v>
      </c>
      <c r="I1215" s="350" t="s">
        <v>393</v>
      </c>
      <c r="J1215" s="354">
        <v>4800000</v>
      </c>
      <c r="K1215" s="350" t="s">
        <v>394</v>
      </c>
      <c r="L1215" s="354">
        <v>0</v>
      </c>
      <c r="M1215" s="354">
        <v>1699.11</v>
      </c>
      <c r="N1215" s="350" t="s">
        <v>395</v>
      </c>
      <c r="O1215" s="354">
        <v>0</v>
      </c>
      <c r="P1215" s="374"/>
      <c r="Q1215" s="354">
        <v>0</v>
      </c>
      <c r="R1215" s="354">
        <v>0</v>
      </c>
      <c r="S1215" s="354">
        <v>0</v>
      </c>
      <c r="T1215" s="354">
        <v>0</v>
      </c>
      <c r="U1215" s="374"/>
      <c r="V1215" s="354">
        <v>0</v>
      </c>
      <c r="W1215" s="354">
        <v>0</v>
      </c>
      <c r="X1215" s="354">
        <v>0</v>
      </c>
      <c r="Y1215" s="374"/>
      <c r="Z1215" s="354">
        <v>0</v>
      </c>
      <c r="AA1215" s="354">
        <v>0</v>
      </c>
      <c r="AB1215" s="374"/>
      <c r="AC1215" s="376">
        <v>0</v>
      </c>
      <c r="AD1215" s="376">
        <v>0</v>
      </c>
      <c r="AE1215" s="376">
        <v>0</v>
      </c>
      <c r="AF1215" s="374"/>
      <c r="AG1215" s="376">
        <v>0</v>
      </c>
      <c r="AH1215" s="376">
        <v>0</v>
      </c>
      <c r="AI1215" s="376">
        <v>0</v>
      </c>
      <c r="AJ1215" s="376">
        <v>0</v>
      </c>
      <c r="AK1215" s="374"/>
      <c r="AL1215" s="376">
        <v>0</v>
      </c>
      <c r="AM1215" s="376">
        <v>0</v>
      </c>
      <c r="AN1215" s="376">
        <v>0</v>
      </c>
      <c r="AO1215" s="374"/>
      <c r="AP1215" s="376">
        <v>0</v>
      </c>
      <c r="AQ1215" s="376">
        <v>0</v>
      </c>
      <c r="AR1215" s="374"/>
      <c r="AS1215" s="376">
        <v>0</v>
      </c>
      <c r="AT1215" s="376">
        <v>0</v>
      </c>
      <c r="AU1215" s="355" t="s">
        <v>396</v>
      </c>
      <c r="AV1215" s="353" t="s">
        <v>404</v>
      </c>
      <c r="AW1215" s="352" t="s">
        <v>405</v>
      </c>
      <c r="AX1215" s="352">
        <v>0</v>
      </c>
      <c r="AY1215" s="350" t="s">
        <v>406</v>
      </c>
      <c r="AZ1215" s="351">
        <v>45235</v>
      </c>
      <c r="BA1215" s="351">
        <v>45236</v>
      </c>
      <c r="BB1215" s="350" t="s">
        <v>407</v>
      </c>
    </row>
    <row r="1216" spans="1:54" x14ac:dyDescent="0.25">
      <c r="A1216" s="348" t="s">
        <v>1752</v>
      </c>
      <c r="B1216" s="349">
        <v>5650</v>
      </c>
      <c r="C1216" s="352" t="s">
        <v>1733</v>
      </c>
      <c r="D1216" s="351">
        <v>45217</v>
      </c>
      <c r="E1216" s="352">
        <v>3570</v>
      </c>
      <c r="F1216" s="353">
        <v>7</v>
      </c>
      <c r="G1216" s="353" t="s">
        <v>1423</v>
      </c>
      <c r="H1216" s="350" t="s">
        <v>1756</v>
      </c>
      <c r="I1216" s="350" t="s">
        <v>393</v>
      </c>
      <c r="J1216" s="354">
        <v>846000</v>
      </c>
      <c r="K1216" s="350" t="s">
        <v>394</v>
      </c>
      <c r="L1216" s="354">
        <v>0</v>
      </c>
      <c r="M1216" s="354">
        <v>299.47000000000003</v>
      </c>
      <c r="N1216" s="350" t="s">
        <v>395</v>
      </c>
      <c r="O1216" s="354">
        <v>0</v>
      </c>
      <c r="P1216" s="374"/>
      <c r="Q1216" s="354">
        <v>0</v>
      </c>
      <c r="R1216" s="354">
        <v>0</v>
      </c>
      <c r="S1216" s="354">
        <v>0</v>
      </c>
      <c r="T1216" s="354">
        <v>0</v>
      </c>
      <c r="U1216" s="374"/>
      <c r="V1216" s="354">
        <v>0</v>
      </c>
      <c r="W1216" s="354">
        <v>0</v>
      </c>
      <c r="X1216" s="354">
        <v>0</v>
      </c>
      <c r="Y1216" s="374"/>
      <c r="Z1216" s="354">
        <v>0</v>
      </c>
      <c r="AA1216" s="354">
        <v>0</v>
      </c>
      <c r="AB1216" s="374"/>
      <c r="AC1216" s="376">
        <v>0</v>
      </c>
      <c r="AD1216" s="376">
        <v>0</v>
      </c>
      <c r="AE1216" s="376">
        <v>0</v>
      </c>
      <c r="AF1216" s="374"/>
      <c r="AG1216" s="376">
        <v>0</v>
      </c>
      <c r="AH1216" s="376">
        <v>0</v>
      </c>
      <c r="AI1216" s="376">
        <v>0</v>
      </c>
      <c r="AJ1216" s="376">
        <v>0</v>
      </c>
      <c r="AK1216" s="374"/>
      <c r="AL1216" s="376">
        <v>0</v>
      </c>
      <c r="AM1216" s="376">
        <v>0</v>
      </c>
      <c r="AN1216" s="376">
        <v>0</v>
      </c>
      <c r="AO1216" s="374"/>
      <c r="AP1216" s="376">
        <v>0</v>
      </c>
      <c r="AQ1216" s="376">
        <v>0</v>
      </c>
      <c r="AR1216" s="374"/>
      <c r="AS1216" s="376">
        <v>0</v>
      </c>
      <c r="AT1216" s="376">
        <v>0</v>
      </c>
      <c r="AU1216" s="355" t="s">
        <v>396</v>
      </c>
      <c r="AV1216" s="353" t="s">
        <v>404</v>
      </c>
      <c r="AW1216" s="352" t="s">
        <v>405</v>
      </c>
      <c r="AX1216" s="352">
        <v>0</v>
      </c>
      <c r="AY1216" s="350" t="s">
        <v>406</v>
      </c>
      <c r="AZ1216" s="351">
        <v>45235</v>
      </c>
      <c r="BA1216" s="351">
        <v>45236</v>
      </c>
      <c r="BB1216" s="350" t="s">
        <v>407</v>
      </c>
    </row>
    <row r="1217" spans="1:54" x14ac:dyDescent="0.25">
      <c r="A1217" s="348" t="s">
        <v>1753</v>
      </c>
      <c r="B1217" s="349">
        <v>5670</v>
      </c>
      <c r="C1217" s="352" t="s">
        <v>1733</v>
      </c>
      <c r="D1217" s="351">
        <v>45229</v>
      </c>
      <c r="E1217" s="352">
        <v>3570</v>
      </c>
      <c r="F1217" s="353">
        <v>7</v>
      </c>
      <c r="G1217" s="353" t="s">
        <v>1423</v>
      </c>
      <c r="H1217" s="350" t="s">
        <v>1757</v>
      </c>
      <c r="I1217" s="350" t="s">
        <v>393</v>
      </c>
      <c r="J1217" s="354">
        <v>2956260</v>
      </c>
      <c r="K1217" s="350" t="s">
        <v>394</v>
      </c>
      <c r="L1217" s="354">
        <v>0</v>
      </c>
      <c r="M1217" s="354">
        <v>1046.46</v>
      </c>
      <c r="N1217" s="350" t="s">
        <v>395</v>
      </c>
      <c r="O1217" s="354">
        <v>0</v>
      </c>
      <c r="P1217" s="374"/>
      <c r="Q1217" s="354">
        <v>0</v>
      </c>
      <c r="R1217" s="354">
        <v>0</v>
      </c>
      <c r="S1217" s="354">
        <v>0</v>
      </c>
      <c r="T1217" s="354">
        <v>0</v>
      </c>
      <c r="U1217" s="374"/>
      <c r="V1217" s="354">
        <v>0</v>
      </c>
      <c r="W1217" s="354">
        <v>0</v>
      </c>
      <c r="X1217" s="354">
        <v>0</v>
      </c>
      <c r="Y1217" s="374"/>
      <c r="Z1217" s="354">
        <v>0</v>
      </c>
      <c r="AA1217" s="354">
        <v>0</v>
      </c>
      <c r="AB1217" s="374"/>
      <c r="AC1217" s="376">
        <v>0</v>
      </c>
      <c r="AD1217" s="376">
        <v>0</v>
      </c>
      <c r="AE1217" s="376">
        <v>0</v>
      </c>
      <c r="AF1217" s="374"/>
      <c r="AG1217" s="376">
        <v>0</v>
      </c>
      <c r="AH1217" s="376">
        <v>0</v>
      </c>
      <c r="AI1217" s="376">
        <v>0</v>
      </c>
      <c r="AJ1217" s="376">
        <v>0</v>
      </c>
      <c r="AK1217" s="374"/>
      <c r="AL1217" s="376">
        <v>0</v>
      </c>
      <c r="AM1217" s="376">
        <v>0</v>
      </c>
      <c r="AN1217" s="376">
        <v>0</v>
      </c>
      <c r="AO1217" s="374"/>
      <c r="AP1217" s="376">
        <v>0</v>
      </c>
      <c r="AQ1217" s="376">
        <v>0</v>
      </c>
      <c r="AR1217" s="374"/>
      <c r="AS1217" s="376">
        <v>0</v>
      </c>
      <c r="AT1217" s="376">
        <v>0</v>
      </c>
      <c r="AU1217" s="355" t="s">
        <v>396</v>
      </c>
      <c r="AV1217" s="353" t="s">
        <v>404</v>
      </c>
      <c r="AW1217" s="352" t="s">
        <v>405</v>
      </c>
      <c r="AX1217" s="352">
        <v>0</v>
      </c>
      <c r="AY1217" s="350" t="s">
        <v>406</v>
      </c>
      <c r="AZ1217" s="351">
        <v>45236</v>
      </c>
      <c r="BA1217" s="351">
        <v>45236</v>
      </c>
      <c r="BB1217" s="350" t="s">
        <v>407</v>
      </c>
    </row>
    <row r="1218" spans="1:54" x14ac:dyDescent="0.25">
      <c r="A1218" s="348" t="s">
        <v>1754</v>
      </c>
      <c r="B1218" s="349">
        <v>5727</v>
      </c>
      <c r="C1218" s="352" t="s">
        <v>1733</v>
      </c>
      <c r="D1218" s="351">
        <v>45230</v>
      </c>
      <c r="E1218" s="352">
        <v>3570</v>
      </c>
      <c r="F1218" s="353">
        <v>7</v>
      </c>
      <c r="G1218" s="353" t="s">
        <v>1423</v>
      </c>
      <c r="H1218" s="350" t="s">
        <v>1758</v>
      </c>
      <c r="I1218" s="350" t="s">
        <v>393</v>
      </c>
      <c r="J1218" s="354">
        <v>11113089</v>
      </c>
      <c r="K1218" s="350" t="s">
        <v>394</v>
      </c>
      <c r="L1218" s="354">
        <v>0</v>
      </c>
      <c r="M1218" s="354">
        <v>3933.83</v>
      </c>
      <c r="N1218" s="350" t="s">
        <v>395</v>
      </c>
      <c r="O1218" s="354">
        <v>0</v>
      </c>
      <c r="P1218" s="374"/>
      <c r="Q1218" s="354">
        <v>0</v>
      </c>
      <c r="R1218" s="354">
        <v>0</v>
      </c>
      <c r="S1218" s="354">
        <v>0</v>
      </c>
      <c r="T1218" s="354">
        <v>0</v>
      </c>
      <c r="U1218" s="374"/>
      <c r="V1218" s="354">
        <v>0</v>
      </c>
      <c r="W1218" s="354">
        <v>0</v>
      </c>
      <c r="X1218" s="354">
        <v>0</v>
      </c>
      <c r="Y1218" s="374"/>
      <c r="Z1218" s="354">
        <v>0</v>
      </c>
      <c r="AA1218" s="354">
        <v>0</v>
      </c>
      <c r="AB1218" s="374"/>
      <c r="AC1218" s="376">
        <v>0</v>
      </c>
      <c r="AD1218" s="376">
        <v>0</v>
      </c>
      <c r="AE1218" s="376">
        <v>0</v>
      </c>
      <c r="AF1218" s="374"/>
      <c r="AG1218" s="376">
        <v>0</v>
      </c>
      <c r="AH1218" s="376">
        <v>0</v>
      </c>
      <c r="AI1218" s="376">
        <v>0</v>
      </c>
      <c r="AJ1218" s="376">
        <v>0</v>
      </c>
      <c r="AK1218" s="374"/>
      <c r="AL1218" s="376">
        <v>0</v>
      </c>
      <c r="AM1218" s="376">
        <v>0</v>
      </c>
      <c r="AN1218" s="376">
        <v>0</v>
      </c>
      <c r="AO1218" s="374"/>
      <c r="AP1218" s="376">
        <v>0</v>
      </c>
      <c r="AQ1218" s="376">
        <v>0</v>
      </c>
      <c r="AR1218" s="374"/>
      <c r="AS1218" s="376">
        <v>0</v>
      </c>
      <c r="AT1218" s="376">
        <v>0</v>
      </c>
      <c r="AU1218" s="355" t="s">
        <v>396</v>
      </c>
      <c r="AV1218" s="353" t="s">
        <v>404</v>
      </c>
      <c r="AW1218" s="352" t="s">
        <v>405</v>
      </c>
      <c r="AX1218" s="352">
        <v>0</v>
      </c>
      <c r="AY1218" s="350" t="s">
        <v>406</v>
      </c>
      <c r="AZ1218" s="351">
        <v>45236</v>
      </c>
      <c r="BA1218" s="351">
        <v>45236</v>
      </c>
      <c r="BB1218" s="350" t="s">
        <v>407</v>
      </c>
    </row>
    <row r="1219" spans="1:54" x14ac:dyDescent="0.25">
      <c r="A1219" s="348" t="s">
        <v>1754</v>
      </c>
      <c r="B1219" s="349">
        <v>5728</v>
      </c>
      <c r="C1219" s="352" t="s">
        <v>1733</v>
      </c>
      <c r="D1219" s="351">
        <v>45230</v>
      </c>
      <c r="E1219" s="352">
        <v>3570</v>
      </c>
      <c r="F1219" s="353">
        <v>7</v>
      </c>
      <c r="G1219" s="353" t="s">
        <v>1423</v>
      </c>
      <c r="H1219" s="350" t="s">
        <v>1758</v>
      </c>
      <c r="I1219" s="350" t="s">
        <v>393</v>
      </c>
      <c r="J1219" s="354">
        <v>9379418</v>
      </c>
      <c r="K1219" s="350" t="s">
        <v>394</v>
      </c>
      <c r="L1219" s="354">
        <v>0</v>
      </c>
      <c r="M1219" s="354">
        <v>3320.15</v>
      </c>
      <c r="N1219" s="350" t="s">
        <v>395</v>
      </c>
      <c r="O1219" s="354">
        <v>0</v>
      </c>
      <c r="P1219" s="374"/>
      <c r="Q1219" s="354">
        <v>0</v>
      </c>
      <c r="R1219" s="354">
        <v>0</v>
      </c>
      <c r="S1219" s="354">
        <v>0</v>
      </c>
      <c r="T1219" s="354">
        <v>0</v>
      </c>
      <c r="U1219" s="374"/>
      <c r="V1219" s="354">
        <v>0</v>
      </c>
      <c r="W1219" s="354">
        <v>0</v>
      </c>
      <c r="X1219" s="354">
        <v>0</v>
      </c>
      <c r="Y1219" s="374"/>
      <c r="Z1219" s="354">
        <v>0</v>
      </c>
      <c r="AA1219" s="354">
        <v>0</v>
      </c>
      <c r="AB1219" s="374"/>
      <c r="AC1219" s="376">
        <v>0</v>
      </c>
      <c r="AD1219" s="376">
        <v>0</v>
      </c>
      <c r="AE1219" s="376">
        <v>0</v>
      </c>
      <c r="AF1219" s="374"/>
      <c r="AG1219" s="376">
        <v>0</v>
      </c>
      <c r="AH1219" s="376">
        <v>0</v>
      </c>
      <c r="AI1219" s="376">
        <v>0</v>
      </c>
      <c r="AJ1219" s="376">
        <v>0</v>
      </c>
      <c r="AK1219" s="374"/>
      <c r="AL1219" s="376">
        <v>0</v>
      </c>
      <c r="AM1219" s="376">
        <v>0</v>
      </c>
      <c r="AN1219" s="376">
        <v>0</v>
      </c>
      <c r="AO1219" s="374"/>
      <c r="AP1219" s="376">
        <v>0</v>
      </c>
      <c r="AQ1219" s="376">
        <v>0</v>
      </c>
      <c r="AR1219" s="374"/>
      <c r="AS1219" s="376">
        <v>0</v>
      </c>
      <c r="AT1219" s="376">
        <v>0</v>
      </c>
      <c r="AU1219" s="355" t="s">
        <v>396</v>
      </c>
      <c r="AV1219" s="353" t="s">
        <v>404</v>
      </c>
      <c r="AW1219" s="352" t="s">
        <v>405</v>
      </c>
      <c r="AX1219" s="352">
        <v>0</v>
      </c>
      <c r="AY1219" s="350" t="s">
        <v>406</v>
      </c>
      <c r="AZ1219" s="351">
        <v>45236</v>
      </c>
      <c r="BA1219" s="351">
        <v>45236</v>
      </c>
      <c r="BB1219" s="350" t="s">
        <v>407</v>
      </c>
    </row>
  </sheetData>
  <autoFilter ref="A1:BB1117" xr:uid="{861031DA-7BFC-4BC1-866A-216314D3A1BB}"/>
  <phoneticPr fontId="21" type="noConversion"/>
  <pageMargins left="0.7" right="0.7" top="0.75" bottom="0.75" header="0.3" footer="0.3"/>
  <pageSetup orientation="portrait" r:id="rId1"/>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69C5-1D7E-445C-A705-22B56D0C5B8B}">
  <sheetPr codeName="Sheet6"/>
  <dimension ref="A1:F15"/>
  <sheetViews>
    <sheetView workbookViewId="0">
      <selection activeCell="F18" sqref="F18"/>
    </sheetView>
  </sheetViews>
  <sheetFormatPr baseColWidth="10" defaultColWidth="9.140625" defaultRowHeight="15" x14ac:dyDescent="0.25"/>
  <cols>
    <col min="1" max="1" width="16.85546875" style="353" customWidth="1"/>
    <col min="2" max="2" width="15" customWidth="1"/>
    <col min="3" max="3" width="20.28515625" customWidth="1"/>
    <col min="4" max="4" width="13.42578125" customWidth="1"/>
  </cols>
  <sheetData>
    <row r="1" spans="1:6" x14ac:dyDescent="0.25">
      <c r="B1" t="s">
        <v>1765</v>
      </c>
      <c r="C1" t="s">
        <v>1766</v>
      </c>
      <c r="D1" t="s">
        <v>1767</v>
      </c>
      <c r="F1" t="s">
        <v>355</v>
      </c>
    </row>
    <row r="2" spans="1:6" x14ac:dyDescent="0.25">
      <c r="A2" s="374" t="s">
        <v>206</v>
      </c>
      <c r="B2" s="608">
        <v>2387.8684156833478</v>
      </c>
      <c r="C2" s="269">
        <v>22099.05</v>
      </c>
      <c r="D2" s="592">
        <f>B2+C2</f>
        <v>24486.918415683347</v>
      </c>
      <c r="F2" s="269">
        <v>6.3008134846962091E-2</v>
      </c>
    </row>
    <row r="3" spans="1:6" x14ac:dyDescent="0.25">
      <c r="A3" s="374" t="s">
        <v>210</v>
      </c>
      <c r="B3" s="608">
        <v>9583.5520420560642</v>
      </c>
      <c r="C3" s="269">
        <v>6815.72</v>
      </c>
      <c r="D3" s="592">
        <f t="shared" ref="D3:D9" si="0">B3+C3</f>
        <v>16399.272042056065</v>
      </c>
      <c r="F3" s="269">
        <v>0.25287898420732058</v>
      </c>
    </row>
    <row r="4" spans="1:6" x14ac:dyDescent="0.25">
      <c r="A4" s="374" t="s">
        <v>214</v>
      </c>
      <c r="B4" s="608">
        <v>1404.9340735646579</v>
      </c>
      <c r="C4">
        <v>14139.41</v>
      </c>
      <c r="D4" s="592">
        <f t="shared" si="0"/>
        <v>15544.344073564658</v>
      </c>
      <c r="F4" s="269">
        <v>3.7071672365548293E-2</v>
      </c>
    </row>
    <row r="5" spans="1:6" x14ac:dyDescent="0.25">
      <c r="A5" s="374" t="s">
        <v>18</v>
      </c>
      <c r="B5" s="608">
        <v>7675.7109468086792</v>
      </c>
      <c r="C5" s="269">
        <v>1690.65</v>
      </c>
      <c r="D5" s="592">
        <f t="shared" si="0"/>
        <v>9366.3609468086797</v>
      </c>
      <c r="F5" s="269">
        <v>0.20253721989300724</v>
      </c>
    </row>
    <row r="6" spans="1:6" x14ac:dyDescent="0.25">
      <c r="A6" s="374" t="s">
        <v>94</v>
      </c>
      <c r="B6" s="608">
        <v>6143.2492551455452</v>
      </c>
      <c r="C6">
        <v>0</v>
      </c>
      <c r="D6" s="592">
        <f t="shared" si="0"/>
        <v>6143.2492551455452</v>
      </c>
      <c r="F6" s="269">
        <v>0.16210050559085715</v>
      </c>
    </row>
    <row r="7" spans="1:6" x14ac:dyDescent="0.25">
      <c r="A7" s="374" t="s">
        <v>23</v>
      </c>
      <c r="B7" s="608">
        <v>4057.5733807640408</v>
      </c>
      <c r="C7">
        <v>5307.52</v>
      </c>
      <c r="D7" s="592">
        <f t="shared" si="0"/>
        <v>9365.0933807640413</v>
      </c>
      <c r="F7" s="269">
        <v>0.10706625584871751</v>
      </c>
    </row>
    <row r="8" spans="1:6" x14ac:dyDescent="0.25">
      <c r="A8" s="374" t="s">
        <v>216</v>
      </c>
      <c r="B8" s="608">
        <v>2352.7643713616735</v>
      </c>
      <c r="C8">
        <v>0</v>
      </c>
      <c r="D8" s="592">
        <f t="shared" si="0"/>
        <v>2352.7643713616735</v>
      </c>
      <c r="F8" s="269">
        <v>6.2081852500846954E-2</v>
      </c>
    </row>
    <row r="9" spans="1:6" x14ac:dyDescent="0.25">
      <c r="A9" s="374" t="s">
        <v>123</v>
      </c>
      <c r="B9" s="608">
        <v>4292.127245489497</v>
      </c>
      <c r="C9" s="269">
        <v>51061.51</v>
      </c>
      <c r="D9" s="592">
        <f t="shared" si="0"/>
        <v>55353.637245489503</v>
      </c>
      <c r="F9" s="269">
        <v>0.11325537474674013</v>
      </c>
    </row>
    <row r="10" spans="1:6" x14ac:dyDescent="0.25">
      <c r="B10" s="273">
        <f>SUM(B2:B9)</f>
        <v>37897.779730873503</v>
      </c>
      <c r="C10" s="273">
        <f>SUM(C2:C9)</f>
        <v>101113.86000000002</v>
      </c>
      <c r="D10" s="273">
        <f>SUM(D2:D9)</f>
        <v>139011.63973087352</v>
      </c>
    </row>
    <row r="13" spans="1:6" x14ac:dyDescent="0.25">
      <c r="A13" s="353" t="s">
        <v>1547</v>
      </c>
      <c r="D13" s="269">
        <v>4861.95</v>
      </c>
    </row>
    <row r="15" spans="1:6" x14ac:dyDescent="0.25">
      <c r="D15" s="274">
        <f>D10+D13</f>
        <v>143873.58973087353</v>
      </c>
    </row>
  </sheetData>
  <pageMargins left="0.7" right="0.7" top="0.75" bottom="0.75" header="0.3" footer="0.3"/>
  <customProperties>
    <customPr name="QAA_DRILLPATH_NODE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6F5E5-4422-400A-BD0B-4CD93D299331}">
  <sheetPr codeName="Sheet7"/>
  <dimension ref="A1:O1012"/>
  <sheetViews>
    <sheetView workbookViewId="0"/>
  </sheetViews>
  <sheetFormatPr baseColWidth="10" defaultColWidth="9.140625" defaultRowHeight="15" x14ac:dyDescent="0.25"/>
  <cols>
    <col min="1" max="1" width="21.42578125" customWidth="1"/>
    <col min="4" max="4" width="17.5703125" customWidth="1"/>
    <col min="5" max="5" width="14.7109375" customWidth="1"/>
    <col min="6" max="6" width="20.7109375" customWidth="1"/>
    <col min="7" max="7" width="17.28515625" customWidth="1"/>
    <col min="8" max="8" width="16.28515625" customWidth="1"/>
    <col min="9" max="9" width="9.140625" customWidth="1"/>
    <col min="10" max="10" width="15.140625" customWidth="1"/>
    <col min="12" max="12" width="18.42578125" customWidth="1"/>
    <col min="13" max="13" width="25" customWidth="1"/>
    <col min="14" max="14" width="18.85546875" customWidth="1"/>
    <col min="15" max="15" width="21.28515625" customWidth="1"/>
  </cols>
  <sheetData>
    <row r="1" spans="1:15" x14ac:dyDescent="0.25">
      <c r="A1" t="s">
        <v>375</v>
      </c>
      <c r="B1" t="s">
        <v>376</v>
      </c>
      <c r="C1" t="s">
        <v>377</v>
      </c>
      <c r="D1" t="s">
        <v>378</v>
      </c>
      <c r="E1" t="s">
        <v>379</v>
      </c>
      <c r="F1" t="s">
        <v>1542</v>
      </c>
      <c r="G1" t="s">
        <v>380</v>
      </c>
      <c r="H1" t="s">
        <v>381</v>
      </c>
      <c r="I1" t="s">
        <v>382</v>
      </c>
      <c r="J1" t="s">
        <v>383</v>
      </c>
      <c r="K1" t="s">
        <v>384</v>
      </c>
      <c r="L1" t="s">
        <v>385</v>
      </c>
      <c r="M1" t="s">
        <v>386</v>
      </c>
      <c r="N1" t="s">
        <v>387</v>
      </c>
      <c r="O1" t="s">
        <v>635</v>
      </c>
    </row>
    <row r="2" spans="1:15" x14ac:dyDescent="0.25">
      <c r="A2" t="s">
        <v>426</v>
      </c>
      <c r="B2">
        <v>4556</v>
      </c>
      <c r="C2" t="s">
        <v>402</v>
      </c>
      <c r="D2" s="609">
        <v>45015</v>
      </c>
      <c r="E2">
        <v>3170</v>
      </c>
      <c r="F2">
        <v>1</v>
      </c>
      <c r="G2">
        <v>0</v>
      </c>
      <c r="H2" t="s">
        <v>427</v>
      </c>
      <c r="I2" t="s">
        <v>393</v>
      </c>
      <c r="J2">
        <v>77872</v>
      </c>
      <c r="K2" t="s">
        <v>394</v>
      </c>
      <c r="L2">
        <v>0</v>
      </c>
      <c r="M2">
        <v>38</v>
      </c>
      <c r="N2" t="s">
        <v>395</v>
      </c>
      <c r="O2">
        <v>31.49</v>
      </c>
    </row>
    <row r="3" spans="1:15" x14ac:dyDescent="0.25">
      <c r="A3" t="s">
        <v>428</v>
      </c>
      <c r="B3">
        <v>4559</v>
      </c>
      <c r="C3" t="s">
        <v>402</v>
      </c>
      <c r="D3" s="609">
        <v>45006</v>
      </c>
      <c r="E3">
        <v>3170</v>
      </c>
      <c r="F3">
        <v>1</v>
      </c>
      <c r="G3">
        <v>0</v>
      </c>
      <c r="H3" t="s">
        <v>429</v>
      </c>
      <c r="I3" t="s">
        <v>393</v>
      </c>
      <c r="J3">
        <v>28215</v>
      </c>
      <c r="K3" t="s">
        <v>394</v>
      </c>
      <c r="L3">
        <v>0</v>
      </c>
      <c r="M3">
        <v>13.77</v>
      </c>
      <c r="N3" t="s">
        <v>395</v>
      </c>
      <c r="O3">
        <v>11.41</v>
      </c>
    </row>
    <row r="4" spans="1:15" x14ac:dyDescent="0.25">
      <c r="A4" t="s">
        <v>430</v>
      </c>
      <c r="B4">
        <v>4524</v>
      </c>
      <c r="C4" t="s">
        <v>402</v>
      </c>
      <c r="D4" s="609">
        <v>45002</v>
      </c>
      <c r="E4">
        <v>3170</v>
      </c>
      <c r="F4">
        <v>1</v>
      </c>
      <c r="G4">
        <v>0</v>
      </c>
      <c r="H4" t="s">
        <v>431</v>
      </c>
      <c r="I4" t="s">
        <v>393</v>
      </c>
      <c r="J4">
        <v>306500</v>
      </c>
      <c r="K4" t="s">
        <v>394</v>
      </c>
      <c r="L4">
        <v>0</v>
      </c>
      <c r="M4">
        <v>149.56</v>
      </c>
      <c r="N4" t="s">
        <v>395</v>
      </c>
      <c r="O4">
        <v>123.93</v>
      </c>
    </row>
    <row r="5" spans="1:15" x14ac:dyDescent="0.25">
      <c r="A5" t="s">
        <v>432</v>
      </c>
      <c r="B5">
        <v>4554</v>
      </c>
      <c r="C5" t="s">
        <v>402</v>
      </c>
      <c r="D5" s="609">
        <v>45002</v>
      </c>
      <c r="E5">
        <v>3170</v>
      </c>
      <c r="F5">
        <v>1</v>
      </c>
      <c r="G5">
        <v>0</v>
      </c>
      <c r="H5" t="s">
        <v>433</v>
      </c>
      <c r="I5" t="s">
        <v>393</v>
      </c>
      <c r="J5">
        <v>153960</v>
      </c>
      <c r="K5" t="s">
        <v>394</v>
      </c>
      <c r="L5">
        <v>0</v>
      </c>
      <c r="M5">
        <v>75.13</v>
      </c>
      <c r="N5" t="s">
        <v>395</v>
      </c>
      <c r="O5">
        <v>62.25</v>
      </c>
    </row>
    <row r="6" spans="1:15" x14ac:dyDescent="0.25">
      <c r="A6" t="s">
        <v>434</v>
      </c>
      <c r="B6">
        <v>4595</v>
      </c>
      <c r="C6" t="s">
        <v>402</v>
      </c>
      <c r="D6" s="609">
        <v>45008</v>
      </c>
      <c r="E6">
        <v>3170</v>
      </c>
      <c r="F6">
        <v>1</v>
      </c>
      <c r="G6">
        <v>0</v>
      </c>
      <c r="H6" t="s">
        <v>435</v>
      </c>
      <c r="I6" t="s">
        <v>393</v>
      </c>
      <c r="J6">
        <v>253229</v>
      </c>
      <c r="K6" t="s">
        <v>394</v>
      </c>
      <c r="L6">
        <v>0</v>
      </c>
      <c r="M6">
        <v>123.57</v>
      </c>
      <c r="N6" t="s">
        <v>395</v>
      </c>
      <c r="O6">
        <v>102.39</v>
      </c>
    </row>
    <row r="7" spans="1:15" x14ac:dyDescent="0.25">
      <c r="A7" t="s">
        <v>436</v>
      </c>
      <c r="B7">
        <v>4455</v>
      </c>
      <c r="C7" t="s">
        <v>402</v>
      </c>
      <c r="D7" s="609">
        <v>45016</v>
      </c>
      <c r="E7">
        <v>3110</v>
      </c>
      <c r="F7">
        <v>1</v>
      </c>
      <c r="G7">
        <v>0</v>
      </c>
      <c r="H7" t="s">
        <v>437</v>
      </c>
      <c r="I7" t="s">
        <v>393</v>
      </c>
      <c r="J7">
        <v>578183.4</v>
      </c>
      <c r="K7" t="s">
        <v>394</v>
      </c>
      <c r="L7">
        <v>0</v>
      </c>
      <c r="M7">
        <v>282.14</v>
      </c>
      <c r="N7" t="s">
        <v>395</v>
      </c>
      <c r="O7">
        <v>231.27</v>
      </c>
    </row>
    <row r="8" spans="1:15" x14ac:dyDescent="0.25">
      <c r="A8" t="s">
        <v>436</v>
      </c>
      <c r="B8">
        <v>4455</v>
      </c>
      <c r="C8" t="s">
        <v>402</v>
      </c>
      <c r="D8" s="609">
        <v>45016</v>
      </c>
      <c r="E8">
        <v>3110</v>
      </c>
      <c r="F8">
        <v>1</v>
      </c>
      <c r="G8">
        <v>0</v>
      </c>
      <c r="H8" t="s">
        <v>437</v>
      </c>
      <c r="I8" t="s">
        <v>393</v>
      </c>
      <c r="J8">
        <v>3541016</v>
      </c>
      <c r="K8" t="s">
        <v>394</v>
      </c>
      <c r="L8">
        <v>0</v>
      </c>
      <c r="M8">
        <v>1727.93</v>
      </c>
      <c r="N8" t="s">
        <v>395</v>
      </c>
      <c r="O8">
        <v>1416.41</v>
      </c>
    </row>
    <row r="9" spans="1:15" x14ac:dyDescent="0.25">
      <c r="A9" t="s">
        <v>436</v>
      </c>
      <c r="B9">
        <v>4455</v>
      </c>
      <c r="C9" t="s">
        <v>402</v>
      </c>
      <c r="D9" s="609">
        <v>45016</v>
      </c>
      <c r="E9">
        <v>3110</v>
      </c>
      <c r="F9">
        <v>1</v>
      </c>
      <c r="G9">
        <v>0</v>
      </c>
      <c r="H9" t="s">
        <v>437</v>
      </c>
      <c r="I9" t="s">
        <v>393</v>
      </c>
      <c r="J9">
        <v>1301665</v>
      </c>
      <c r="K9" t="s">
        <v>394</v>
      </c>
      <c r="L9">
        <v>0</v>
      </c>
      <c r="M9">
        <v>635.17999999999995</v>
      </c>
      <c r="N9" t="s">
        <v>395</v>
      </c>
      <c r="O9">
        <v>520.66999999999996</v>
      </c>
    </row>
    <row r="10" spans="1:15" x14ac:dyDescent="0.25">
      <c r="A10" t="s">
        <v>436</v>
      </c>
      <c r="B10">
        <v>4455</v>
      </c>
      <c r="C10" t="s">
        <v>402</v>
      </c>
      <c r="D10" s="609">
        <v>45016</v>
      </c>
      <c r="E10">
        <v>3110</v>
      </c>
      <c r="F10">
        <v>1</v>
      </c>
      <c r="G10">
        <v>0</v>
      </c>
      <c r="H10" t="s">
        <v>437</v>
      </c>
      <c r="I10" t="s">
        <v>393</v>
      </c>
      <c r="J10">
        <v>116307.51</v>
      </c>
      <c r="K10" t="s">
        <v>394</v>
      </c>
      <c r="L10">
        <v>0</v>
      </c>
      <c r="M10">
        <v>56.76</v>
      </c>
      <c r="N10" t="s">
        <v>395</v>
      </c>
      <c r="O10">
        <v>46.52</v>
      </c>
    </row>
    <row r="11" spans="1:15" x14ac:dyDescent="0.25">
      <c r="A11" t="s">
        <v>436</v>
      </c>
      <c r="B11">
        <v>4455</v>
      </c>
      <c r="C11" t="s">
        <v>402</v>
      </c>
      <c r="D11" s="609">
        <v>45016</v>
      </c>
      <c r="E11">
        <v>3110</v>
      </c>
      <c r="F11">
        <v>1</v>
      </c>
      <c r="G11">
        <v>0</v>
      </c>
      <c r="H11" t="s">
        <v>437</v>
      </c>
      <c r="I11" t="s">
        <v>393</v>
      </c>
      <c r="J11">
        <v>842808</v>
      </c>
      <c r="K11" t="s">
        <v>394</v>
      </c>
      <c r="L11">
        <v>0</v>
      </c>
      <c r="M11">
        <v>411.27</v>
      </c>
      <c r="N11" t="s">
        <v>395</v>
      </c>
      <c r="O11">
        <v>337.12</v>
      </c>
    </row>
    <row r="12" spans="1:15" x14ac:dyDescent="0.25">
      <c r="A12" t="s">
        <v>436</v>
      </c>
      <c r="B12">
        <v>4455</v>
      </c>
      <c r="C12" t="s">
        <v>402</v>
      </c>
      <c r="D12" s="609">
        <v>45016</v>
      </c>
      <c r="E12">
        <v>3110</v>
      </c>
      <c r="F12">
        <v>1</v>
      </c>
      <c r="G12">
        <v>0</v>
      </c>
      <c r="H12" t="s">
        <v>437</v>
      </c>
      <c r="I12" t="s">
        <v>393</v>
      </c>
      <c r="J12">
        <v>265823.59999999998</v>
      </c>
      <c r="K12" t="s">
        <v>394</v>
      </c>
      <c r="L12">
        <v>0</v>
      </c>
      <c r="M12">
        <v>129.72</v>
      </c>
      <c r="N12" t="s">
        <v>395</v>
      </c>
      <c r="O12">
        <v>106.33</v>
      </c>
    </row>
    <row r="13" spans="1:15" x14ac:dyDescent="0.25">
      <c r="A13" t="s">
        <v>436</v>
      </c>
      <c r="B13">
        <v>4455</v>
      </c>
      <c r="C13" t="s">
        <v>402</v>
      </c>
      <c r="D13" s="609">
        <v>45016</v>
      </c>
      <c r="E13">
        <v>3120</v>
      </c>
      <c r="F13">
        <v>1</v>
      </c>
      <c r="G13">
        <v>0</v>
      </c>
      <c r="H13" t="s">
        <v>438</v>
      </c>
      <c r="I13" t="s">
        <v>393</v>
      </c>
      <c r="J13">
        <v>4410</v>
      </c>
      <c r="K13" t="s">
        <v>394</v>
      </c>
      <c r="L13">
        <v>0</v>
      </c>
      <c r="M13">
        <v>2.15</v>
      </c>
      <c r="N13" t="s">
        <v>395</v>
      </c>
      <c r="O13">
        <v>1.76</v>
      </c>
    </row>
    <row r="14" spans="1:15" x14ac:dyDescent="0.25">
      <c r="A14" t="s">
        <v>436</v>
      </c>
      <c r="B14">
        <v>4455</v>
      </c>
      <c r="C14" t="s">
        <v>402</v>
      </c>
      <c r="D14" s="609">
        <v>45016</v>
      </c>
      <c r="E14">
        <v>3120</v>
      </c>
      <c r="F14">
        <v>1</v>
      </c>
      <c r="G14">
        <v>0</v>
      </c>
      <c r="H14" t="s">
        <v>438</v>
      </c>
      <c r="I14" t="s">
        <v>393</v>
      </c>
      <c r="J14">
        <v>29400</v>
      </c>
      <c r="K14" t="s">
        <v>394</v>
      </c>
      <c r="L14">
        <v>0</v>
      </c>
      <c r="M14">
        <v>14.35</v>
      </c>
      <c r="N14" t="s">
        <v>395</v>
      </c>
      <c r="O14">
        <v>11.76</v>
      </c>
    </row>
    <row r="15" spans="1:15" x14ac:dyDescent="0.25">
      <c r="A15" t="s">
        <v>436</v>
      </c>
      <c r="B15">
        <v>4455</v>
      </c>
      <c r="C15" t="s">
        <v>402</v>
      </c>
      <c r="D15" s="609">
        <v>45016</v>
      </c>
      <c r="E15">
        <v>3120</v>
      </c>
      <c r="F15">
        <v>1</v>
      </c>
      <c r="G15">
        <v>0</v>
      </c>
      <c r="H15" t="s">
        <v>438</v>
      </c>
      <c r="I15" t="s">
        <v>393</v>
      </c>
      <c r="J15">
        <v>882</v>
      </c>
      <c r="K15" t="s">
        <v>394</v>
      </c>
      <c r="L15">
        <v>0</v>
      </c>
      <c r="M15">
        <v>0.43</v>
      </c>
      <c r="N15" t="s">
        <v>395</v>
      </c>
      <c r="O15">
        <v>0.35</v>
      </c>
    </row>
    <row r="16" spans="1:15" x14ac:dyDescent="0.25">
      <c r="A16" t="s">
        <v>436</v>
      </c>
      <c r="B16">
        <v>4455</v>
      </c>
      <c r="C16" t="s">
        <v>402</v>
      </c>
      <c r="D16" s="609">
        <v>45016</v>
      </c>
      <c r="E16">
        <v>3120</v>
      </c>
      <c r="F16">
        <v>1</v>
      </c>
      <c r="G16">
        <v>0</v>
      </c>
      <c r="H16" t="s">
        <v>438</v>
      </c>
      <c r="I16" t="s">
        <v>393</v>
      </c>
      <c r="J16">
        <v>1176</v>
      </c>
      <c r="K16" t="s">
        <v>394</v>
      </c>
      <c r="L16">
        <v>0</v>
      </c>
      <c r="M16">
        <v>0.56999999999999995</v>
      </c>
      <c r="N16" t="s">
        <v>395</v>
      </c>
      <c r="O16">
        <v>0.47</v>
      </c>
    </row>
    <row r="17" spans="1:15" x14ac:dyDescent="0.25">
      <c r="A17" t="s">
        <v>436</v>
      </c>
      <c r="B17">
        <v>4455</v>
      </c>
      <c r="C17" t="s">
        <v>402</v>
      </c>
      <c r="D17" s="609">
        <v>45016</v>
      </c>
      <c r="E17">
        <v>3130</v>
      </c>
      <c r="F17">
        <v>1</v>
      </c>
      <c r="G17">
        <v>0</v>
      </c>
      <c r="H17" t="s">
        <v>439</v>
      </c>
      <c r="I17" t="s">
        <v>393</v>
      </c>
      <c r="J17">
        <v>53768.4</v>
      </c>
      <c r="K17" t="s">
        <v>394</v>
      </c>
      <c r="L17">
        <v>0</v>
      </c>
      <c r="M17">
        <v>26.24</v>
      </c>
      <c r="N17" t="s">
        <v>395</v>
      </c>
      <c r="O17">
        <v>21.51</v>
      </c>
    </row>
    <row r="18" spans="1:15" x14ac:dyDescent="0.25">
      <c r="A18" t="s">
        <v>436</v>
      </c>
      <c r="B18">
        <v>4455</v>
      </c>
      <c r="C18" t="s">
        <v>402</v>
      </c>
      <c r="D18" s="609">
        <v>45016</v>
      </c>
      <c r="E18">
        <v>3130</v>
      </c>
      <c r="F18">
        <v>1</v>
      </c>
      <c r="G18">
        <v>0</v>
      </c>
      <c r="H18" t="s">
        <v>439</v>
      </c>
      <c r="I18" t="s">
        <v>393</v>
      </c>
      <c r="J18">
        <v>327102</v>
      </c>
      <c r="K18" t="s">
        <v>394</v>
      </c>
      <c r="L18">
        <v>0</v>
      </c>
      <c r="M18">
        <v>159.62</v>
      </c>
      <c r="N18" t="s">
        <v>395</v>
      </c>
      <c r="O18">
        <v>130.84</v>
      </c>
    </row>
    <row r="19" spans="1:15" x14ac:dyDescent="0.25">
      <c r="A19" t="s">
        <v>436</v>
      </c>
      <c r="B19">
        <v>4455</v>
      </c>
      <c r="C19" t="s">
        <v>402</v>
      </c>
      <c r="D19" s="609">
        <v>45016</v>
      </c>
      <c r="E19">
        <v>3130</v>
      </c>
      <c r="F19">
        <v>1</v>
      </c>
      <c r="G19">
        <v>0</v>
      </c>
      <c r="H19" t="s">
        <v>439</v>
      </c>
      <c r="I19" t="s">
        <v>393</v>
      </c>
      <c r="J19">
        <v>130166.5</v>
      </c>
      <c r="K19" t="s">
        <v>394</v>
      </c>
      <c r="L19">
        <v>0</v>
      </c>
      <c r="M19">
        <v>63.52</v>
      </c>
      <c r="N19" t="s">
        <v>395</v>
      </c>
      <c r="O19">
        <v>52.07</v>
      </c>
    </row>
    <row r="20" spans="1:15" x14ac:dyDescent="0.25">
      <c r="A20" t="s">
        <v>436</v>
      </c>
      <c r="B20">
        <v>4455</v>
      </c>
      <c r="C20" t="s">
        <v>402</v>
      </c>
      <c r="D20" s="609">
        <v>45016</v>
      </c>
      <c r="E20">
        <v>3130</v>
      </c>
      <c r="F20">
        <v>1</v>
      </c>
      <c r="G20">
        <v>0</v>
      </c>
      <c r="H20" t="s">
        <v>439</v>
      </c>
      <c r="I20" t="s">
        <v>393</v>
      </c>
      <c r="J20">
        <v>10820.76</v>
      </c>
      <c r="K20" t="s">
        <v>394</v>
      </c>
      <c r="L20">
        <v>0</v>
      </c>
      <c r="M20">
        <v>5.28</v>
      </c>
      <c r="N20" t="s">
        <v>395</v>
      </c>
      <c r="O20">
        <v>4.33</v>
      </c>
    </row>
    <row r="21" spans="1:15" x14ac:dyDescent="0.25">
      <c r="A21" t="s">
        <v>436</v>
      </c>
      <c r="B21">
        <v>4455</v>
      </c>
      <c r="C21" t="s">
        <v>402</v>
      </c>
      <c r="D21" s="609">
        <v>45016</v>
      </c>
      <c r="E21">
        <v>3130</v>
      </c>
      <c r="F21">
        <v>1</v>
      </c>
      <c r="G21">
        <v>0</v>
      </c>
      <c r="H21" t="s">
        <v>439</v>
      </c>
      <c r="I21" t="s">
        <v>393</v>
      </c>
      <c r="J21">
        <v>84281</v>
      </c>
      <c r="K21" t="s">
        <v>394</v>
      </c>
      <c r="L21">
        <v>0</v>
      </c>
      <c r="M21">
        <v>41.13</v>
      </c>
      <c r="N21" t="s">
        <v>395</v>
      </c>
      <c r="O21">
        <v>33.71</v>
      </c>
    </row>
    <row r="22" spans="1:15" x14ac:dyDescent="0.25">
      <c r="A22" t="s">
        <v>436</v>
      </c>
      <c r="B22">
        <v>4455</v>
      </c>
      <c r="C22" t="s">
        <v>402</v>
      </c>
      <c r="D22" s="609">
        <v>45016</v>
      </c>
      <c r="E22">
        <v>3130</v>
      </c>
      <c r="F22">
        <v>1</v>
      </c>
      <c r="G22">
        <v>0</v>
      </c>
      <c r="H22" t="s">
        <v>439</v>
      </c>
      <c r="I22" t="s">
        <v>393</v>
      </c>
      <c r="J22">
        <v>25502.36</v>
      </c>
      <c r="K22" t="s">
        <v>394</v>
      </c>
      <c r="L22">
        <v>0</v>
      </c>
      <c r="M22">
        <v>12.44</v>
      </c>
      <c r="N22" t="s">
        <v>395</v>
      </c>
      <c r="O22">
        <v>10.199999999999999</v>
      </c>
    </row>
    <row r="23" spans="1:15" x14ac:dyDescent="0.25">
      <c r="A23" t="s">
        <v>445</v>
      </c>
      <c r="B23">
        <v>4699</v>
      </c>
      <c r="C23" t="s">
        <v>441</v>
      </c>
      <c r="D23" s="609">
        <v>45046</v>
      </c>
      <c r="E23">
        <v>3110</v>
      </c>
      <c r="F23">
        <v>1</v>
      </c>
      <c r="G23">
        <v>0</v>
      </c>
      <c r="H23" t="s">
        <v>437</v>
      </c>
      <c r="I23" t="s">
        <v>393</v>
      </c>
      <c r="J23">
        <v>1462335.8</v>
      </c>
      <c r="K23" t="s">
        <v>394</v>
      </c>
      <c r="L23">
        <v>0</v>
      </c>
      <c r="M23">
        <v>709.19</v>
      </c>
      <c r="N23" t="s">
        <v>395</v>
      </c>
      <c r="O23">
        <v>584.92999999999995</v>
      </c>
    </row>
    <row r="24" spans="1:15" x14ac:dyDescent="0.25">
      <c r="A24" t="s">
        <v>445</v>
      </c>
      <c r="B24">
        <v>4699</v>
      </c>
      <c r="C24" t="s">
        <v>441</v>
      </c>
      <c r="D24" s="609">
        <v>45046</v>
      </c>
      <c r="E24">
        <v>3110</v>
      </c>
      <c r="F24">
        <v>1</v>
      </c>
      <c r="G24">
        <v>0</v>
      </c>
      <c r="H24" t="s">
        <v>437</v>
      </c>
      <c r="I24" t="s">
        <v>393</v>
      </c>
      <c r="J24">
        <v>578183.4</v>
      </c>
      <c r="K24" t="s">
        <v>394</v>
      </c>
      <c r="L24">
        <v>0</v>
      </c>
      <c r="M24">
        <v>280.39999999999998</v>
      </c>
      <c r="N24" t="s">
        <v>395</v>
      </c>
      <c r="O24">
        <v>231.27</v>
      </c>
    </row>
    <row r="25" spans="1:15" x14ac:dyDescent="0.25">
      <c r="A25" t="s">
        <v>445</v>
      </c>
      <c r="B25">
        <v>4699</v>
      </c>
      <c r="C25" t="s">
        <v>441</v>
      </c>
      <c r="D25" s="609">
        <v>45046</v>
      </c>
      <c r="E25">
        <v>3110</v>
      </c>
      <c r="F25">
        <v>1</v>
      </c>
      <c r="G25">
        <v>0</v>
      </c>
      <c r="H25" t="s">
        <v>437</v>
      </c>
      <c r="I25" t="s">
        <v>393</v>
      </c>
      <c r="J25">
        <v>5429558</v>
      </c>
      <c r="K25" t="s">
        <v>394</v>
      </c>
      <c r="L25">
        <v>0</v>
      </c>
      <c r="M25">
        <v>2633.17</v>
      </c>
      <c r="N25" t="s">
        <v>395</v>
      </c>
      <c r="O25">
        <v>2171.8200000000002</v>
      </c>
    </row>
    <row r="26" spans="1:15" x14ac:dyDescent="0.25">
      <c r="A26" t="s">
        <v>445</v>
      </c>
      <c r="B26">
        <v>4699</v>
      </c>
      <c r="C26" t="s">
        <v>441</v>
      </c>
      <c r="D26" s="609">
        <v>45046</v>
      </c>
      <c r="E26">
        <v>3110</v>
      </c>
      <c r="F26">
        <v>1</v>
      </c>
      <c r="G26">
        <v>0</v>
      </c>
      <c r="H26" t="s">
        <v>437</v>
      </c>
      <c r="I26" t="s">
        <v>393</v>
      </c>
      <c r="J26">
        <v>1871143.5</v>
      </c>
      <c r="K26" t="s">
        <v>394</v>
      </c>
      <c r="L26">
        <v>0</v>
      </c>
      <c r="M26">
        <v>907.45</v>
      </c>
      <c r="N26" t="s">
        <v>395</v>
      </c>
      <c r="O26">
        <v>748.46</v>
      </c>
    </row>
    <row r="27" spans="1:15" x14ac:dyDescent="0.25">
      <c r="A27" t="s">
        <v>445</v>
      </c>
      <c r="B27">
        <v>4699</v>
      </c>
      <c r="C27" t="s">
        <v>441</v>
      </c>
      <c r="D27" s="609">
        <v>45046</v>
      </c>
      <c r="E27">
        <v>3110</v>
      </c>
      <c r="F27">
        <v>1</v>
      </c>
      <c r="G27">
        <v>0</v>
      </c>
      <c r="H27" t="s">
        <v>437</v>
      </c>
      <c r="I27" t="s">
        <v>393</v>
      </c>
      <c r="J27">
        <v>581537.55000000005</v>
      </c>
      <c r="K27" t="s">
        <v>394</v>
      </c>
      <c r="L27">
        <v>0</v>
      </c>
      <c r="M27">
        <v>282.02999999999997</v>
      </c>
      <c r="N27" t="s">
        <v>395</v>
      </c>
      <c r="O27">
        <v>232.62</v>
      </c>
    </row>
    <row r="28" spans="1:15" x14ac:dyDescent="0.25">
      <c r="A28" t="s">
        <v>445</v>
      </c>
      <c r="B28">
        <v>4699</v>
      </c>
      <c r="C28" t="s">
        <v>441</v>
      </c>
      <c r="D28" s="609">
        <v>45046</v>
      </c>
      <c r="E28">
        <v>3110</v>
      </c>
      <c r="F28">
        <v>1</v>
      </c>
      <c r="G28">
        <v>0</v>
      </c>
      <c r="H28" t="s">
        <v>437</v>
      </c>
      <c r="I28" t="s">
        <v>393</v>
      </c>
      <c r="J28">
        <v>1938458.5</v>
      </c>
      <c r="K28" t="s">
        <v>394</v>
      </c>
      <c r="L28">
        <v>0</v>
      </c>
      <c r="M28">
        <v>940.09</v>
      </c>
      <c r="N28" t="s">
        <v>395</v>
      </c>
      <c r="O28">
        <v>775.38</v>
      </c>
    </row>
    <row r="29" spans="1:15" x14ac:dyDescent="0.25">
      <c r="A29" t="s">
        <v>445</v>
      </c>
      <c r="B29">
        <v>4699</v>
      </c>
      <c r="C29" t="s">
        <v>441</v>
      </c>
      <c r="D29" s="609">
        <v>45046</v>
      </c>
      <c r="E29">
        <v>3110</v>
      </c>
      <c r="F29">
        <v>1</v>
      </c>
      <c r="G29">
        <v>0</v>
      </c>
      <c r="H29" t="s">
        <v>437</v>
      </c>
      <c r="I29" t="s">
        <v>393</v>
      </c>
      <c r="J29">
        <v>467310.3</v>
      </c>
      <c r="K29" t="s">
        <v>394</v>
      </c>
      <c r="L29">
        <v>0</v>
      </c>
      <c r="M29">
        <v>226.63</v>
      </c>
      <c r="N29" t="s">
        <v>395</v>
      </c>
      <c r="O29">
        <v>186.92</v>
      </c>
    </row>
    <row r="30" spans="1:15" x14ac:dyDescent="0.25">
      <c r="A30" t="s">
        <v>445</v>
      </c>
      <c r="B30">
        <v>4699</v>
      </c>
      <c r="C30" t="s">
        <v>441</v>
      </c>
      <c r="D30" s="609">
        <v>45046</v>
      </c>
      <c r="E30">
        <v>3110</v>
      </c>
      <c r="F30">
        <v>1</v>
      </c>
      <c r="G30">
        <v>0</v>
      </c>
      <c r="H30" t="s">
        <v>437</v>
      </c>
      <c r="I30" t="s">
        <v>393</v>
      </c>
      <c r="J30">
        <v>664559</v>
      </c>
      <c r="K30" t="s">
        <v>394</v>
      </c>
      <c r="L30">
        <v>0</v>
      </c>
      <c r="M30">
        <v>322.29000000000002</v>
      </c>
      <c r="N30" t="s">
        <v>395</v>
      </c>
      <c r="O30">
        <v>265.82</v>
      </c>
    </row>
    <row r="31" spans="1:15" x14ac:dyDescent="0.25">
      <c r="A31" t="s">
        <v>445</v>
      </c>
      <c r="B31">
        <v>4699</v>
      </c>
      <c r="C31" t="s">
        <v>441</v>
      </c>
      <c r="D31" s="609">
        <v>45046</v>
      </c>
      <c r="E31">
        <v>3120</v>
      </c>
      <c r="F31">
        <v>1</v>
      </c>
      <c r="G31">
        <v>0</v>
      </c>
      <c r="H31" t="s">
        <v>438</v>
      </c>
      <c r="I31" t="s">
        <v>393</v>
      </c>
      <c r="J31">
        <v>4410</v>
      </c>
      <c r="K31" t="s">
        <v>394</v>
      </c>
      <c r="L31">
        <v>0</v>
      </c>
      <c r="M31">
        <v>2.14</v>
      </c>
      <c r="N31" t="s">
        <v>395</v>
      </c>
      <c r="O31">
        <v>1.76</v>
      </c>
    </row>
    <row r="32" spans="1:15" x14ac:dyDescent="0.25">
      <c r="A32" t="s">
        <v>445</v>
      </c>
      <c r="B32">
        <v>4699</v>
      </c>
      <c r="C32" t="s">
        <v>441</v>
      </c>
      <c r="D32" s="609">
        <v>45046</v>
      </c>
      <c r="E32">
        <v>3120</v>
      </c>
      <c r="F32">
        <v>1</v>
      </c>
      <c r="G32">
        <v>0</v>
      </c>
      <c r="H32" t="s">
        <v>438</v>
      </c>
      <c r="I32" t="s">
        <v>393</v>
      </c>
      <c r="J32">
        <v>29400</v>
      </c>
      <c r="K32" t="s">
        <v>394</v>
      </c>
      <c r="L32">
        <v>0</v>
      </c>
      <c r="M32">
        <v>14.26</v>
      </c>
      <c r="N32" t="s">
        <v>395</v>
      </c>
      <c r="O32">
        <v>11.76</v>
      </c>
    </row>
    <row r="33" spans="1:15" x14ac:dyDescent="0.25">
      <c r="A33" t="s">
        <v>445</v>
      </c>
      <c r="B33">
        <v>4699</v>
      </c>
      <c r="C33" t="s">
        <v>441</v>
      </c>
      <c r="D33" s="609">
        <v>45046</v>
      </c>
      <c r="E33">
        <v>3120</v>
      </c>
      <c r="F33">
        <v>1</v>
      </c>
      <c r="G33">
        <v>0</v>
      </c>
      <c r="H33" t="s">
        <v>438</v>
      </c>
      <c r="I33" t="s">
        <v>393</v>
      </c>
      <c r="J33">
        <v>14700</v>
      </c>
      <c r="K33" t="s">
        <v>394</v>
      </c>
      <c r="L33">
        <v>0</v>
      </c>
      <c r="M33">
        <v>7.13</v>
      </c>
      <c r="N33" t="s">
        <v>395</v>
      </c>
      <c r="O33">
        <v>5.88</v>
      </c>
    </row>
    <row r="34" spans="1:15" x14ac:dyDescent="0.25">
      <c r="A34" t="s">
        <v>445</v>
      </c>
      <c r="B34">
        <v>4699</v>
      </c>
      <c r="C34" t="s">
        <v>441</v>
      </c>
      <c r="D34" s="609">
        <v>45046</v>
      </c>
      <c r="E34">
        <v>3120</v>
      </c>
      <c r="F34">
        <v>1</v>
      </c>
      <c r="G34">
        <v>0</v>
      </c>
      <c r="H34" t="s">
        <v>438</v>
      </c>
      <c r="I34" t="s">
        <v>393</v>
      </c>
      <c r="J34">
        <v>4410</v>
      </c>
      <c r="K34" t="s">
        <v>394</v>
      </c>
      <c r="L34">
        <v>0</v>
      </c>
      <c r="M34">
        <v>2.14</v>
      </c>
      <c r="N34" t="s">
        <v>395</v>
      </c>
      <c r="O34">
        <v>1.76</v>
      </c>
    </row>
    <row r="35" spans="1:15" x14ac:dyDescent="0.25">
      <c r="A35" t="s">
        <v>445</v>
      </c>
      <c r="B35">
        <v>4699</v>
      </c>
      <c r="C35" t="s">
        <v>441</v>
      </c>
      <c r="D35" s="609">
        <v>45046</v>
      </c>
      <c r="E35">
        <v>3120</v>
      </c>
      <c r="F35">
        <v>1</v>
      </c>
      <c r="G35">
        <v>0</v>
      </c>
      <c r="H35" t="s">
        <v>438</v>
      </c>
      <c r="I35" t="s">
        <v>393</v>
      </c>
      <c r="J35">
        <v>14700</v>
      </c>
      <c r="K35" t="s">
        <v>394</v>
      </c>
      <c r="L35">
        <v>0</v>
      </c>
      <c r="M35">
        <v>7.13</v>
      </c>
      <c r="N35" t="s">
        <v>395</v>
      </c>
      <c r="O35">
        <v>5.88</v>
      </c>
    </row>
    <row r="36" spans="1:15" x14ac:dyDescent="0.25">
      <c r="A36" t="s">
        <v>445</v>
      </c>
      <c r="B36">
        <v>4699</v>
      </c>
      <c r="C36" t="s">
        <v>441</v>
      </c>
      <c r="D36" s="609">
        <v>45046</v>
      </c>
      <c r="E36">
        <v>3120</v>
      </c>
      <c r="F36">
        <v>1</v>
      </c>
      <c r="G36">
        <v>0</v>
      </c>
      <c r="H36" t="s">
        <v>438</v>
      </c>
      <c r="I36" t="s">
        <v>393</v>
      </c>
      <c r="J36">
        <v>8820</v>
      </c>
      <c r="K36" t="s">
        <v>394</v>
      </c>
      <c r="L36">
        <v>0</v>
      </c>
      <c r="M36">
        <v>4.28</v>
      </c>
      <c r="N36" t="s">
        <v>395</v>
      </c>
      <c r="O36">
        <v>3.53</v>
      </c>
    </row>
    <row r="37" spans="1:15" x14ac:dyDescent="0.25">
      <c r="A37" t="s">
        <v>445</v>
      </c>
      <c r="B37">
        <v>4699</v>
      </c>
      <c r="C37" t="s">
        <v>441</v>
      </c>
      <c r="D37" s="609">
        <v>45046</v>
      </c>
      <c r="E37">
        <v>3120</v>
      </c>
      <c r="F37">
        <v>1</v>
      </c>
      <c r="G37">
        <v>0</v>
      </c>
      <c r="H37" t="s">
        <v>438</v>
      </c>
      <c r="I37" t="s">
        <v>393</v>
      </c>
      <c r="J37">
        <v>2940</v>
      </c>
      <c r="K37" t="s">
        <v>394</v>
      </c>
      <c r="L37">
        <v>0</v>
      </c>
      <c r="M37">
        <v>1.43</v>
      </c>
      <c r="N37" t="s">
        <v>395</v>
      </c>
      <c r="O37">
        <v>1.18</v>
      </c>
    </row>
    <row r="38" spans="1:15" x14ac:dyDescent="0.25">
      <c r="A38" t="s">
        <v>445</v>
      </c>
      <c r="B38">
        <v>4699</v>
      </c>
      <c r="C38" t="s">
        <v>441</v>
      </c>
      <c r="D38" s="609">
        <v>45046</v>
      </c>
      <c r="E38">
        <v>3130</v>
      </c>
      <c r="F38">
        <v>1</v>
      </c>
      <c r="G38">
        <v>0</v>
      </c>
      <c r="H38" t="s">
        <v>439</v>
      </c>
      <c r="I38" t="s">
        <v>393</v>
      </c>
      <c r="J38">
        <v>146233.5</v>
      </c>
      <c r="K38" t="s">
        <v>394</v>
      </c>
      <c r="L38">
        <v>0</v>
      </c>
      <c r="M38">
        <v>70.92</v>
      </c>
      <c r="N38" t="s">
        <v>395</v>
      </c>
      <c r="O38">
        <v>58.49</v>
      </c>
    </row>
    <row r="39" spans="1:15" x14ac:dyDescent="0.25">
      <c r="A39" t="s">
        <v>445</v>
      </c>
      <c r="B39">
        <v>4699</v>
      </c>
      <c r="C39" t="s">
        <v>441</v>
      </c>
      <c r="D39" s="609">
        <v>45046</v>
      </c>
      <c r="E39">
        <v>3130</v>
      </c>
      <c r="F39">
        <v>1</v>
      </c>
      <c r="G39">
        <v>0</v>
      </c>
      <c r="H39" t="s">
        <v>439</v>
      </c>
      <c r="I39" t="s">
        <v>393</v>
      </c>
      <c r="J39">
        <v>53768.4</v>
      </c>
      <c r="K39" t="s">
        <v>394</v>
      </c>
      <c r="L39">
        <v>0</v>
      </c>
      <c r="M39">
        <v>26.08</v>
      </c>
      <c r="N39" t="s">
        <v>395</v>
      </c>
      <c r="O39">
        <v>21.51</v>
      </c>
    </row>
    <row r="40" spans="1:15" x14ac:dyDescent="0.25">
      <c r="A40" t="s">
        <v>445</v>
      </c>
      <c r="B40">
        <v>4699</v>
      </c>
      <c r="C40" t="s">
        <v>441</v>
      </c>
      <c r="D40" s="609">
        <v>45046</v>
      </c>
      <c r="E40">
        <v>3130</v>
      </c>
      <c r="F40">
        <v>1</v>
      </c>
      <c r="G40">
        <v>0</v>
      </c>
      <c r="H40" t="s">
        <v>439</v>
      </c>
      <c r="I40" t="s">
        <v>393</v>
      </c>
      <c r="J40">
        <v>515956</v>
      </c>
      <c r="K40" t="s">
        <v>394</v>
      </c>
      <c r="L40">
        <v>0</v>
      </c>
      <c r="M40">
        <v>250.22</v>
      </c>
      <c r="N40" t="s">
        <v>395</v>
      </c>
      <c r="O40">
        <v>206.38</v>
      </c>
    </row>
    <row r="41" spans="1:15" x14ac:dyDescent="0.25">
      <c r="A41" t="s">
        <v>445</v>
      </c>
      <c r="B41">
        <v>4699</v>
      </c>
      <c r="C41" t="s">
        <v>441</v>
      </c>
      <c r="D41" s="609">
        <v>45046</v>
      </c>
      <c r="E41">
        <v>3130</v>
      </c>
      <c r="F41">
        <v>1</v>
      </c>
      <c r="G41">
        <v>0</v>
      </c>
      <c r="H41" t="s">
        <v>439</v>
      </c>
      <c r="I41" t="s">
        <v>393</v>
      </c>
      <c r="J41">
        <v>173614.5</v>
      </c>
      <c r="K41" t="s">
        <v>394</v>
      </c>
      <c r="L41">
        <v>0</v>
      </c>
      <c r="M41">
        <v>84.2</v>
      </c>
      <c r="N41" t="s">
        <v>395</v>
      </c>
      <c r="O41">
        <v>69.45</v>
      </c>
    </row>
    <row r="42" spans="1:15" x14ac:dyDescent="0.25">
      <c r="A42" t="s">
        <v>445</v>
      </c>
      <c r="B42">
        <v>4699</v>
      </c>
      <c r="C42" t="s">
        <v>441</v>
      </c>
      <c r="D42" s="609">
        <v>45046</v>
      </c>
      <c r="E42">
        <v>3130</v>
      </c>
      <c r="F42">
        <v>1</v>
      </c>
      <c r="G42">
        <v>0</v>
      </c>
      <c r="H42" t="s">
        <v>439</v>
      </c>
      <c r="I42" t="s">
        <v>393</v>
      </c>
      <c r="J42">
        <v>54103.8</v>
      </c>
      <c r="K42" t="s">
        <v>394</v>
      </c>
      <c r="L42">
        <v>0</v>
      </c>
      <c r="M42">
        <v>26.24</v>
      </c>
      <c r="N42" t="s">
        <v>395</v>
      </c>
      <c r="O42">
        <v>21.64</v>
      </c>
    </row>
    <row r="43" spans="1:15" x14ac:dyDescent="0.25">
      <c r="A43" t="s">
        <v>445</v>
      </c>
      <c r="B43">
        <v>4699</v>
      </c>
      <c r="C43" t="s">
        <v>441</v>
      </c>
      <c r="D43" s="609">
        <v>45046</v>
      </c>
      <c r="E43">
        <v>3130</v>
      </c>
      <c r="F43">
        <v>1</v>
      </c>
      <c r="G43">
        <v>0</v>
      </c>
      <c r="H43" t="s">
        <v>439</v>
      </c>
      <c r="I43" t="s">
        <v>393</v>
      </c>
      <c r="J43">
        <v>180346</v>
      </c>
      <c r="K43" t="s">
        <v>394</v>
      </c>
      <c r="L43">
        <v>0</v>
      </c>
      <c r="M43">
        <v>87.46</v>
      </c>
      <c r="N43" t="s">
        <v>395</v>
      </c>
      <c r="O43">
        <v>72.14</v>
      </c>
    </row>
    <row r="44" spans="1:15" x14ac:dyDescent="0.25">
      <c r="A44" t="s">
        <v>445</v>
      </c>
      <c r="B44">
        <v>4699</v>
      </c>
      <c r="C44" t="s">
        <v>441</v>
      </c>
      <c r="D44" s="609">
        <v>45046</v>
      </c>
      <c r="E44">
        <v>3130</v>
      </c>
      <c r="F44">
        <v>1</v>
      </c>
      <c r="G44">
        <v>0</v>
      </c>
      <c r="H44" t="s">
        <v>439</v>
      </c>
      <c r="I44" t="s">
        <v>393</v>
      </c>
      <c r="J44">
        <v>38631</v>
      </c>
      <c r="K44" t="s">
        <v>394</v>
      </c>
      <c r="L44">
        <v>0</v>
      </c>
      <c r="M44">
        <v>18.73</v>
      </c>
      <c r="N44" t="s">
        <v>395</v>
      </c>
      <c r="O44">
        <v>15.45</v>
      </c>
    </row>
    <row r="45" spans="1:15" x14ac:dyDescent="0.25">
      <c r="A45" t="s">
        <v>445</v>
      </c>
      <c r="B45">
        <v>4699</v>
      </c>
      <c r="C45" t="s">
        <v>441</v>
      </c>
      <c r="D45" s="609">
        <v>45046</v>
      </c>
      <c r="E45">
        <v>3130</v>
      </c>
      <c r="F45">
        <v>1</v>
      </c>
      <c r="G45">
        <v>0</v>
      </c>
      <c r="H45" t="s">
        <v>439</v>
      </c>
      <c r="I45" t="s">
        <v>393</v>
      </c>
      <c r="J45">
        <v>63755.9</v>
      </c>
      <c r="K45" t="s">
        <v>394</v>
      </c>
      <c r="L45">
        <v>0</v>
      </c>
      <c r="M45">
        <v>30.92</v>
      </c>
      <c r="N45" t="s">
        <v>395</v>
      </c>
      <c r="O45">
        <v>25.5</v>
      </c>
    </row>
    <row r="46" spans="1:15" x14ac:dyDescent="0.25">
      <c r="A46" t="s">
        <v>471</v>
      </c>
      <c r="B46">
        <v>4798</v>
      </c>
      <c r="C46" t="s">
        <v>458</v>
      </c>
      <c r="D46" s="609">
        <v>45076</v>
      </c>
      <c r="E46">
        <v>3110</v>
      </c>
      <c r="F46">
        <v>1</v>
      </c>
      <c r="G46">
        <v>0</v>
      </c>
      <c r="H46" t="s">
        <v>437</v>
      </c>
      <c r="I46" t="s">
        <v>393</v>
      </c>
      <c r="J46">
        <v>43870.1</v>
      </c>
      <c r="K46" t="s">
        <v>394</v>
      </c>
      <c r="L46">
        <v>0</v>
      </c>
      <c r="M46">
        <v>21.36</v>
      </c>
      <c r="N46" t="s">
        <v>395</v>
      </c>
      <c r="O46">
        <v>17.55</v>
      </c>
    </row>
    <row r="47" spans="1:15" x14ac:dyDescent="0.25">
      <c r="A47" t="s">
        <v>471</v>
      </c>
      <c r="B47">
        <v>4798</v>
      </c>
      <c r="C47" t="s">
        <v>458</v>
      </c>
      <c r="D47" s="609">
        <v>45076</v>
      </c>
      <c r="E47">
        <v>3110</v>
      </c>
      <c r="F47">
        <v>1</v>
      </c>
      <c r="G47">
        <v>0</v>
      </c>
      <c r="H47" t="s">
        <v>437</v>
      </c>
      <c r="I47" t="s">
        <v>393</v>
      </c>
      <c r="J47">
        <v>17345.55</v>
      </c>
      <c r="K47" t="s">
        <v>394</v>
      </c>
      <c r="L47">
        <v>0</v>
      </c>
      <c r="M47">
        <v>8.44</v>
      </c>
      <c r="N47" t="s">
        <v>395</v>
      </c>
      <c r="O47">
        <v>6.94</v>
      </c>
    </row>
    <row r="48" spans="1:15" x14ac:dyDescent="0.25">
      <c r="A48" t="s">
        <v>471</v>
      </c>
      <c r="B48">
        <v>4798</v>
      </c>
      <c r="C48" t="s">
        <v>458</v>
      </c>
      <c r="D48" s="609">
        <v>45076</v>
      </c>
      <c r="E48">
        <v>3110</v>
      </c>
      <c r="F48">
        <v>1</v>
      </c>
      <c r="G48">
        <v>0</v>
      </c>
      <c r="H48" t="s">
        <v>437</v>
      </c>
      <c r="I48" t="s">
        <v>393</v>
      </c>
      <c r="J48">
        <v>162886</v>
      </c>
      <c r="K48" t="s">
        <v>394</v>
      </c>
      <c r="L48">
        <v>0</v>
      </c>
      <c r="M48">
        <v>79.290000000000006</v>
      </c>
      <c r="N48" t="s">
        <v>395</v>
      </c>
      <c r="O48">
        <v>65.150000000000006</v>
      </c>
    </row>
    <row r="49" spans="1:15" x14ac:dyDescent="0.25">
      <c r="A49" t="s">
        <v>471</v>
      </c>
      <c r="B49">
        <v>4798</v>
      </c>
      <c r="C49" t="s">
        <v>458</v>
      </c>
      <c r="D49" s="609">
        <v>45076</v>
      </c>
      <c r="E49">
        <v>3110</v>
      </c>
      <c r="F49">
        <v>1</v>
      </c>
      <c r="G49">
        <v>0</v>
      </c>
      <c r="H49" t="s">
        <v>437</v>
      </c>
      <c r="I49" t="s">
        <v>393</v>
      </c>
      <c r="J49">
        <v>56134</v>
      </c>
      <c r="K49" t="s">
        <v>394</v>
      </c>
      <c r="L49">
        <v>0</v>
      </c>
      <c r="M49">
        <v>27.32</v>
      </c>
      <c r="N49" t="s">
        <v>395</v>
      </c>
      <c r="O49">
        <v>22.45</v>
      </c>
    </row>
    <row r="50" spans="1:15" x14ac:dyDescent="0.25">
      <c r="A50" t="s">
        <v>471</v>
      </c>
      <c r="B50">
        <v>4798</v>
      </c>
      <c r="C50" t="s">
        <v>458</v>
      </c>
      <c r="D50" s="609">
        <v>45076</v>
      </c>
      <c r="E50">
        <v>3110</v>
      </c>
      <c r="F50">
        <v>1</v>
      </c>
      <c r="G50">
        <v>0</v>
      </c>
      <c r="H50" t="s">
        <v>437</v>
      </c>
      <c r="I50" t="s">
        <v>393</v>
      </c>
      <c r="J50">
        <v>17446.05</v>
      </c>
      <c r="K50" t="s">
        <v>394</v>
      </c>
      <c r="L50">
        <v>0</v>
      </c>
      <c r="M50">
        <v>8.49</v>
      </c>
      <c r="N50" t="s">
        <v>395</v>
      </c>
      <c r="O50">
        <v>6.98</v>
      </c>
    </row>
    <row r="51" spans="1:15" x14ac:dyDescent="0.25">
      <c r="A51" t="s">
        <v>471</v>
      </c>
      <c r="B51">
        <v>4798</v>
      </c>
      <c r="C51" t="s">
        <v>458</v>
      </c>
      <c r="D51" s="609">
        <v>45076</v>
      </c>
      <c r="E51">
        <v>3110</v>
      </c>
      <c r="F51">
        <v>1</v>
      </c>
      <c r="G51">
        <v>0</v>
      </c>
      <c r="H51" t="s">
        <v>437</v>
      </c>
      <c r="I51" t="s">
        <v>393</v>
      </c>
      <c r="J51">
        <v>58154</v>
      </c>
      <c r="K51" t="s">
        <v>394</v>
      </c>
      <c r="L51">
        <v>0</v>
      </c>
      <c r="M51">
        <v>28.31</v>
      </c>
      <c r="N51" t="s">
        <v>395</v>
      </c>
      <c r="O51">
        <v>23.26</v>
      </c>
    </row>
    <row r="52" spans="1:15" x14ac:dyDescent="0.25">
      <c r="A52" t="s">
        <v>471</v>
      </c>
      <c r="B52">
        <v>4798</v>
      </c>
      <c r="C52" t="s">
        <v>458</v>
      </c>
      <c r="D52" s="609">
        <v>45076</v>
      </c>
      <c r="E52">
        <v>3110</v>
      </c>
      <c r="F52">
        <v>1</v>
      </c>
      <c r="G52">
        <v>0</v>
      </c>
      <c r="H52" t="s">
        <v>437</v>
      </c>
      <c r="I52" t="s">
        <v>393</v>
      </c>
      <c r="J52">
        <v>14019.3</v>
      </c>
      <c r="K52" t="s">
        <v>394</v>
      </c>
      <c r="L52">
        <v>0</v>
      </c>
      <c r="M52">
        <v>6.82</v>
      </c>
      <c r="N52" t="s">
        <v>395</v>
      </c>
      <c r="O52">
        <v>5.61</v>
      </c>
    </row>
    <row r="53" spans="1:15" x14ac:dyDescent="0.25">
      <c r="A53" t="s">
        <v>471</v>
      </c>
      <c r="B53">
        <v>4798</v>
      </c>
      <c r="C53" t="s">
        <v>458</v>
      </c>
      <c r="D53" s="609">
        <v>45076</v>
      </c>
      <c r="E53">
        <v>3110</v>
      </c>
      <c r="F53">
        <v>1</v>
      </c>
      <c r="G53">
        <v>0</v>
      </c>
      <c r="H53" t="s">
        <v>437</v>
      </c>
      <c r="I53" t="s">
        <v>393</v>
      </c>
      <c r="J53">
        <v>19936.7</v>
      </c>
      <c r="K53" t="s">
        <v>394</v>
      </c>
      <c r="L53">
        <v>0</v>
      </c>
      <c r="M53">
        <v>9.6999999999999993</v>
      </c>
      <c r="N53" t="s">
        <v>395</v>
      </c>
      <c r="O53">
        <v>7.97</v>
      </c>
    </row>
    <row r="54" spans="1:15" x14ac:dyDescent="0.25">
      <c r="A54" t="s">
        <v>471</v>
      </c>
      <c r="B54">
        <v>4798</v>
      </c>
      <c r="C54" t="s">
        <v>458</v>
      </c>
      <c r="D54" s="609">
        <v>45076</v>
      </c>
      <c r="E54">
        <v>3130</v>
      </c>
      <c r="F54">
        <v>1</v>
      </c>
      <c r="G54">
        <v>0</v>
      </c>
      <c r="H54" t="s">
        <v>439</v>
      </c>
      <c r="I54" t="s">
        <v>393</v>
      </c>
      <c r="J54">
        <v>4387</v>
      </c>
      <c r="K54" t="s">
        <v>394</v>
      </c>
      <c r="L54">
        <v>0</v>
      </c>
      <c r="M54">
        <v>2.14</v>
      </c>
      <c r="N54" t="s">
        <v>395</v>
      </c>
      <c r="O54">
        <v>1.75</v>
      </c>
    </row>
    <row r="55" spans="1:15" x14ac:dyDescent="0.25">
      <c r="A55" t="s">
        <v>471</v>
      </c>
      <c r="B55">
        <v>4798</v>
      </c>
      <c r="C55" t="s">
        <v>458</v>
      </c>
      <c r="D55" s="609">
        <v>45076</v>
      </c>
      <c r="E55">
        <v>3130</v>
      </c>
      <c r="F55">
        <v>1</v>
      </c>
      <c r="G55">
        <v>0</v>
      </c>
      <c r="H55" t="s">
        <v>439</v>
      </c>
      <c r="I55" t="s">
        <v>393</v>
      </c>
      <c r="J55">
        <v>1734.6</v>
      </c>
      <c r="K55" t="s">
        <v>394</v>
      </c>
      <c r="L55">
        <v>0</v>
      </c>
      <c r="M55">
        <v>0.84</v>
      </c>
      <c r="N55" t="s">
        <v>395</v>
      </c>
      <c r="O55">
        <v>0.69</v>
      </c>
    </row>
    <row r="56" spans="1:15" x14ac:dyDescent="0.25">
      <c r="A56" t="s">
        <v>471</v>
      </c>
      <c r="B56">
        <v>4798</v>
      </c>
      <c r="C56" t="s">
        <v>458</v>
      </c>
      <c r="D56" s="609">
        <v>45076</v>
      </c>
      <c r="E56">
        <v>3130</v>
      </c>
      <c r="F56">
        <v>1</v>
      </c>
      <c r="G56">
        <v>0</v>
      </c>
      <c r="H56" t="s">
        <v>439</v>
      </c>
      <c r="I56" t="s">
        <v>393</v>
      </c>
      <c r="J56">
        <v>16289</v>
      </c>
      <c r="K56" t="s">
        <v>394</v>
      </c>
      <c r="L56">
        <v>0</v>
      </c>
      <c r="M56">
        <v>7.93</v>
      </c>
      <c r="N56" t="s">
        <v>395</v>
      </c>
      <c r="O56">
        <v>6.52</v>
      </c>
    </row>
    <row r="57" spans="1:15" x14ac:dyDescent="0.25">
      <c r="A57" t="s">
        <v>471</v>
      </c>
      <c r="B57">
        <v>4798</v>
      </c>
      <c r="C57" t="s">
        <v>458</v>
      </c>
      <c r="D57" s="609">
        <v>45076</v>
      </c>
      <c r="E57">
        <v>3130</v>
      </c>
      <c r="F57">
        <v>1</v>
      </c>
      <c r="G57">
        <v>0</v>
      </c>
      <c r="H57" t="s">
        <v>439</v>
      </c>
      <c r="I57" t="s">
        <v>393</v>
      </c>
      <c r="J57">
        <v>5613.5</v>
      </c>
      <c r="K57" t="s">
        <v>394</v>
      </c>
      <c r="L57">
        <v>0</v>
      </c>
      <c r="M57">
        <v>2.73</v>
      </c>
      <c r="N57" t="s">
        <v>395</v>
      </c>
      <c r="O57">
        <v>2.25</v>
      </c>
    </row>
    <row r="58" spans="1:15" x14ac:dyDescent="0.25">
      <c r="A58" t="s">
        <v>471</v>
      </c>
      <c r="B58">
        <v>4798</v>
      </c>
      <c r="C58" t="s">
        <v>458</v>
      </c>
      <c r="D58" s="609">
        <v>45076</v>
      </c>
      <c r="E58">
        <v>3130</v>
      </c>
      <c r="F58">
        <v>1</v>
      </c>
      <c r="G58">
        <v>0</v>
      </c>
      <c r="H58" t="s">
        <v>439</v>
      </c>
      <c r="I58" t="s">
        <v>393</v>
      </c>
      <c r="J58">
        <v>1744.65</v>
      </c>
      <c r="K58" t="s">
        <v>394</v>
      </c>
      <c r="L58">
        <v>0</v>
      </c>
      <c r="M58">
        <v>0.85</v>
      </c>
      <c r="N58" t="s">
        <v>395</v>
      </c>
      <c r="O58">
        <v>0.7</v>
      </c>
    </row>
    <row r="59" spans="1:15" x14ac:dyDescent="0.25">
      <c r="A59" t="s">
        <v>471</v>
      </c>
      <c r="B59">
        <v>4798</v>
      </c>
      <c r="C59" t="s">
        <v>458</v>
      </c>
      <c r="D59" s="609">
        <v>45076</v>
      </c>
      <c r="E59">
        <v>3130</v>
      </c>
      <c r="F59">
        <v>1</v>
      </c>
      <c r="G59">
        <v>0</v>
      </c>
      <c r="H59" t="s">
        <v>439</v>
      </c>
      <c r="I59" t="s">
        <v>393</v>
      </c>
      <c r="J59">
        <v>5815.5</v>
      </c>
      <c r="K59" t="s">
        <v>394</v>
      </c>
      <c r="L59">
        <v>0</v>
      </c>
      <c r="M59">
        <v>2.83</v>
      </c>
      <c r="N59" t="s">
        <v>395</v>
      </c>
      <c r="O59">
        <v>2.33</v>
      </c>
    </row>
    <row r="60" spans="1:15" x14ac:dyDescent="0.25">
      <c r="A60" t="s">
        <v>471</v>
      </c>
      <c r="B60">
        <v>4798</v>
      </c>
      <c r="C60" t="s">
        <v>458</v>
      </c>
      <c r="D60" s="609">
        <v>45076</v>
      </c>
      <c r="E60">
        <v>3130</v>
      </c>
      <c r="F60">
        <v>1</v>
      </c>
      <c r="G60">
        <v>0</v>
      </c>
      <c r="H60" t="s">
        <v>439</v>
      </c>
      <c r="I60" t="s">
        <v>393</v>
      </c>
      <c r="J60">
        <v>1401.9</v>
      </c>
      <c r="K60" t="s">
        <v>394</v>
      </c>
      <c r="L60">
        <v>0</v>
      </c>
      <c r="M60">
        <v>0.68</v>
      </c>
      <c r="N60" t="s">
        <v>395</v>
      </c>
      <c r="O60">
        <v>0.56000000000000005</v>
      </c>
    </row>
    <row r="61" spans="1:15" x14ac:dyDescent="0.25">
      <c r="A61" t="s">
        <v>471</v>
      </c>
      <c r="B61">
        <v>4798</v>
      </c>
      <c r="C61" t="s">
        <v>458</v>
      </c>
      <c r="D61" s="609">
        <v>45076</v>
      </c>
      <c r="E61">
        <v>3130</v>
      </c>
      <c r="F61">
        <v>1</v>
      </c>
      <c r="G61">
        <v>0</v>
      </c>
      <c r="H61" t="s">
        <v>439</v>
      </c>
      <c r="I61" t="s">
        <v>393</v>
      </c>
      <c r="J61">
        <v>1983.7</v>
      </c>
      <c r="K61" t="s">
        <v>394</v>
      </c>
      <c r="L61">
        <v>0</v>
      </c>
      <c r="M61">
        <v>0.97</v>
      </c>
      <c r="N61" t="s">
        <v>395</v>
      </c>
      <c r="O61">
        <v>0.79</v>
      </c>
    </row>
    <row r="62" spans="1:15" x14ac:dyDescent="0.25">
      <c r="A62" t="s">
        <v>471</v>
      </c>
      <c r="B62">
        <v>4799</v>
      </c>
      <c r="C62" t="s">
        <v>458</v>
      </c>
      <c r="D62" s="609">
        <v>45076</v>
      </c>
      <c r="E62">
        <v>3130</v>
      </c>
      <c r="F62">
        <v>1</v>
      </c>
      <c r="G62">
        <v>0</v>
      </c>
      <c r="H62" t="s">
        <v>439</v>
      </c>
      <c r="I62" t="s">
        <v>393</v>
      </c>
      <c r="J62">
        <v>152447.5</v>
      </c>
      <c r="K62" t="s">
        <v>394</v>
      </c>
      <c r="L62">
        <v>0</v>
      </c>
      <c r="M62">
        <v>74.209999999999994</v>
      </c>
      <c r="N62" t="s">
        <v>395</v>
      </c>
      <c r="O62">
        <v>60.98</v>
      </c>
    </row>
    <row r="63" spans="1:15" x14ac:dyDescent="0.25">
      <c r="A63" t="s">
        <v>471</v>
      </c>
      <c r="B63">
        <v>4799</v>
      </c>
      <c r="C63" t="s">
        <v>458</v>
      </c>
      <c r="D63" s="609">
        <v>45076</v>
      </c>
      <c r="E63">
        <v>3130</v>
      </c>
      <c r="F63">
        <v>1</v>
      </c>
      <c r="G63">
        <v>0</v>
      </c>
      <c r="H63" t="s">
        <v>439</v>
      </c>
      <c r="I63" t="s">
        <v>393</v>
      </c>
      <c r="J63">
        <v>55502.85</v>
      </c>
      <c r="K63" t="s">
        <v>394</v>
      </c>
      <c r="L63">
        <v>0</v>
      </c>
      <c r="M63">
        <v>27.02</v>
      </c>
      <c r="N63" t="s">
        <v>395</v>
      </c>
      <c r="O63">
        <v>22.2</v>
      </c>
    </row>
    <row r="64" spans="1:15" x14ac:dyDescent="0.25">
      <c r="A64" t="s">
        <v>471</v>
      </c>
      <c r="B64">
        <v>4799</v>
      </c>
      <c r="C64" t="s">
        <v>458</v>
      </c>
      <c r="D64" s="609">
        <v>45076</v>
      </c>
      <c r="E64">
        <v>3130</v>
      </c>
      <c r="F64">
        <v>1</v>
      </c>
      <c r="G64">
        <v>0</v>
      </c>
      <c r="H64" t="s">
        <v>439</v>
      </c>
      <c r="I64" t="s">
        <v>393</v>
      </c>
      <c r="J64">
        <v>532244</v>
      </c>
      <c r="K64" t="s">
        <v>394</v>
      </c>
      <c r="L64">
        <v>0</v>
      </c>
      <c r="M64">
        <v>259.08999999999997</v>
      </c>
      <c r="N64" t="s">
        <v>395</v>
      </c>
      <c r="O64">
        <v>212.9</v>
      </c>
    </row>
    <row r="65" spans="1:15" x14ac:dyDescent="0.25">
      <c r="A65" t="s">
        <v>471</v>
      </c>
      <c r="B65">
        <v>4799</v>
      </c>
      <c r="C65" t="s">
        <v>458</v>
      </c>
      <c r="D65" s="609">
        <v>45076</v>
      </c>
      <c r="E65">
        <v>3130</v>
      </c>
      <c r="F65">
        <v>1</v>
      </c>
      <c r="G65">
        <v>0</v>
      </c>
      <c r="H65" t="s">
        <v>439</v>
      </c>
      <c r="I65" t="s">
        <v>393</v>
      </c>
      <c r="J65">
        <v>286764.79999999999</v>
      </c>
      <c r="K65" t="s">
        <v>394</v>
      </c>
      <c r="L65">
        <v>0</v>
      </c>
      <c r="M65">
        <v>139.59</v>
      </c>
      <c r="N65" t="s">
        <v>395</v>
      </c>
      <c r="O65">
        <v>114.71</v>
      </c>
    </row>
    <row r="66" spans="1:15" x14ac:dyDescent="0.25">
      <c r="A66" t="s">
        <v>471</v>
      </c>
      <c r="B66">
        <v>4799</v>
      </c>
      <c r="C66" t="s">
        <v>458</v>
      </c>
      <c r="D66" s="609">
        <v>45076</v>
      </c>
      <c r="E66">
        <v>3130</v>
      </c>
      <c r="F66">
        <v>1</v>
      </c>
      <c r="G66">
        <v>0</v>
      </c>
      <c r="H66" t="s">
        <v>439</v>
      </c>
      <c r="I66" t="s">
        <v>393</v>
      </c>
      <c r="J66">
        <v>55848.3</v>
      </c>
      <c r="K66" t="s">
        <v>394</v>
      </c>
      <c r="L66">
        <v>0</v>
      </c>
      <c r="M66">
        <v>27.19</v>
      </c>
      <c r="N66" t="s">
        <v>395</v>
      </c>
      <c r="O66">
        <v>22.34</v>
      </c>
    </row>
    <row r="67" spans="1:15" x14ac:dyDescent="0.25">
      <c r="A67" t="s">
        <v>471</v>
      </c>
      <c r="B67">
        <v>4799</v>
      </c>
      <c r="C67" t="s">
        <v>458</v>
      </c>
      <c r="D67" s="609">
        <v>45076</v>
      </c>
      <c r="E67">
        <v>3130</v>
      </c>
      <c r="F67">
        <v>1</v>
      </c>
      <c r="G67">
        <v>0</v>
      </c>
      <c r="H67" t="s">
        <v>439</v>
      </c>
      <c r="I67" t="s">
        <v>393</v>
      </c>
      <c r="J67">
        <v>297857.59999999998</v>
      </c>
      <c r="K67" t="s">
        <v>394</v>
      </c>
      <c r="L67">
        <v>0</v>
      </c>
      <c r="M67">
        <v>144.99</v>
      </c>
      <c r="N67" t="s">
        <v>395</v>
      </c>
      <c r="O67">
        <v>119.14</v>
      </c>
    </row>
    <row r="68" spans="1:15" x14ac:dyDescent="0.25">
      <c r="A68" t="s">
        <v>471</v>
      </c>
      <c r="B68">
        <v>4799</v>
      </c>
      <c r="C68" t="s">
        <v>458</v>
      </c>
      <c r="D68" s="609">
        <v>45076</v>
      </c>
      <c r="E68">
        <v>3130</v>
      </c>
      <c r="F68">
        <v>1</v>
      </c>
      <c r="G68">
        <v>0</v>
      </c>
      <c r="H68" t="s">
        <v>439</v>
      </c>
      <c r="I68" t="s">
        <v>393</v>
      </c>
      <c r="J68">
        <v>40032.9</v>
      </c>
      <c r="K68" t="s">
        <v>394</v>
      </c>
      <c r="L68">
        <v>0</v>
      </c>
      <c r="M68">
        <v>19.489999999999998</v>
      </c>
      <c r="N68" t="s">
        <v>395</v>
      </c>
      <c r="O68">
        <v>16.010000000000002</v>
      </c>
    </row>
    <row r="69" spans="1:15" x14ac:dyDescent="0.25">
      <c r="A69" t="s">
        <v>471</v>
      </c>
      <c r="B69">
        <v>4799</v>
      </c>
      <c r="C69" t="s">
        <v>458</v>
      </c>
      <c r="D69" s="609">
        <v>45076</v>
      </c>
      <c r="E69">
        <v>3130</v>
      </c>
      <c r="F69">
        <v>1</v>
      </c>
      <c r="G69">
        <v>0</v>
      </c>
      <c r="H69" t="s">
        <v>439</v>
      </c>
      <c r="I69" t="s">
        <v>393</v>
      </c>
      <c r="J69">
        <v>65749.600000000006</v>
      </c>
      <c r="K69" t="s">
        <v>394</v>
      </c>
      <c r="L69">
        <v>0</v>
      </c>
      <c r="M69">
        <v>32.01</v>
      </c>
      <c r="N69" t="s">
        <v>395</v>
      </c>
      <c r="O69">
        <v>26.3</v>
      </c>
    </row>
    <row r="70" spans="1:15" x14ac:dyDescent="0.25">
      <c r="A70" t="s">
        <v>471</v>
      </c>
      <c r="B70">
        <v>4799</v>
      </c>
      <c r="C70" t="s">
        <v>458</v>
      </c>
      <c r="D70" s="609">
        <v>45076</v>
      </c>
      <c r="E70">
        <v>3110</v>
      </c>
      <c r="F70">
        <v>1</v>
      </c>
      <c r="G70">
        <v>0</v>
      </c>
      <c r="H70" t="s">
        <v>437</v>
      </c>
      <c r="I70" t="s">
        <v>393</v>
      </c>
      <c r="J70">
        <v>1524475</v>
      </c>
      <c r="K70" t="s">
        <v>394</v>
      </c>
      <c r="L70">
        <v>0</v>
      </c>
      <c r="M70">
        <v>742.08</v>
      </c>
      <c r="N70" t="s">
        <v>395</v>
      </c>
      <c r="O70">
        <v>609.79</v>
      </c>
    </row>
    <row r="71" spans="1:15" x14ac:dyDescent="0.25">
      <c r="A71" t="s">
        <v>471</v>
      </c>
      <c r="B71">
        <v>4799</v>
      </c>
      <c r="C71" t="s">
        <v>458</v>
      </c>
      <c r="D71" s="609">
        <v>45076</v>
      </c>
      <c r="E71">
        <v>3110</v>
      </c>
      <c r="F71">
        <v>1</v>
      </c>
      <c r="G71">
        <v>0</v>
      </c>
      <c r="H71" t="s">
        <v>437</v>
      </c>
      <c r="I71" t="s">
        <v>393</v>
      </c>
      <c r="J71">
        <v>595528.80000000005</v>
      </c>
      <c r="K71" t="s">
        <v>394</v>
      </c>
      <c r="L71">
        <v>0</v>
      </c>
      <c r="M71">
        <v>289.89</v>
      </c>
      <c r="N71" t="s">
        <v>395</v>
      </c>
      <c r="O71">
        <v>238.21</v>
      </c>
    </row>
    <row r="72" spans="1:15" x14ac:dyDescent="0.25">
      <c r="A72" t="s">
        <v>471</v>
      </c>
      <c r="B72">
        <v>4799</v>
      </c>
      <c r="C72" t="s">
        <v>458</v>
      </c>
      <c r="D72" s="609">
        <v>45076</v>
      </c>
      <c r="E72">
        <v>3110</v>
      </c>
      <c r="F72">
        <v>1</v>
      </c>
      <c r="G72">
        <v>0</v>
      </c>
      <c r="H72" t="s">
        <v>437</v>
      </c>
      <c r="I72" t="s">
        <v>393</v>
      </c>
      <c r="J72">
        <v>5592445</v>
      </c>
      <c r="K72" t="s">
        <v>394</v>
      </c>
      <c r="L72">
        <v>0</v>
      </c>
      <c r="M72">
        <v>2722.29</v>
      </c>
      <c r="N72" t="s">
        <v>395</v>
      </c>
      <c r="O72">
        <v>2236.98</v>
      </c>
    </row>
    <row r="73" spans="1:15" x14ac:dyDescent="0.25">
      <c r="A73" t="s">
        <v>471</v>
      </c>
      <c r="B73">
        <v>4799</v>
      </c>
      <c r="C73" t="s">
        <v>458</v>
      </c>
      <c r="D73" s="609">
        <v>45076</v>
      </c>
      <c r="E73">
        <v>3110</v>
      </c>
      <c r="F73">
        <v>1</v>
      </c>
      <c r="G73">
        <v>0</v>
      </c>
      <c r="H73" t="s">
        <v>437</v>
      </c>
      <c r="I73" t="s">
        <v>393</v>
      </c>
      <c r="J73">
        <v>3083644.8</v>
      </c>
      <c r="K73" t="s">
        <v>394</v>
      </c>
      <c r="L73">
        <v>0</v>
      </c>
      <c r="M73">
        <v>1501.06</v>
      </c>
      <c r="N73" t="s">
        <v>395</v>
      </c>
      <c r="O73">
        <v>1233.46</v>
      </c>
    </row>
    <row r="74" spans="1:15" x14ac:dyDescent="0.25">
      <c r="A74" t="s">
        <v>471</v>
      </c>
      <c r="B74">
        <v>4799</v>
      </c>
      <c r="C74" t="s">
        <v>458</v>
      </c>
      <c r="D74" s="609">
        <v>45076</v>
      </c>
      <c r="E74">
        <v>3110</v>
      </c>
      <c r="F74">
        <v>1</v>
      </c>
      <c r="G74">
        <v>0</v>
      </c>
      <c r="H74" t="s">
        <v>437</v>
      </c>
      <c r="I74" t="s">
        <v>393</v>
      </c>
      <c r="J74">
        <v>598983.44999999995</v>
      </c>
      <c r="K74" t="s">
        <v>394</v>
      </c>
      <c r="L74">
        <v>0</v>
      </c>
      <c r="M74">
        <v>291.57</v>
      </c>
      <c r="N74" t="s">
        <v>395</v>
      </c>
      <c r="O74">
        <v>239.59</v>
      </c>
    </row>
    <row r="75" spans="1:15" x14ac:dyDescent="0.25">
      <c r="A75" t="s">
        <v>471</v>
      </c>
      <c r="B75">
        <v>4799</v>
      </c>
      <c r="C75" t="s">
        <v>458</v>
      </c>
      <c r="D75" s="609">
        <v>45076</v>
      </c>
      <c r="E75">
        <v>3110</v>
      </c>
      <c r="F75">
        <v>1</v>
      </c>
      <c r="G75">
        <v>0</v>
      </c>
      <c r="H75" t="s">
        <v>437</v>
      </c>
      <c r="I75" t="s">
        <v>393</v>
      </c>
      <c r="J75">
        <v>3194579.2</v>
      </c>
      <c r="K75" t="s">
        <v>394</v>
      </c>
      <c r="L75">
        <v>0</v>
      </c>
      <c r="M75">
        <v>1555.06</v>
      </c>
      <c r="N75" t="s">
        <v>395</v>
      </c>
      <c r="O75">
        <v>1277.83</v>
      </c>
    </row>
    <row r="76" spans="1:15" x14ac:dyDescent="0.25">
      <c r="A76" t="s">
        <v>471</v>
      </c>
      <c r="B76">
        <v>4799</v>
      </c>
      <c r="C76" t="s">
        <v>458</v>
      </c>
      <c r="D76" s="609">
        <v>45076</v>
      </c>
      <c r="E76">
        <v>3110</v>
      </c>
      <c r="F76">
        <v>1</v>
      </c>
      <c r="G76">
        <v>0</v>
      </c>
      <c r="H76" t="s">
        <v>437</v>
      </c>
      <c r="I76" t="s">
        <v>393</v>
      </c>
      <c r="J76">
        <v>481329.9</v>
      </c>
      <c r="K76" t="s">
        <v>394</v>
      </c>
      <c r="L76">
        <v>0</v>
      </c>
      <c r="M76">
        <v>234.3</v>
      </c>
      <c r="N76" t="s">
        <v>395</v>
      </c>
      <c r="O76">
        <v>192.53</v>
      </c>
    </row>
    <row r="77" spans="1:15" x14ac:dyDescent="0.25">
      <c r="A77" t="s">
        <v>471</v>
      </c>
      <c r="B77">
        <v>4799</v>
      </c>
      <c r="C77" t="s">
        <v>458</v>
      </c>
      <c r="D77" s="609">
        <v>45076</v>
      </c>
      <c r="E77">
        <v>3110</v>
      </c>
      <c r="F77">
        <v>1</v>
      </c>
      <c r="G77">
        <v>0</v>
      </c>
      <c r="H77" t="s">
        <v>437</v>
      </c>
      <c r="I77" t="s">
        <v>393</v>
      </c>
      <c r="J77">
        <v>684495.8</v>
      </c>
      <c r="K77" t="s">
        <v>394</v>
      </c>
      <c r="L77">
        <v>0</v>
      </c>
      <c r="M77">
        <v>333.2</v>
      </c>
      <c r="N77" t="s">
        <v>395</v>
      </c>
      <c r="O77">
        <v>273.8</v>
      </c>
    </row>
    <row r="78" spans="1:15" x14ac:dyDescent="0.25">
      <c r="A78" t="s">
        <v>471</v>
      </c>
      <c r="B78">
        <v>4799</v>
      </c>
      <c r="C78" t="s">
        <v>458</v>
      </c>
      <c r="D78" s="609">
        <v>45076</v>
      </c>
      <c r="E78">
        <v>3120</v>
      </c>
      <c r="F78">
        <v>1</v>
      </c>
      <c r="G78">
        <v>0</v>
      </c>
      <c r="H78" t="s">
        <v>438</v>
      </c>
      <c r="I78" t="s">
        <v>393</v>
      </c>
      <c r="J78">
        <v>4410</v>
      </c>
      <c r="K78" t="s">
        <v>394</v>
      </c>
      <c r="L78">
        <v>0</v>
      </c>
      <c r="M78">
        <v>2.15</v>
      </c>
      <c r="N78" t="s">
        <v>395</v>
      </c>
      <c r="O78">
        <v>1.76</v>
      </c>
    </row>
    <row r="79" spans="1:15" x14ac:dyDescent="0.25">
      <c r="A79" t="s">
        <v>471</v>
      </c>
      <c r="B79">
        <v>4799</v>
      </c>
      <c r="C79" t="s">
        <v>458</v>
      </c>
      <c r="D79" s="609">
        <v>45076</v>
      </c>
      <c r="E79">
        <v>3120</v>
      </c>
      <c r="F79">
        <v>1</v>
      </c>
      <c r="G79">
        <v>0</v>
      </c>
      <c r="H79" t="s">
        <v>438</v>
      </c>
      <c r="I79" t="s">
        <v>393</v>
      </c>
      <c r="J79">
        <v>29400</v>
      </c>
      <c r="K79" t="s">
        <v>394</v>
      </c>
      <c r="L79">
        <v>0</v>
      </c>
      <c r="M79">
        <v>14.31</v>
      </c>
      <c r="N79" t="s">
        <v>395</v>
      </c>
      <c r="O79">
        <v>11.76</v>
      </c>
    </row>
    <row r="80" spans="1:15" x14ac:dyDescent="0.25">
      <c r="A80" t="s">
        <v>471</v>
      </c>
      <c r="B80">
        <v>4799</v>
      </c>
      <c r="C80" t="s">
        <v>458</v>
      </c>
      <c r="D80" s="609">
        <v>45076</v>
      </c>
      <c r="E80">
        <v>3120</v>
      </c>
      <c r="F80">
        <v>1</v>
      </c>
      <c r="G80">
        <v>0</v>
      </c>
      <c r="H80" t="s">
        <v>438</v>
      </c>
      <c r="I80" t="s">
        <v>393</v>
      </c>
      <c r="J80">
        <v>23520</v>
      </c>
      <c r="K80" t="s">
        <v>394</v>
      </c>
      <c r="L80">
        <v>0</v>
      </c>
      <c r="M80">
        <v>11.45</v>
      </c>
      <c r="N80" t="s">
        <v>395</v>
      </c>
      <c r="O80">
        <v>9.41</v>
      </c>
    </row>
    <row r="81" spans="1:15" x14ac:dyDescent="0.25">
      <c r="A81" t="s">
        <v>471</v>
      </c>
      <c r="B81">
        <v>4799</v>
      </c>
      <c r="C81" t="s">
        <v>458</v>
      </c>
      <c r="D81" s="609">
        <v>45076</v>
      </c>
      <c r="E81">
        <v>3120</v>
      </c>
      <c r="F81">
        <v>1</v>
      </c>
      <c r="G81">
        <v>0</v>
      </c>
      <c r="H81" t="s">
        <v>438</v>
      </c>
      <c r="I81" t="s">
        <v>393</v>
      </c>
      <c r="J81">
        <v>23520</v>
      </c>
      <c r="K81" t="s">
        <v>394</v>
      </c>
      <c r="L81">
        <v>0</v>
      </c>
      <c r="M81">
        <v>11.45</v>
      </c>
      <c r="N81" t="s">
        <v>395</v>
      </c>
      <c r="O81">
        <v>1.76</v>
      </c>
    </row>
    <row r="82" spans="1:15" x14ac:dyDescent="0.25">
      <c r="A82" t="s">
        <v>471</v>
      </c>
      <c r="B82">
        <v>4799</v>
      </c>
      <c r="C82" t="s">
        <v>458</v>
      </c>
      <c r="D82" s="609">
        <v>45076</v>
      </c>
      <c r="E82">
        <v>3120</v>
      </c>
      <c r="F82">
        <v>1</v>
      </c>
      <c r="G82">
        <v>0</v>
      </c>
      <c r="H82" t="s">
        <v>438</v>
      </c>
      <c r="I82" t="s">
        <v>393</v>
      </c>
      <c r="J82">
        <v>8820</v>
      </c>
      <c r="K82" t="s">
        <v>394</v>
      </c>
      <c r="L82">
        <v>0</v>
      </c>
      <c r="M82">
        <v>4.29</v>
      </c>
      <c r="N82" t="s">
        <v>395</v>
      </c>
      <c r="O82">
        <v>9.41</v>
      </c>
    </row>
    <row r="83" spans="1:15" x14ac:dyDescent="0.25">
      <c r="A83" t="s">
        <v>471</v>
      </c>
      <c r="B83">
        <v>4799</v>
      </c>
      <c r="C83" t="s">
        <v>458</v>
      </c>
      <c r="D83" s="609">
        <v>45076</v>
      </c>
      <c r="E83">
        <v>3120</v>
      </c>
      <c r="F83">
        <v>1</v>
      </c>
      <c r="G83">
        <v>0</v>
      </c>
      <c r="H83" t="s">
        <v>438</v>
      </c>
      <c r="I83" t="s">
        <v>393</v>
      </c>
      <c r="J83">
        <v>2940</v>
      </c>
      <c r="K83" t="s">
        <v>394</v>
      </c>
      <c r="L83">
        <v>0</v>
      </c>
      <c r="M83">
        <v>1.43</v>
      </c>
      <c r="N83" t="s">
        <v>395</v>
      </c>
      <c r="O83">
        <v>3.53</v>
      </c>
    </row>
    <row r="84" spans="1:15" x14ac:dyDescent="0.25">
      <c r="A84" t="s">
        <v>471</v>
      </c>
      <c r="B84">
        <v>4799</v>
      </c>
      <c r="C84" t="s">
        <v>458</v>
      </c>
      <c r="D84" s="609">
        <v>45076</v>
      </c>
      <c r="E84">
        <v>3120</v>
      </c>
      <c r="F84">
        <v>1</v>
      </c>
      <c r="G84">
        <v>0</v>
      </c>
      <c r="H84" t="s">
        <v>438</v>
      </c>
      <c r="I84" t="s">
        <v>393</v>
      </c>
      <c r="J84">
        <v>4410</v>
      </c>
      <c r="K84" t="s">
        <v>394</v>
      </c>
      <c r="L84">
        <v>0</v>
      </c>
      <c r="M84">
        <v>2.15</v>
      </c>
      <c r="N84" t="s">
        <v>395</v>
      </c>
      <c r="O84">
        <v>1.18</v>
      </c>
    </row>
    <row r="85" spans="1:15" x14ac:dyDescent="0.25">
      <c r="A85" t="s">
        <v>477</v>
      </c>
      <c r="B85">
        <v>4956</v>
      </c>
      <c r="C85" t="s">
        <v>458</v>
      </c>
      <c r="D85" s="609">
        <v>45048</v>
      </c>
      <c r="E85">
        <v>3170</v>
      </c>
      <c r="F85">
        <v>1</v>
      </c>
      <c r="G85">
        <v>0</v>
      </c>
      <c r="H85" t="s">
        <v>478</v>
      </c>
      <c r="I85" t="s">
        <v>393</v>
      </c>
      <c r="J85">
        <v>231094</v>
      </c>
      <c r="K85" t="s">
        <v>394</v>
      </c>
      <c r="L85">
        <v>0</v>
      </c>
      <c r="M85">
        <v>112.49</v>
      </c>
      <c r="N85" t="s">
        <v>395</v>
      </c>
      <c r="O85">
        <v>89.83</v>
      </c>
    </row>
    <row r="86" spans="1:15" x14ac:dyDescent="0.25">
      <c r="A86" t="s">
        <v>477</v>
      </c>
      <c r="B86">
        <v>4956</v>
      </c>
      <c r="C86" t="s">
        <v>458</v>
      </c>
      <c r="D86" s="609">
        <v>45048</v>
      </c>
      <c r="E86">
        <v>3170</v>
      </c>
      <c r="F86">
        <v>1</v>
      </c>
      <c r="G86">
        <v>0</v>
      </c>
      <c r="H86" t="s">
        <v>479</v>
      </c>
      <c r="I86" t="s">
        <v>393</v>
      </c>
      <c r="J86">
        <v>410380</v>
      </c>
      <c r="K86" t="s">
        <v>394</v>
      </c>
      <c r="L86">
        <v>0</v>
      </c>
      <c r="M86">
        <v>199.76</v>
      </c>
      <c r="N86" t="s">
        <v>395</v>
      </c>
      <c r="O86">
        <v>159.52000000000001</v>
      </c>
    </row>
    <row r="87" spans="1:15" x14ac:dyDescent="0.25">
      <c r="A87" t="s">
        <v>477</v>
      </c>
      <c r="B87">
        <v>4956</v>
      </c>
      <c r="C87" t="s">
        <v>458</v>
      </c>
      <c r="D87" s="609">
        <v>45048</v>
      </c>
      <c r="E87">
        <v>3170</v>
      </c>
      <c r="F87">
        <v>1</v>
      </c>
      <c r="G87">
        <v>0</v>
      </c>
      <c r="H87" t="s">
        <v>480</v>
      </c>
      <c r="I87" t="s">
        <v>393</v>
      </c>
      <c r="J87">
        <v>1508810</v>
      </c>
      <c r="K87" t="s">
        <v>394</v>
      </c>
      <c r="L87">
        <v>0</v>
      </c>
      <c r="M87">
        <v>734.46</v>
      </c>
      <c r="N87" t="s">
        <v>395</v>
      </c>
      <c r="O87">
        <v>586.49</v>
      </c>
    </row>
    <row r="88" spans="1:15" x14ac:dyDescent="0.25">
      <c r="A88" t="s">
        <v>477</v>
      </c>
      <c r="B88">
        <v>4956</v>
      </c>
      <c r="C88" t="s">
        <v>458</v>
      </c>
      <c r="D88" s="609">
        <v>45048</v>
      </c>
      <c r="E88">
        <v>3170</v>
      </c>
      <c r="F88">
        <v>1</v>
      </c>
      <c r="G88">
        <v>0</v>
      </c>
      <c r="H88" t="s">
        <v>481</v>
      </c>
      <c r="I88" t="s">
        <v>393</v>
      </c>
      <c r="J88">
        <v>47280</v>
      </c>
      <c r="K88" t="s">
        <v>394</v>
      </c>
      <c r="L88">
        <v>0</v>
      </c>
      <c r="M88">
        <v>23.01</v>
      </c>
      <c r="N88" t="s">
        <v>395</v>
      </c>
      <c r="O88">
        <v>18.38</v>
      </c>
    </row>
    <row r="89" spans="1:15" x14ac:dyDescent="0.25">
      <c r="A89" t="s">
        <v>477</v>
      </c>
      <c r="B89">
        <v>4956</v>
      </c>
      <c r="C89" t="s">
        <v>458</v>
      </c>
      <c r="D89" s="609">
        <v>45048</v>
      </c>
      <c r="E89">
        <v>3170</v>
      </c>
      <c r="F89">
        <v>1</v>
      </c>
      <c r="G89">
        <v>0</v>
      </c>
      <c r="H89" t="s">
        <v>482</v>
      </c>
      <c r="I89" t="s">
        <v>393</v>
      </c>
      <c r="J89">
        <v>85664</v>
      </c>
      <c r="K89" t="s">
        <v>394</v>
      </c>
      <c r="L89">
        <v>0</v>
      </c>
      <c r="M89">
        <v>41.7</v>
      </c>
      <c r="N89" t="s">
        <v>395</v>
      </c>
      <c r="O89">
        <v>33.299999999999997</v>
      </c>
    </row>
    <row r="90" spans="1:15" x14ac:dyDescent="0.25">
      <c r="A90" t="s">
        <v>477</v>
      </c>
      <c r="B90">
        <v>4956</v>
      </c>
      <c r="C90" t="s">
        <v>458</v>
      </c>
      <c r="D90" s="609">
        <v>45048</v>
      </c>
      <c r="E90">
        <v>3170</v>
      </c>
      <c r="F90">
        <v>1</v>
      </c>
      <c r="G90">
        <v>0</v>
      </c>
      <c r="H90" t="s">
        <v>483</v>
      </c>
      <c r="I90" t="s">
        <v>393</v>
      </c>
      <c r="J90">
        <v>2007034</v>
      </c>
      <c r="K90" t="s">
        <v>394</v>
      </c>
      <c r="L90">
        <v>0</v>
      </c>
      <c r="M90">
        <v>976.98</v>
      </c>
      <c r="N90" t="s">
        <v>395</v>
      </c>
      <c r="O90">
        <v>780.15</v>
      </c>
    </row>
    <row r="91" spans="1:15" x14ac:dyDescent="0.25">
      <c r="A91" t="s">
        <v>477</v>
      </c>
      <c r="B91">
        <v>4956</v>
      </c>
      <c r="C91" t="s">
        <v>458</v>
      </c>
      <c r="D91" s="609">
        <v>45048</v>
      </c>
      <c r="E91">
        <v>3170</v>
      </c>
      <c r="F91">
        <v>1</v>
      </c>
      <c r="G91">
        <v>0</v>
      </c>
      <c r="H91" t="s">
        <v>484</v>
      </c>
      <c r="I91" t="s">
        <v>393</v>
      </c>
      <c r="J91">
        <v>1942838</v>
      </c>
      <c r="K91" t="s">
        <v>394</v>
      </c>
      <c r="L91">
        <v>0</v>
      </c>
      <c r="M91">
        <v>945.73</v>
      </c>
      <c r="N91" t="s">
        <v>395</v>
      </c>
      <c r="O91">
        <v>755.2</v>
      </c>
    </row>
    <row r="92" spans="1:15" x14ac:dyDescent="0.25">
      <c r="A92" t="s">
        <v>491</v>
      </c>
      <c r="B92">
        <v>4955</v>
      </c>
      <c r="C92" t="s">
        <v>458</v>
      </c>
      <c r="D92" s="609">
        <v>45048</v>
      </c>
      <c r="E92">
        <v>3170</v>
      </c>
      <c r="F92">
        <v>1</v>
      </c>
      <c r="G92">
        <v>0</v>
      </c>
      <c r="H92" t="s">
        <v>492</v>
      </c>
      <c r="I92" t="s">
        <v>393</v>
      </c>
      <c r="J92">
        <v>149131</v>
      </c>
      <c r="K92" t="s">
        <v>394</v>
      </c>
      <c r="L92">
        <v>0</v>
      </c>
      <c r="M92">
        <v>72.59</v>
      </c>
      <c r="N92" t="s">
        <v>395</v>
      </c>
      <c r="O92">
        <v>57.97</v>
      </c>
    </row>
    <row r="93" spans="1:15" x14ac:dyDescent="0.25">
      <c r="A93" t="s">
        <v>491</v>
      </c>
      <c r="B93">
        <v>4955</v>
      </c>
      <c r="C93" t="s">
        <v>458</v>
      </c>
      <c r="D93" s="609">
        <v>45048</v>
      </c>
      <c r="E93">
        <v>3170</v>
      </c>
      <c r="F93">
        <v>1</v>
      </c>
      <c r="G93">
        <v>0</v>
      </c>
      <c r="H93" t="s">
        <v>493</v>
      </c>
      <c r="I93" t="s">
        <v>393</v>
      </c>
      <c r="J93">
        <v>29364</v>
      </c>
      <c r="K93" t="s">
        <v>394</v>
      </c>
      <c r="L93">
        <v>0</v>
      </c>
      <c r="M93">
        <v>14.29</v>
      </c>
      <c r="N93" t="s">
        <v>395</v>
      </c>
      <c r="O93">
        <v>11.41</v>
      </c>
    </row>
    <row r="94" spans="1:15" x14ac:dyDescent="0.25">
      <c r="A94" t="s">
        <v>491</v>
      </c>
      <c r="B94">
        <v>4955</v>
      </c>
      <c r="C94" t="s">
        <v>458</v>
      </c>
      <c r="D94" s="609">
        <v>45048</v>
      </c>
      <c r="E94">
        <v>3170</v>
      </c>
      <c r="F94">
        <v>1</v>
      </c>
      <c r="G94">
        <v>0</v>
      </c>
      <c r="H94" t="s">
        <v>494</v>
      </c>
      <c r="I94" t="s">
        <v>393</v>
      </c>
      <c r="J94">
        <v>62043</v>
      </c>
      <c r="K94" t="s">
        <v>394</v>
      </c>
      <c r="L94">
        <v>0</v>
      </c>
      <c r="M94">
        <v>30.2</v>
      </c>
      <c r="N94" t="s">
        <v>395</v>
      </c>
      <c r="O94">
        <v>24.12</v>
      </c>
    </row>
    <row r="95" spans="1:15" x14ac:dyDescent="0.25">
      <c r="A95" t="s">
        <v>491</v>
      </c>
      <c r="B95">
        <v>4955</v>
      </c>
      <c r="C95" t="s">
        <v>458</v>
      </c>
      <c r="D95" s="609">
        <v>45048</v>
      </c>
      <c r="E95">
        <v>3170</v>
      </c>
      <c r="F95">
        <v>1</v>
      </c>
      <c r="G95">
        <v>0</v>
      </c>
      <c r="H95" t="s">
        <v>495</v>
      </c>
      <c r="I95" t="s">
        <v>393</v>
      </c>
      <c r="J95">
        <v>10251</v>
      </c>
      <c r="K95" t="s">
        <v>394</v>
      </c>
      <c r="L95">
        <v>0</v>
      </c>
      <c r="M95">
        <v>4.99</v>
      </c>
      <c r="N95" t="s">
        <v>395</v>
      </c>
      <c r="O95">
        <v>3.98</v>
      </c>
    </row>
    <row r="96" spans="1:15" x14ac:dyDescent="0.25">
      <c r="A96" t="s">
        <v>491</v>
      </c>
      <c r="B96">
        <v>4955</v>
      </c>
      <c r="C96" t="s">
        <v>458</v>
      </c>
      <c r="D96" s="609">
        <v>45048</v>
      </c>
      <c r="E96">
        <v>3170</v>
      </c>
      <c r="F96">
        <v>1</v>
      </c>
      <c r="G96">
        <v>0</v>
      </c>
      <c r="H96" t="s">
        <v>496</v>
      </c>
      <c r="I96" t="s">
        <v>393</v>
      </c>
      <c r="J96">
        <v>508317</v>
      </c>
      <c r="K96" t="s">
        <v>394</v>
      </c>
      <c r="L96">
        <v>0</v>
      </c>
      <c r="M96">
        <v>247.44</v>
      </c>
      <c r="N96" t="s">
        <v>395</v>
      </c>
      <c r="O96">
        <v>197.59</v>
      </c>
    </row>
    <row r="97" spans="1:15" x14ac:dyDescent="0.25">
      <c r="A97" t="s">
        <v>491</v>
      </c>
      <c r="B97">
        <v>4955</v>
      </c>
      <c r="C97" t="s">
        <v>458</v>
      </c>
      <c r="D97" s="609">
        <v>45048</v>
      </c>
      <c r="E97">
        <v>3170</v>
      </c>
      <c r="F97">
        <v>1</v>
      </c>
      <c r="G97">
        <v>0</v>
      </c>
      <c r="H97" t="s">
        <v>497</v>
      </c>
      <c r="I97" t="s">
        <v>393</v>
      </c>
      <c r="J97">
        <v>306966</v>
      </c>
      <c r="K97" t="s">
        <v>394</v>
      </c>
      <c r="L97">
        <v>0</v>
      </c>
      <c r="M97">
        <v>149.41999999999999</v>
      </c>
      <c r="N97" t="s">
        <v>395</v>
      </c>
      <c r="O97">
        <v>119.32</v>
      </c>
    </row>
    <row r="98" spans="1:15" x14ac:dyDescent="0.25">
      <c r="A98" t="s">
        <v>491</v>
      </c>
      <c r="B98">
        <v>4955</v>
      </c>
      <c r="C98" t="s">
        <v>458</v>
      </c>
      <c r="D98" s="609">
        <v>45048</v>
      </c>
      <c r="E98">
        <v>3170</v>
      </c>
      <c r="F98">
        <v>1</v>
      </c>
      <c r="G98">
        <v>0</v>
      </c>
      <c r="H98" t="s">
        <v>498</v>
      </c>
      <c r="I98" t="s">
        <v>393</v>
      </c>
      <c r="J98">
        <v>286157</v>
      </c>
      <c r="K98" t="s">
        <v>394</v>
      </c>
      <c r="L98">
        <v>0</v>
      </c>
      <c r="M98">
        <v>139.30000000000001</v>
      </c>
      <c r="N98" t="s">
        <v>395</v>
      </c>
      <c r="O98">
        <v>111.23</v>
      </c>
    </row>
    <row r="99" spans="1:15" x14ac:dyDescent="0.25">
      <c r="A99" t="s">
        <v>623</v>
      </c>
      <c r="B99">
        <v>5004</v>
      </c>
      <c r="C99" t="s">
        <v>628</v>
      </c>
      <c r="D99" s="609">
        <v>45079</v>
      </c>
      <c r="E99">
        <v>3170</v>
      </c>
      <c r="F99">
        <v>1</v>
      </c>
      <c r="G99" t="s">
        <v>1543</v>
      </c>
      <c r="H99" t="s">
        <v>631</v>
      </c>
      <c r="I99" t="s">
        <v>393</v>
      </c>
      <c r="J99">
        <v>80000</v>
      </c>
      <c r="K99" t="s">
        <v>394</v>
      </c>
      <c r="L99">
        <v>0</v>
      </c>
      <c r="M99">
        <v>28.65</v>
      </c>
      <c r="N99" t="s">
        <v>395</v>
      </c>
      <c r="O99">
        <v>23.11</v>
      </c>
    </row>
    <row r="100" spans="1:15" x14ac:dyDescent="0.25">
      <c r="A100" t="s">
        <v>627</v>
      </c>
      <c r="B100">
        <v>4967</v>
      </c>
      <c r="C100" t="s">
        <v>628</v>
      </c>
      <c r="D100" s="609">
        <v>45107</v>
      </c>
      <c r="E100">
        <v>3130</v>
      </c>
      <c r="F100">
        <v>1</v>
      </c>
      <c r="G100" t="s">
        <v>1543</v>
      </c>
      <c r="H100" t="s">
        <v>439</v>
      </c>
      <c r="I100" t="s">
        <v>393</v>
      </c>
      <c r="J100">
        <v>205107.4</v>
      </c>
      <c r="K100" t="s">
        <v>394</v>
      </c>
      <c r="L100">
        <v>0</v>
      </c>
      <c r="M100">
        <v>73.45</v>
      </c>
      <c r="N100" t="s">
        <v>395</v>
      </c>
      <c r="O100">
        <v>61.53</v>
      </c>
    </row>
    <row r="101" spans="1:15" x14ac:dyDescent="0.25">
      <c r="A101" t="s">
        <v>627</v>
      </c>
      <c r="B101">
        <v>4967</v>
      </c>
      <c r="C101" t="s">
        <v>628</v>
      </c>
      <c r="D101" s="609">
        <v>45107</v>
      </c>
      <c r="E101">
        <v>3130</v>
      </c>
      <c r="F101">
        <v>1</v>
      </c>
      <c r="G101" t="s">
        <v>1543</v>
      </c>
      <c r="H101" t="s">
        <v>439</v>
      </c>
      <c r="I101" t="s">
        <v>393</v>
      </c>
      <c r="J101">
        <v>55502.85</v>
      </c>
      <c r="K101" t="s">
        <v>394</v>
      </c>
      <c r="L101">
        <v>0</v>
      </c>
      <c r="M101">
        <v>19.88</v>
      </c>
      <c r="N101" t="s">
        <v>395</v>
      </c>
      <c r="O101">
        <v>16.649999999999999</v>
      </c>
    </row>
    <row r="102" spans="1:15" x14ac:dyDescent="0.25">
      <c r="A102" t="s">
        <v>627</v>
      </c>
      <c r="B102">
        <v>4967</v>
      </c>
      <c r="C102" t="s">
        <v>628</v>
      </c>
      <c r="D102" s="609">
        <v>45107</v>
      </c>
      <c r="E102">
        <v>3130</v>
      </c>
      <c r="F102">
        <v>1</v>
      </c>
      <c r="G102" t="s">
        <v>1543</v>
      </c>
      <c r="H102" t="s">
        <v>439</v>
      </c>
      <c r="I102" t="s">
        <v>393</v>
      </c>
      <c r="J102">
        <v>532244</v>
      </c>
      <c r="K102" t="s">
        <v>394</v>
      </c>
      <c r="L102">
        <v>0</v>
      </c>
      <c r="M102">
        <v>190.6</v>
      </c>
      <c r="N102" t="s">
        <v>395</v>
      </c>
      <c r="O102">
        <v>159.66999999999999</v>
      </c>
    </row>
    <row r="103" spans="1:15" x14ac:dyDescent="0.25">
      <c r="A103" t="s">
        <v>627</v>
      </c>
      <c r="B103">
        <v>4967</v>
      </c>
      <c r="C103" t="s">
        <v>628</v>
      </c>
      <c r="D103" s="609">
        <v>45107</v>
      </c>
      <c r="E103">
        <v>3130</v>
      </c>
      <c r="F103">
        <v>1</v>
      </c>
      <c r="G103" t="s">
        <v>1543</v>
      </c>
      <c r="H103" t="s">
        <v>439</v>
      </c>
      <c r="I103" t="s">
        <v>393</v>
      </c>
      <c r="J103">
        <v>286764.79999999999</v>
      </c>
      <c r="K103" t="s">
        <v>394</v>
      </c>
      <c r="L103">
        <v>0</v>
      </c>
      <c r="M103">
        <v>102.69</v>
      </c>
      <c r="N103" t="s">
        <v>395</v>
      </c>
      <c r="O103">
        <v>86.03</v>
      </c>
    </row>
    <row r="104" spans="1:15" x14ac:dyDescent="0.25">
      <c r="A104" t="s">
        <v>627</v>
      </c>
      <c r="B104">
        <v>4967</v>
      </c>
      <c r="C104" t="s">
        <v>628</v>
      </c>
      <c r="D104" s="609">
        <v>45107</v>
      </c>
      <c r="E104">
        <v>3130</v>
      </c>
      <c r="F104">
        <v>1</v>
      </c>
      <c r="G104" t="s">
        <v>1543</v>
      </c>
      <c r="H104" t="s">
        <v>439</v>
      </c>
      <c r="I104" t="s">
        <v>393</v>
      </c>
      <c r="J104">
        <v>55848.3</v>
      </c>
      <c r="K104" t="s">
        <v>394</v>
      </c>
      <c r="L104">
        <v>0</v>
      </c>
      <c r="M104">
        <v>20</v>
      </c>
      <c r="N104" t="s">
        <v>395</v>
      </c>
      <c r="O104">
        <v>16.75</v>
      </c>
    </row>
    <row r="105" spans="1:15" x14ac:dyDescent="0.25">
      <c r="A105" t="s">
        <v>627</v>
      </c>
      <c r="B105">
        <v>4967</v>
      </c>
      <c r="C105" t="s">
        <v>628</v>
      </c>
      <c r="D105" s="609">
        <v>45107</v>
      </c>
      <c r="E105">
        <v>3130</v>
      </c>
      <c r="F105">
        <v>1</v>
      </c>
      <c r="G105" t="s">
        <v>1543</v>
      </c>
      <c r="H105" t="s">
        <v>439</v>
      </c>
      <c r="I105" t="s">
        <v>393</v>
      </c>
      <c r="J105">
        <v>297857.59999999998</v>
      </c>
      <c r="K105" t="s">
        <v>394</v>
      </c>
      <c r="L105">
        <v>0</v>
      </c>
      <c r="M105">
        <v>106.66</v>
      </c>
      <c r="N105" t="s">
        <v>395</v>
      </c>
      <c r="O105">
        <v>89.36</v>
      </c>
    </row>
    <row r="106" spans="1:15" x14ac:dyDescent="0.25">
      <c r="A106" t="s">
        <v>627</v>
      </c>
      <c r="B106">
        <v>4967</v>
      </c>
      <c r="C106" t="s">
        <v>628</v>
      </c>
      <c r="D106" s="609">
        <v>45107</v>
      </c>
      <c r="E106">
        <v>3130</v>
      </c>
      <c r="F106">
        <v>1</v>
      </c>
      <c r="G106" t="s">
        <v>1543</v>
      </c>
      <c r="H106" t="s">
        <v>439</v>
      </c>
      <c r="I106" t="s">
        <v>393</v>
      </c>
      <c r="J106">
        <v>40032.9</v>
      </c>
      <c r="K106" t="s">
        <v>394</v>
      </c>
      <c r="L106">
        <v>0</v>
      </c>
      <c r="M106">
        <v>14.34</v>
      </c>
      <c r="N106" t="s">
        <v>395</v>
      </c>
      <c r="O106">
        <v>12.01</v>
      </c>
    </row>
    <row r="107" spans="1:15" x14ac:dyDescent="0.25">
      <c r="A107" t="s">
        <v>627</v>
      </c>
      <c r="B107">
        <v>4967</v>
      </c>
      <c r="C107" t="s">
        <v>628</v>
      </c>
      <c r="D107" s="609">
        <v>45107</v>
      </c>
      <c r="E107">
        <v>3130</v>
      </c>
      <c r="F107">
        <v>1</v>
      </c>
      <c r="G107" t="s">
        <v>1543</v>
      </c>
      <c r="H107" t="s">
        <v>439</v>
      </c>
      <c r="I107" t="s">
        <v>393</v>
      </c>
      <c r="J107">
        <v>65749.600000000006</v>
      </c>
      <c r="K107" t="s">
        <v>394</v>
      </c>
      <c r="L107">
        <v>0</v>
      </c>
      <c r="M107">
        <v>23.55</v>
      </c>
      <c r="N107" t="s">
        <v>395</v>
      </c>
      <c r="O107">
        <v>19.72</v>
      </c>
    </row>
    <row r="108" spans="1:15" x14ac:dyDescent="0.25">
      <c r="A108" t="s">
        <v>627</v>
      </c>
      <c r="B108">
        <v>4967</v>
      </c>
      <c r="C108" t="s">
        <v>628</v>
      </c>
      <c r="D108" s="609">
        <v>45107</v>
      </c>
      <c r="E108">
        <v>3120</v>
      </c>
      <c r="F108">
        <v>1</v>
      </c>
      <c r="G108" t="s">
        <v>1543</v>
      </c>
      <c r="H108" t="s">
        <v>438</v>
      </c>
      <c r="I108" t="s">
        <v>393</v>
      </c>
      <c r="J108">
        <v>4410</v>
      </c>
      <c r="K108" t="s">
        <v>394</v>
      </c>
      <c r="L108">
        <v>0</v>
      </c>
      <c r="M108">
        <v>1.58</v>
      </c>
      <c r="N108" t="s">
        <v>395</v>
      </c>
      <c r="O108">
        <v>1.32</v>
      </c>
    </row>
    <row r="109" spans="1:15" x14ac:dyDescent="0.25">
      <c r="A109" t="s">
        <v>627</v>
      </c>
      <c r="B109">
        <v>4967</v>
      </c>
      <c r="C109" t="s">
        <v>628</v>
      </c>
      <c r="D109" s="609">
        <v>45107</v>
      </c>
      <c r="E109">
        <v>3120</v>
      </c>
      <c r="F109">
        <v>1</v>
      </c>
      <c r="G109" t="s">
        <v>1543</v>
      </c>
      <c r="H109" t="s">
        <v>438</v>
      </c>
      <c r="I109" t="s">
        <v>393</v>
      </c>
      <c r="J109">
        <v>29400</v>
      </c>
      <c r="K109" t="s">
        <v>394</v>
      </c>
      <c r="L109">
        <v>0</v>
      </c>
      <c r="M109">
        <v>10.53</v>
      </c>
      <c r="N109" t="s">
        <v>395</v>
      </c>
      <c r="O109">
        <v>8.82</v>
      </c>
    </row>
    <row r="110" spans="1:15" x14ac:dyDescent="0.25">
      <c r="A110" t="s">
        <v>627</v>
      </c>
      <c r="B110">
        <v>4967</v>
      </c>
      <c r="C110" t="s">
        <v>628</v>
      </c>
      <c r="D110" s="609">
        <v>45107</v>
      </c>
      <c r="E110">
        <v>3120</v>
      </c>
      <c r="F110">
        <v>1</v>
      </c>
      <c r="G110" t="s">
        <v>1543</v>
      </c>
      <c r="H110" t="s">
        <v>438</v>
      </c>
      <c r="I110" t="s">
        <v>393</v>
      </c>
      <c r="J110">
        <v>23520</v>
      </c>
      <c r="K110" t="s">
        <v>394</v>
      </c>
      <c r="L110">
        <v>0</v>
      </c>
      <c r="M110">
        <v>8.42</v>
      </c>
      <c r="N110" t="s">
        <v>395</v>
      </c>
      <c r="O110">
        <v>7.06</v>
      </c>
    </row>
    <row r="111" spans="1:15" x14ac:dyDescent="0.25">
      <c r="A111" t="s">
        <v>627</v>
      </c>
      <c r="B111">
        <v>4967</v>
      </c>
      <c r="C111" t="s">
        <v>628</v>
      </c>
      <c r="D111" s="609">
        <v>45107</v>
      </c>
      <c r="E111">
        <v>3120</v>
      </c>
      <c r="F111">
        <v>1</v>
      </c>
      <c r="G111" t="s">
        <v>1543</v>
      </c>
      <c r="H111" t="s">
        <v>438</v>
      </c>
      <c r="I111" t="s">
        <v>393</v>
      </c>
      <c r="J111">
        <v>4410</v>
      </c>
      <c r="K111" t="s">
        <v>394</v>
      </c>
      <c r="L111">
        <v>0</v>
      </c>
      <c r="M111">
        <v>1.58</v>
      </c>
      <c r="N111" t="s">
        <v>395</v>
      </c>
      <c r="O111">
        <v>1.32</v>
      </c>
    </row>
    <row r="112" spans="1:15" x14ac:dyDescent="0.25">
      <c r="A112" t="s">
        <v>627</v>
      </c>
      <c r="B112">
        <v>4967</v>
      </c>
      <c r="C112" t="s">
        <v>628</v>
      </c>
      <c r="D112" s="609">
        <v>45107</v>
      </c>
      <c r="E112">
        <v>3120</v>
      </c>
      <c r="F112">
        <v>1</v>
      </c>
      <c r="G112" t="s">
        <v>1543</v>
      </c>
      <c r="H112" t="s">
        <v>438</v>
      </c>
      <c r="I112" t="s">
        <v>393</v>
      </c>
      <c r="J112">
        <v>23520</v>
      </c>
      <c r="K112" t="s">
        <v>394</v>
      </c>
      <c r="L112">
        <v>0</v>
      </c>
      <c r="M112">
        <v>8.42</v>
      </c>
      <c r="N112" t="s">
        <v>395</v>
      </c>
      <c r="O112">
        <v>7.06</v>
      </c>
    </row>
    <row r="113" spans="1:15" x14ac:dyDescent="0.25">
      <c r="A113" t="s">
        <v>627</v>
      </c>
      <c r="B113">
        <v>4967</v>
      </c>
      <c r="C113" t="s">
        <v>628</v>
      </c>
      <c r="D113" s="609">
        <v>45107</v>
      </c>
      <c r="E113">
        <v>3120</v>
      </c>
      <c r="F113">
        <v>1</v>
      </c>
      <c r="G113" t="s">
        <v>1543</v>
      </c>
      <c r="H113" t="s">
        <v>438</v>
      </c>
      <c r="I113" t="s">
        <v>393</v>
      </c>
      <c r="J113">
        <v>8820</v>
      </c>
      <c r="K113" t="s">
        <v>394</v>
      </c>
      <c r="L113">
        <v>0</v>
      </c>
      <c r="M113">
        <v>3.16</v>
      </c>
      <c r="N113" t="s">
        <v>395</v>
      </c>
      <c r="O113">
        <v>2.65</v>
      </c>
    </row>
    <row r="114" spans="1:15" x14ac:dyDescent="0.25">
      <c r="A114" t="s">
        <v>627</v>
      </c>
      <c r="B114">
        <v>4967</v>
      </c>
      <c r="C114" t="s">
        <v>628</v>
      </c>
      <c r="D114" s="609">
        <v>45107</v>
      </c>
      <c r="E114">
        <v>3120</v>
      </c>
      <c r="F114">
        <v>1</v>
      </c>
      <c r="G114" t="s">
        <v>1543</v>
      </c>
      <c r="H114" t="s">
        <v>438</v>
      </c>
      <c r="I114" t="s">
        <v>393</v>
      </c>
      <c r="J114">
        <v>2940</v>
      </c>
      <c r="K114" t="s">
        <v>394</v>
      </c>
      <c r="L114">
        <v>0</v>
      </c>
      <c r="M114">
        <v>1.05</v>
      </c>
      <c r="N114" t="s">
        <v>395</v>
      </c>
      <c r="O114">
        <v>0.88</v>
      </c>
    </row>
    <row r="115" spans="1:15" x14ac:dyDescent="0.25">
      <c r="A115" t="s">
        <v>627</v>
      </c>
      <c r="B115">
        <v>4967</v>
      </c>
      <c r="C115" t="s">
        <v>628</v>
      </c>
      <c r="D115" s="609">
        <v>45107</v>
      </c>
      <c r="E115">
        <v>3110</v>
      </c>
      <c r="F115">
        <v>1</v>
      </c>
      <c r="G115" t="s">
        <v>1543</v>
      </c>
      <c r="H115" t="s">
        <v>437</v>
      </c>
      <c r="I115" t="s">
        <v>393</v>
      </c>
      <c r="J115">
        <v>2051074.3</v>
      </c>
      <c r="K115" t="s">
        <v>394</v>
      </c>
      <c r="L115">
        <v>0</v>
      </c>
      <c r="M115">
        <v>734.5</v>
      </c>
      <c r="N115" t="s">
        <v>395</v>
      </c>
      <c r="O115">
        <v>615.32000000000005</v>
      </c>
    </row>
    <row r="116" spans="1:15" x14ac:dyDescent="0.25">
      <c r="A116" t="s">
        <v>627</v>
      </c>
      <c r="B116">
        <v>4967</v>
      </c>
      <c r="C116" t="s">
        <v>628</v>
      </c>
      <c r="D116" s="609">
        <v>45107</v>
      </c>
      <c r="E116">
        <v>3110</v>
      </c>
      <c r="F116">
        <v>1</v>
      </c>
      <c r="G116" t="s">
        <v>1543</v>
      </c>
      <c r="H116" t="s">
        <v>437</v>
      </c>
      <c r="I116" t="s">
        <v>393</v>
      </c>
      <c r="J116">
        <v>595528.80000000005</v>
      </c>
      <c r="K116" t="s">
        <v>394</v>
      </c>
      <c r="L116">
        <v>0</v>
      </c>
      <c r="M116">
        <v>213.26</v>
      </c>
      <c r="N116" t="s">
        <v>395</v>
      </c>
      <c r="O116">
        <v>178.66</v>
      </c>
    </row>
    <row r="117" spans="1:15" x14ac:dyDescent="0.25">
      <c r="A117" t="s">
        <v>627</v>
      </c>
      <c r="B117">
        <v>4967</v>
      </c>
      <c r="C117" t="s">
        <v>628</v>
      </c>
      <c r="D117" s="609">
        <v>45107</v>
      </c>
      <c r="E117">
        <v>3110</v>
      </c>
      <c r="F117">
        <v>1</v>
      </c>
      <c r="G117" t="s">
        <v>1543</v>
      </c>
      <c r="H117" t="s">
        <v>437</v>
      </c>
      <c r="I117" t="s">
        <v>393</v>
      </c>
      <c r="J117">
        <v>5592445</v>
      </c>
      <c r="K117" t="s">
        <v>394</v>
      </c>
      <c r="L117">
        <v>0</v>
      </c>
      <c r="M117">
        <v>2002.68</v>
      </c>
      <c r="N117" t="s">
        <v>395</v>
      </c>
      <c r="O117">
        <v>1677.73</v>
      </c>
    </row>
    <row r="118" spans="1:15" x14ac:dyDescent="0.25">
      <c r="A118" t="s">
        <v>627</v>
      </c>
      <c r="B118">
        <v>4967</v>
      </c>
      <c r="C118" t="s">
        <v>628</v>
      </c>
      <c r="D118" s="609">
        <v>45107</v>
      </c>
      <c r="E118">
        <v>3110</v>
      </c>
      <c r="F118">
        <v>1</v>
      </c>
      <c r="G118" t="s">
        <v>1543</v>
      </c>
      <c r="H118" t="s">
        <v>437</v>
      </c>
      <c r="I118" t="s">
        <v>393</v>
      </c>
      <c r="J118">
        <v>3083644.8</v>
      </c>
      <c r="K118" t="s">
        <v>394</v>
      </c>
      <c r="L118">
        <v>0</v>
      </c>
      <c r="M118">
        <v>1104.27</v>
      </c>
      <c r="N118" t="s">
        <v>395</v>
      </c>
      <c r="O118">
        <v>925.09</v>
      </c>
    </row>
    <row r="119" spans="1:15" x14ac:dyDescent="0.25">
      <c r="A119" t="s">
        <v>627</v>
      </c>
      <c r="B119">
        <v>4967</v>
      </c>
      <c r="C119" t="s">
        <v>628</v>
      </c>
      <c r="D119" s="609">
        <v>45107</v>
      </c>
      <c r="E119">
        <v>3110</v>
      </c>
      <c r="F119">
        <v>1</v>
      </c>
      <c r="G119" t="s">
        <v>1543</v>
      </c>
      <c r="H119" t="s">
        <v>437</v>
      </c>
      <c r="I119" t="s">
        <v>393</v>
      </c>
      <c r="J119">
        <v>598983.44999999995</v>
      </c>
      <c r="K119" t="s">
        <v>394</v>
      </c>
      <c r="L119">
        <v>0</v>
      </c>
      <c r="M119">
        <v>214.5</v>
      </c>
      <c r="N119" t="s">
        <v>395</v>
      </c>
      <c r="O119">
        <v>179.7</v>
      </c>
    </row>
    <row r="120" spans="1:15" x14ac:dyDescent="0.25">
      <c r="A120" t="s">
        <v>627</v>
      </c>
      <c r="B120">
        <v>4967</v>
      </c>
      <c r="C120" t="s">
        <v>628</v>
      </c>
      <c r="D120" s="609">
        <v>45107</v>
      </c>
      <c r="E120">
        <v>3110</v>
      </c>
      <c r="F120">
        <v>1</v>
      </c>
      <c r="G120" t="s">
        <v>1543</v>
      </c>
      <c r="H120" t="s">
        <v>437</v>
      </c>
      <c r="I120" t="s">
        <v>393</v>
      </c>
      <c r="J120">
        <v>3194579.2</v>
      </c>
      <c r="K120" t="s">
        <v>394</v>
      </c>
      <c r="L120">
        <v>0</v>
      </c>
      <c r="M120">
        <v>1143.99</v>
      </c>
      <c r="N120" t="s">
        <v>395</v>
      </c>
      <c r="O120">
        <v>958.37</v>
      </c>
    </row>
    <row r="121" spans="1:15" x14ac:dyDescent="0.25">
      <c r="A121" t="s">
        <v>627</v>
      </c>
      <c r="B121">
        <v>4967</v>
      </c>
      <c r="C121" t="s">
        <v>628</v>
      </c>
      <c r="D121" s="609">
        <v>45107</v>
      </c>
      <c r="E121">
        <v>3110</v>
      </c>
      <c r="F121">
        <v>1</v>
      </c>
      <c r="G121" t="s">
        <v>1543</v>
      </c>
      <c r="H121" t="s">
        <v>437</v>
      </c>
      <c r="I121" t="s">
        <v>393</v>
      </c>
      <c r="J121">
        <v>481329.9</v>
      </c>
      <c r="K121" t="s">
        <v>394</v>
      </c>
      <c r="L121">
        <v>0</v>
      </c>
      <c r="M121">
        <v>172.37</v>
      </c>
      <c r="N121" t="s">
        <v>395</v>
      </c>
      <c r="O121">
        <v>144.4</v>
      </c>
    </row>
    <row r="122" spans="1:15" x14ac:dyDescent="0.25">
      <c r="A122" t="s">
        <v>627</v>
      </c>
      <c r="B122">
        <v>4967</v>
      </c>
      <c r="C122" t="s">
        <v>628</v>
      </c>
      <c r="D122" s="609">
        <v>45107</v>
      </c>
      <c r="E122">
        <v>3110</v>
      </c>
      <c r="F122">
        <v>1</v>
      </c>
      <c r="G122" t="s">
        <v>1543</v>
      </c>
      <c r="H122" t="s">
        <v>437</v>
      </c>
      <c r="I122" t="s">
        <v>393</v>
      </c>
      <c r="J122">
        <v>684495.8</v>
      </c>
      <c r="K122" t="s">
        <v>394</v>
      </c>
      <c r="L122">
        <v>0</v>
      </c>
      <c r="M122">
        <v>245.12</v>
      </c>
      <c r="N122" t="s">
        <v>395</v>
      </c>
      <c r="O122">
        <v>205.35</v>
      </c>
    </row>
    <row r="123" spans="1:15" x14ac:dyDescent="0.25">
      <c r="A123" t="s">
        <v>1454</v>
      </c>
      <c r="B123">
        <v>5129</v>
      </c>
      <c r="C123" t="s">
        <v>1429</v>
      </c>
      <c r="D123" s="609">
        <v>45135</v>
      </c>
      <c r="E123">
        <v>3110</v>
      </c>
      <c r="F123">
        <v>1</v>
      </c>
      <c r="G123" t="s">
        <v>1543</v>
      </c>
      <c r="H123" t="s">
        <v>437</v>
      </c>
      <c r="I123" t="s">
        <v>393</v>
      </c>
      <c r="J123">
        <v>2110426.7999999998</v>
      </c>
      <c r="K123" t="s">
        <v>394</v>
      </c>
      <c r="L123">
        <v>3.0000099999999999E-4</v>
      </c>
      <c r="M123">
        <v>752.28</v>
      </c>
      <c r="N123" t="s">
        <v>395</v>
      </c>
      <c r="O123">
        <v>633.13</v>
      </c>
    </row>
    <row r="124" spans="1:15" x14ac:dyDescent="0.25">
      <c r="A124" t="s">
        <v>1454</v>
      </c>
      <c r="B124">
        <v>5129</v>
      </c>
      <c r="C124" t="s">
        <v>1429</v>
      </c>
      <c r="D124" s="609">
        <v>45135</v>
      </c>
      <c r="E124">
        <v>3110</v>
      </c>
      <c r="F124">
        <v>1</v>
      </c>
      <c r="G124" t="s">
        <v>1543</v>
      </c>
      <c r="H124" t="s">
        <v>437</v>
      </c>
      <c r="I124" t="s">
        <v>393</v>
      </c>
      <c r="J124">
        <v>595528.80000000005</v>
      </c>
      <c r="K124" t="s">
        <v>394</v>
      </c>
      <c r="L124">
        <v>3.0000200000000001E-4</v>
      </c>
      <c r="M124">
        <v>212.28</v>
      </c>
      <c r="N124" t="s">
        <v>395</v>
      </c>
      <c r="O124">
        <v>178.66</v>
      </c>
    </row>
    <row r="125" spans="1:15" x14ac:dyDescent="0.25">
      <c r="A125" t="s">
        <v>1454</v>
      </c>
      <c r="B125">
        <v>5129</v>
      </c>
      <c r="C125" t="s">
        <v>1429</v>
      </c>
      <c r="D125" s="609">
        <v>45135</v>
      </c>
      <c r="E125">
        <v>3110</v>
      </c>
      <c r="F125">
        <v>1</v>
      </c>
      <c r="G125" t="s">
        <v>1543</v>
      </c>
      <c r="H125" t="s">
        <v>437</v>
      </c>
      <c r="I125" t="s">
        <v>393</v>
      </c>
      <c r="J125">
        <v>5592445</v>
      </c>
      <c r="K125" t="s">
        <v>394</v>
      </c>
      <c r="L125">
        <v>2.9999900000000001E-4</v>
      </c>
      <c r="M125">
        <v>1993.47</v>
      </c>
      <c r="N125" t="s">
        <v>395</v>
      </c>
      <c r="O125">
        <v>1677.73</v>
      </c>
    </row>
    <row r="126" spans="1:15" x14ac:dyDescent="0.25">
      <c r="A126" t="s">
        <v>1454</v>
      </c>
      <c r="B126">
        <v>5129</v>
      </c>
      <c r="C126" t="s">
        <v>1429</v>
      </c>
      <c r="D126" s="609">
        <v>45135</v>
      </c>
      <c r="E126">
        <v>3110</v>
      </c>
      <c r="F126">
        <v>1</v>
      </c>
      <c r="G126" t="s">
        <v>1543</v>
      </c>
      <c r="H126" t="s">
        <v>437</v>
      </c>
      <c r="I126" t="s">
        <v>393</v>
      </c>
      <c r="J126">
        <v>3083644.8</v>
      </c>
      <c r="K126" t="s">
        <v>394</v>
      </c>
      <c r="L126">
        <v>2.9999900000000001E-4</v>
      </c>
      <c r="M126">
        <v>1099.19</v>
      </c>
      <c r="N126" t="s">
        <v>395</v>
      </c>
      <c r="O126">
        <v>925.09</v>
      </c>
    </row>
    <row r="127" spans="1:15" x14ac:dyDescent="0.25">
      <c r="A127" t="s">
        <v>1454</v>
      </c>
      <c r="B127">
        <v>5129</v>
      </c>
      <c r="C127" t="s">
        <v>1429</v>
      </c>
      <c r="D127" s="609">
        <v>45135</v>
      </c>
      <c r="E127">
        <v>3110</v>
      </c>
      <c r="F127">
        <v>1</v>
      </c>
      <c r="G127" t="s">
        <v>1543</v>
      </c>
      <c r="H127" t="s">
        <v>437</v>
      </c>
      <c r="I127" t="s">
        <v>393</v>
      </c>
      <c r="J127">
        <v>598983.44999999995</v>
      </c>
      <c r="K127" t="s">
        <v>394</v>
      </c>
      <c r="L127">
        <v>3.0000799999999999E-4</v>
      </c>
      <c r="M127">
        <v>213.51</v>
      </c>
      <c r="N127" t="s">
        <v>395</v>
      </c>
      <c r="O127">
        <v>179.7</v>
      </c>
    </row>
    <row r="128" spans="1:15" x14ac:dyDescent="0.25">
      <c r="A128" t="s">
        <v>1454</v>
      </c>
      <c r="B128">
        <v>5129</v>
      </c>
      <c r="C128" t="s">
        <v>1429</v>
      </c>
      <c r="D128" s="609">
        <v>45135</v>
      </c>
      <c r="E128">
        <v>3110</v>
      </c>
      <c r="F128">
        <v>1</v>
      </c>
      <c r="G128" t="s">
        <v>1543</v>
      </c>
      <c r="H128" t="s">
        <v>437</v>
      </c>
      <c r="I128" t="s">
        <v>393</v>
      </c>
      <c r="J128">
        <v>3194579.2</v>
      </c>
      <c r="K128" t="s">
        <v>394</v>
      </c>
      <c r="L128">
        <v>2.9999900000000001E-4</v>
      </c>
      <c r="M128">
        <v>1138.73</v>
      </c>
      <c r="N128" t="s">
        <v>395</v>
      </c>
      <c r="O128">
        <v>958.37</v>
      </c>
    </row>
    <row r="129" spans="1:15" x14ac:dyDescent="0.25">
      <c r="A129" t="s">
        <v>1454</v>
      </c>
      <c r="B129">
        <v>5129</v>
      </c>
      <c r="C129" t="s">
        <v>1429</v>
      </c>
      <c r="D129" s="609">
        <v>45135</v>
      </c>
      <c r="E129">
        <v>3110</v>
      </c>
      <c r="F129">
        <v>1</v>
      </c>
      <c r="G129" t="s">
        <v>1543</v>
      </c>
      <c r="H129" t="s">
        <v>437</v>
      </c>
      <c r="I129" t="s">
        <v>393</v>
      </c>
      <c r="J129">
        <v>802216.5</v>
      </c>
      <c r="K129" t="s">
        <v>394</v>
      </c>
      <c r="L129">
        <v>2.9999399999999999E-4</v>
      </c>
      <c r="M129">
        <v>285.95999999999998</v>
      </c>
      <c r="N129" t="s">
        <v>395</v>
      </c>
      <c r="O129">
        <v>240.66</v>
      </c>
    </row>
    <row r="130" spans="1:15" x14ac:dyDescent="0.25">
      <c r="A130" t="s">
        <v>1454</v>
      </c>
      <c r="B130">
        <v>5129</v>
      </c>
      <c r="C130" t="s">
        <v>1429</v>
      </c>
      <c r="D130" s="609">
        <v>45135</v>
      </c>
      <c r="E130">
        <v>3110</v>
      </c>
      <c r="F130">
        <v>1</v>
      </c>
      <c r="G130" t="s">
        <v>1543</v>
      </c>
      <c r="H130" t="s">
        <v>437</v>
      </c>
      <c r="I130" t="s">
        <v>393</v>
      </c>
      <c r="J130">
        <v>684495.8</v>
      </c>
      <c r="K130" t="s">
        <v>394</v>
      </c>
      <c r="L130">
        <v>3.0000200000000001E-4</v>
      </c>
      <c r="M130">
        <v>243.99</v>
      </c>
      <c r="N130" t="s">
        <v>395</v>
      </c>
      <c r="O130">
        <v>205.35</v>
      </c>
    </row>
    <row r="131" spans="1:15" x14ac:dyDescent="0.25">
      <c r="A131" t="s">
        <v>1454</v>
      </c>
      <c r="B131">
        <v>5129</v>
      </c>
      <c r="C131" t="s">
        <v>1429</v>
      </c>
      <c r="D131" s="609">
        <v>45135</v>
      </c>
      <c r="E131">
        <v>3120</v>
      </c>
      <c r="F131">
        <v>1</v>
      </c>
      <c r="G131" t="s">
        <v>1543</v>
      </c>
      <c r="H131" t="s">
        <v>438</v>
      </c>
      <c r="I131" t="s">
        <v>393</v>
      </c>
      <c r="J131">
        <v>4410</v>
      </c>
      <c r="K131" t="s">
        <v>394</v>
      </c>
      <c r="L131">
        <v>2.9932E-4</v>
      </c>
      <c r="M131">
        <v>1.57</v>
      </c>
      <c r="N131" t="s">
        <v>395</v>
      </c>
      <c r="O131">
        <v>1.32</v>
      </c>
    </row>
    <row r="132" spans="1:15" x14ac:dyDescent="0.25">
      <c r="A132" t="s">
        <v>1454</v>
      </c>
      <c r="B132">
        <v>5129</v>
      </c>
      <c r="C132" t="s">
        <v>1429</v>
      </c>
      <c r="D132" s="609">
        <v>45135</v>
      </c>
      <c r="E132">
        <v>3120</v>
      </c>
      <c r="F132">
        <v>1</v>
      </c>
      <c r="G132" t="s">
        <v>1543</v>
      </c>
      <c r="H132" t="s">
        <v>438</v>
      </c>
      <c r="I132" t="s">
        <v>393</v>
      </c>
      <c r="J132">
        <v>29400</v>
      </c>
      <c r="K132" t="s">
        <v>394</v>
      </c>
      <c r="L132">
        <v>2.9999999999999997E-4</v>
      </c>
      <c r="M132">
        <v>10.48</v>
      </c>
      <c r="N132" t="s">
        <v>395</v>
      </c>
      <c r="O132">
        <v>8.82</v>
      </c>
    </row>
    <row r="133" spans="1:15" x14ac:dyDescent="0.25">
      <c r="A133" t="s">
        <v>1454</v>
      </c>
      <c r="B133">
        <v>5129</v>
      </c>
      <c r="C133" t="s">
        <v>1429</v>
      </c>
      <c r="D133" s="609">
        <v>45135</v>
      </c>
      <c r="E133">
        <v>3120</v>
      </c>
      <c r="F133">
        <v>1</v>
      </c>
      <c r="G133" t="s">
        <v>1543</v>
      </c>
      <c r="H133" t="s">
        <v>438</v>
      </c>
      <c r="I133" t="s">
        <v>393</v>
      </c>
      <c r="J133">
        <v>23520</v>
      </c>
      <c r="K133" t="s">
        <v>394</v>
      </c>
      <c r="L133">
        <v>3.0016999999999999E-4</v>
      </c>
      <c r="M133">
        <v>8.3800000000000008</v>
      </c>
      <c r="N133" t="s">
        <v>395</v>
      </c>
      <c r="O133">
        <v>7.06</v>
      </c>
    </row>
    <row r="134" spans="1:15" x14ac:dyDescent="0.25">
      <c r="A134" t="s">
        <v>1454</v>
      </c>
      <c r="B134">
        <v>5129</v>
      </c>
      <c r="C134" t="s">
        <v>1429</v>
      </c>
      <c r="D134" s="609">
        <v>45135</v>
      </c>
      <c r="E134">
        <v>3120</v>
      </c>
      <c r="F134">
        <v>1</v>
      </c>
      <c r="G134" t="s">
        <v>1543</v>
      </c>
      <c r="H134" t="s">
        <v>438</v>
      </c>
      <c r="I134" t="s">
        <v>393</v>
      </c>
      <c r="J134">
        <v>4410</v>
      </c>
      <c r="K134" t="s">
        <v>394</v>
      </c>
      <c r="L134">
        <v>2.9932E-4</v>
      </c>
      <c r="M134">
        <v>1.57</v>
      </c>
      <c r="N134" t="s">
        <v>395</v>
      </c>
      <c r="O134">
        <v>1.32</v>
      </c>
    </row>
    <row r="135" spans="1:15" x14ac:dyDescent="0.25">
      <c r="A135" t="s">
        <v>1454</v>
      </c>
      <c r="B135">
        <v>5129</v>
      </c>
      <c r="C135" t="s">
        <v>1429</v>
      </c>
      <c r="D135" s="609">
        <v>45135</v>
      </c>
      <c r="E135">
        <v>3120</v>
      </c>
      <c r="F135">
        <v>1</v>
      </c>
      <c r="G135" t="s">
        <v>1543</v>
      </c>
      <c r="H135" t="s">
        <v>438</v>
      </c>
      <c r="I135" t="s">
        <v>393</v>
      </c>
      <c r="J135">
        <v>23520</v>
      </c>
      <c r="K135" t="s">
        <v>394</v>
      </c>
      <c r="L135">
        <v>3.0016999999999999E-4</v>
      </c>
      <c r="M135">
        <v>8.3800000000000008</v>
      </c>
      <c r="N135" t="s">
        <v>395</v>
      </c>
      <c r="O135">
        <v>7.06</v>
      </c>
    </row>
    <row r="136" spans="1:15" x14ac:dyDescent="0.25">
      <c r="A136" t="s">
        <v>1454</v>
      </c>
      <c r="B136">
        <v>5129</v>
      </c>
      <c r="C136" t="s">
        <v>1429</v>
      </c>
      <c r="D136" s="609">
        <v>45135</v>
      </c>
      <c r="E136">
        <v>3120</v>
      </c>
      <c r="F136">
        <v>1</v>
      </c>
      <c r="G136" t="s">
        <v>1543</v>
      </c>
      <c r="H136" t="s">
        <v>438</v>
      </c>
      <c r="I136" t="s">
        <v>393</v>
      </c>
      <c r="J136">
        <v>14700</v>
      </c>
      <c r="K136" t="s">
        <v>394</v>
      </c>
      <c r="L136">
        <v>2.9999999999999997E-4</v>
      </c>
      <c r="M136">
        <v>5.24</v>
      </c>
      <c r="N136" t="s">
        <v>395</v>
      </c>
      <c r="O136">
        <v>4.41</v>
      </c>
    </row>
    <row r="137" spans="1:15" x14ac:dyDescent="0.25">
      <c r="A137" t="s">
        <v>1454</v>
      </c>
      <c r="B137">
        <v>5129</v>
      </c>
      <c r="C137" t="s">
        <v>1429</v>
      </c>
      <c r="D137" s="609">
        <v>45135</v>
      </c>
      <c r="E137">
        <v>3120</v>
      </c>
      <c r="F137">
        <v>1</v>
      </c>
      <c r="G137" t="s">
        <v>1543</v>
      </c>
      <c r="H137" t="s">
        <v>438</v>
      </c>
      <c r="I137" t="s">
        <v>393</v>
      </c>
      <c r="J137">
        <v>2940</v>
      </c>
      <c r="K137" t="s">
        <v>394</v>
      </c>
      <c r="L137">
        <v>2.9932E-4</v>
      </c>
      <c r="M137">
        <v>1.05</v>
      </c>
      <c r="N137" t="s">
        <v>395</v>
      </c>
      <c r="O137">
        <v>0.88</v>
      </c>
    </row>
    <row r="138" spans="1:15" x14ac:dyDescent="0.25">
      <c r="A138" t="s">
        <v>1454</v>
      </c>
      <c r="B138">
        <v>5129</v>
      </c>
      <c r="C138" t="s">
        <v>1429</v>
      </c>
      <c r="D138" s="609">
        <v>45135</v>
      </c>
      <c r="E138">
        <v>3130</v>
      </c>
      <c r="F138">
        <v>1</v>
      </c>
      <c r="G138" t="s">
        <v>1543</v>
      </c>
      <c r="H138" t="s">
        <v>439</v>
      </c>
      <c r="I138" t="s">
        <v>393</v>
      </c>
      <c r="J138">
        <v>211042.7</v>
      </c>
      <c r="K138" t="s">
        <v>394</v>
      </c>
      <c r="L138">
        <v>2.9998699999999999E-4</v>
      </c>
      <c r="M138">
        <v>75.23</v>
      </c>
      <c r="N138" t="s">
        <v>395</v>
      </c>
      <c r="O138">
        <v>63.31</v>
      </c>
    </row>
    <row r="139" spans="1:15" x14ac:dyDescent="0.25">
      <c r="A139" t="s">
        <v>1454</v>
      </c>
      <c r="B139">
        <v>5129</v>
      </c>
      <c r="C139" t="s">
        <v>1429</v>
      </c>
      <c r="D139" s="609">
        <v>45135</v>
      </c>
      <c r="E139">
        <v>3130</v>
      </c>
      <c r="F139">
        <v>1</v>
      </c>
      <c r="G139" t="s">
        <v>1543</v>
      </c>
      <c r="H139" t="s">
        <v>439</v>
      </c>
      <c r="I139" t="s">
        <v>393</v>
      </c>
      <c r="J139">
        <v>55502.85</v>
      </c>
      <c r="K139" t="s">
        <v>394</v>
      </c>
      <c r="L139">
        <v>2.9998500000000001E-4</v>
      </c>
      <c r="M139">
        <v>19.78</v>
      </c>
      <c r="N139" t="s">
        <v>395</v>
      </c>
      <c r="O139">
        <v>16.649999999999999</v>
      </c>
    </row>
    <row r="140" spans="1:15" x14ac:dyDescent="0.25">
      <c r="A140" t="s">
        <v>1454</v>
      </c>
      <c r="B140">
        <v>5129</v>
      </c>
      <c r="C140" t="s">
        <v>1429</v>
      </c>
      <c r="D140" s="609">
        <v>45135</v>
      </c>
      <c r="E140">
        <v>3130</v>
      </c>
      <c r="F140">
        <v>1</v>
      </c>
      <c r="G140" t="s">
        <v>1543</v>
      </c>
      <c r="H140" t="s">
        <v>439</v>
      </c>
      <c r="I140" t="s">
        <v>393</v>
      </c>
      <c r="J140">
        <v>532244</v>
      </c>
      <c r="K140" t="s">
        <v>394</v>
      </c>
      <c r="L140">
        <v>2.9999399999999999E-4</v>
      </c>
      <c r="M140">
        <v>189.72</v>
      </c>
      <c r="N140" t="s">
        <v>395</v>
      </c>
      <c r="O140">
        <v>159.66999999999999</v>
      </c>
    </row>
    <row r="141" spans="1:15" x14ac:dyDescent="0.25">
      <c r="A141" t="s">
        <v>1454</v>
      </c>
      <c r="B141">
        <v>5129</v>
      </c>
      <c r="C141" t="s">
        <v>1429</v>
      </c>
      <c r="D141" s="609">
        <v>45135</v>
      </c>
      <c r="E141">
        <v>3130</v>
      </c>
      <c r="F141">
        <v>1</v>
      </c>
      <c r="G141" t="s">
        <v>1543</v>
      </c>
      <c r="H141" t="s">
        <v>439</v>
      </c>
      <c r="I141" t="s">
        <v>393</v>
      </c>
      <c r="J141">
        <v>286764.79999999999</v>
      </c>
      <c r="K141" t="s">
        <v>394</v>
      </c>
      <c r="L141">
        <v>3.0000200000000001E-4</v>
      </c>
      <c r="M141">
        <v>102.22</v>
      </c>
      <c r="N141" t="s">
        <v>395</v>
      </c>
      <c r="O141">
        <v>86.03</v>
      </c>
    </row>
    <row r="142" spans="1:15" x14ac:dyDescent="0.25">
      <c r="A142" t="s">
        <v>1454</v>
      </c>
      <c r="B142">
        <v>5129</v>
      </c>
      <c r="C142" t="s">
        <v>1429</v>
      </c>
      <c r="D142" s="609">
        <v>45135</v>
      </c>
      <c r="E142">
        <v>3130</v>
      </c>
      <c r="F142">
        <v>1</v>
      </c>
      <c r="G142" t="s">
        <v>1543</v>
      </c>
      <c r="H142" t="s">
        <v>439</v>
      </c>
      <c r="I142" t="s">
        <v>393</v>
      </c>
      <c r="J142">
        <v>55848.3</v>
      </c>
      <c r="K142" t="s">
        <v>394</v>
      </c>
      <c r="L142">
        <v>2.9992000000000002E-4</v>
      </c>
      <c r="M142">
        <v>19.91</v>
      </c>
      <c r="N142" t="s">
        <v>395</v>
      </c>
      <c r="O142">
        <v>16.75</v>
      </c>
    </row>
    <row r="143" spans="1:15" x14ac:dyDescent="0.25">
      <c r="A143" t="s">
        <v>1454</v>
      </c>
      <c r="B143">
        <v>5129</v>
      </c>
      <c r="C143" t="s">
        <v>1429</v>
      </c>
      <c r="D143" s="609">
        <v>45135</v>
      </c>
      <c r="E143">
        <v>3130</v>
      </c>
      <c r="F143">
        <v>1</v>
      </c>
      <c r="G143" t="s">
        <v>1543</v>
      </c>
      <c r="H143" t="s">
        <v>439</v>
      </c>
      <c r="I143" t="s">
        <v>393</v>
      </c>
      <c r="J143">
        <v>297857.59999999998</v>
      </c>
      <c r="K143" t="s">
        <v>394</v>
      </c>
      <c r="L143">
        <v>3.0000900000000001E-4</v>
      </c>
      <c r="M143">
        <v>106.17</v>
      </c>
      <c r="N143" t="s">
        <v>395</v>
      </c>
      <c r="O143">
        <v>89.36</v>
      </c>
    </row>
    <row r="144" spans="1:15" x14ac:dyDescent="0.25">
      <c r="A144" t="s">
        <v>1454</v>
      </c>
      <c r="B144">
        <v>5129</v>
      </c>
      <c r="C144" t="s">
        <v>1429</v>
      </c>
      <c r="D144" s="609">
        <v>45135</v>
      </c>
      <c r="E144">
        <v>3130</v>
      </c>
      <c r="F144">
        <v>1</v>
      </c>
      <c r="G144" t="s">
        <v>1543</v>
      </c>
      <c r="H144" t="s">
        <v>439</v>
      </c>
      <c r="I144" t="s">
        <v>393</v>
      </c>
      <c r="J144">
        <v>66721.5</v>
      </c>
      <c r="K144" t="s">
        <v>394</v>
      </c>
      <c r="L144">
        <v>3.00053E-4</v>
      </c>
      <c r="M144">
        <v>23.78</v>
      </c>
      <c r="N144" t="s">
        <v>395</v>
      </c>
      <c r="O144">
        <v>20.02</v>
      </c>
    </row>
    <row r="145" spans="1:15" x14ac:dyDescent="0.25">
      <c r="A145" t="s">
        <v>1454</v>
      </c>
      <c r="B145">
        <v>5129</v>
      </c>
      <c r="C145" t="s">
        <v>1429</v>
      </c>
      <c r="D145" s="609">
        <v>45135</v>
      </c>
      <c r="E145">
        <v>3130</v>
      </c>
      <c r="F145">
        <v>1</v>
      </c>
      <c r="G145" t="s">
        <v>1543</v>
      </c>
      <c r="H145" t="s">
        <v>439</v>
      </c>
      <c r="I145" t="s">
        <v>393</v>
      </c>
      <c r="J145">
        <v>65749.600000000006</v>
      </c>
      <c r="K145" t="s">
        <v>394</v>
      </c>
      <c r="L145">
        <v>2.99926E-4</v>
      </c>
      <c r="M145">
        <v>23.44</v>
      </c>
      <c r="N145" t="s">
        <v>395</v>
      </c>
      <c r="O145">
        <v>19.72</v>
      </c>
    </row>
    <row r="146" spans="1:15" x14ac:dyDescent="0.25">
      <c r="A146" t="s">
        <v>1456</v>
      </c>
      <c r="B146">
        <v>5173</v>
      </c>
      <c r="C146" t="s">
        <v>1429</v>
      </c>
      <c r="D146" s="609">
        <v>45117</v>
      </c>
      <c r="E146">
        <v>3170</v>
      </c>
      <c r="F146">
        <v>1</v>
      </c>
      <c r="G146" t="s">
        <v>1543</v>
      </c>
      <c r="H146" t="s">
        <v>1457</v>
      </c>
      <c r="I146" t="s">
        <v>393</v>
      </c>
      <c r="J146">
        <v>236398</v>
      </c>
      <c r="K146" t="s">
        <v>394</v>
      </c>
      <c r="L146">
        <v>2.8078499999999998E-4</v>
      </c>
      <c r="M146">
        <v>84.27</v>
      </c>
      <c r="N146" t="s">
        <v>395</v>
      </c>
      <c r="O146">
        <v>66.38</v>
      </c>
    </row>
    <row r="147" spans="1:15" x14ac:dyDescent="0.25">
      <c r="A147" t="s">
        <v>1458</v>
      </c>
      <c r="B147">
        <v>5166</v>
      </c>
      <c r="C147" t="s">
        <v>1429</v>
      </c>
      <c r="D147" s="609">
        <v>45126</v>
      </c>
      <c r="E147">
        <v>3170</v>
      </c>
      <c r="F147">
        <v>1</v>
      </c>
      <c r="G147" t="s">
        <v>1543</v>
      </c>
      <c r="H147" t="s">
        <v>1459</v>
      </c>
      <c r="I147" t="s">
        <v>393</v>
      </c>
      <c r="J147">
        <v>206865</v>
      </c>
      <c r="K147" t="s">
        <v>394</v>
      </c>
      <c r="L147">
        <v>2.8078499999999998E-4</v>
      </c>
      <c r="M147">
        <v>73.739999999999995</v>
      </c>
      <c r="N147" t="s">
        <v>395</v>
      </c>
      <c r="O147">
        <v>58.08</v>
      </c>
    </row>
    <row r="148" spans="1:15" x14ac:dyDescent="0.25">
      <c r="A148" t="s">
        <v>1489</v>
      </c>
      <c r="B148">
        <v>5333</v>
      </c>
      <c r="C148" t="s">
        <v>1469</v>
      </c>
      <c r="D148" s="609">
        <v>45168</v>
      </c>
      <c r="E148">
        <v>3130</v>
      </c>
      <c r="F148">
        <v>1</v>
      </c>
      <c r="G148" t="s">
        <v>1543</v>
      </c>
      <c r="H148" t="s">
        <v>439</v>
      </c>
      <c r="I148" t="s">
        <v>393</v>
      </c>
      <c r="J148">
        <v>215215</v>
      </c>
      <c r="K148" t="s">
        <v>394</v>
      </c>
      <c r="L148">
        <v>2.9997900000000002E-4</v>
      </c>
      <c r="M148">
        <v>76.25</v>
      </c>
      <c r="N148" t="s">
        <v>395</v>
      </c>
      <c r="O148">
        <v>64.56</v>
      </c>
    </row>
    <row r="149" spans="1:15" x14ac:dyDescent="0.25">
      <c r="A149" t="s">
        <v>1489</v>
      </c>
      <c r="B149">
        <v>5333</v>
      </c>
      <c r="C149" t="s">
        <v>1469</v>
      </c>
      <c r="D149" s="609">
        <v>45168</v>
      </c>
      <c r="E149">
        <v>3130</v>
      </c>
      <c r="F149">
        <v>1</v>
      </c>
      <c r="G149" t="s">
        <v>1543</v>
      </c>
      <c r="H149" t="s">
        <v>439</v>
      </c>
      <c r="I149" t="s">
        <v>393</v>
      </c>
      <c r="J149">
        <v>55502.85</v>
      </c>
      <c r="K149" t="s">
        <v>394</v>
      </c>
      <c r="L149">
        <v>2.9998500000000001E-4</v>
      </c>
      <c r="M149">
        <v>19.670000000000002</v>
      </c>
      <c r="N149" t="s">
        <v>395</v>
      </c>
      <c r="O149">
        <v>16.649999999999999</v>
      </c>
    </row>
    <row r="150" spans="1:15" x14ac:dyDescent="0.25">
      <c r="A150" t="s">
        <v>1489</v>
      </c>
      <c r="B150">
        <v>5333</v>
      </c>
      <c r="C150" t="s">
        <v>1469</v>
      </c>
      <c r="D150" s="609">
        <v>45168</v>
      </c>
      <c r="E150">
        <v>3130</v>
      </c>
      <c r="F150">
        <v>1</v>
      </c>
      <c r="G150" t="s">
        <v>1543</v>
      </c>
      <c r="H150" t="s">
        <v>439</v>
      </c>
      <c r="I150" t="s">
        <v>393</v>
      </c>
      <c r="J150">
        <v>532244</v>
      </c>
      <c r="K150" t="s">
        <v>394</v>
      </c>
      <c r="L150">
        <v>2.9999399999999999E-4</v>
      </c>
      <c r="M150">
        <v>188.58</v>
      </c>
      <c r="N150" t="s">
        <v>395</v>
      </c>
      <c r="O150">
        <v>159.66999999999999</v>
      </c>
    </row>
    <row r="151" spans="1:15" x14ac:dyDescent="0.25">
      <c r="A151" t="s">
        <v>1489</v>
      </c>
      <c r="B151">
        <v>5333</v>
      </c>
      <c r="C151" t="s">
        <v>1469</v>
      </c>
      <c r="D151" s="609">
        <v>45168</v>
      </c>
      <c r="E151">
        <v>3130</v>
      </c>
      <c r="F151">
        <v>1</v>
      </c>
      <c r="G151" t="s">
        <v>1543</v>
      </c>
      <c r="H151" t="s">
        <v>439</v>
      </c>
      <c r="I151" t="s">
        <v>393</v>
      </c>
      <c r="J151">
        <v>286764.79999999999</v>
      </c>
      <c r="K151" t="s">
        <v>394</v>
      </c>
      <c r="L151">
        <v>3.0000200000000001E-4</v>
      </c>
      <c r="M151">
        <v>101.6</v>
      </c>
      <c r="N151" t="s">
        <v>395</v>
      </c>
      <c r="O151">
        <v>86.03</v>
      </c>
    </row>
    <row r="152" spans="1:15" x14ac:dyDescent="0.25">
      <c r="A152" t="s">
        <v>1489</v>
      </c>
      <c r="B152">
        <v>5333</v>
      </c>
      <c r="C152" t="s">
        <v>1469</v>
      </c>
      <c r="D152" s="609">
        <v>45168</v>
      </c>
      <c r="E152">
        <v>3130</v>
      </c>
      <c r="F152">
        <v>1</v>
      </c>
      <c r="G152" t="s">
        <v>1543</v>
      </c>
      <c r="H152" t="s">
        <v>439</v>
      </c>
      <c r="I152" t="s">
        <v>393</v>
      </c>
      <c r="J152">
        <v>55848.3</v>
      </c>
      <c r="K152" t="s">
        <v>394</v>
      </c>
      <c r="L152">
        <v>2.9992000000000002E-4</v>
      </c>
      <c r="M152">
        <v>19.79</v>
      </c>
      <c r="N152" t="s">
        <v>395</v>
      </c>
      <c r="O152">
        <v>16.75</v>
      </c>
    </row>
    <row r="153" spans="1:15" x14ac:dyDescent="0.25">
      <c r="A153" t="s">
        <v>1489</v>
      </c>
      <c r="B153">
        <v>5333</v>
      </c>
      <c r="C153" t="s">
        <v>1469</v>
      </c>
      <c r="D153" s="609">
        <v>45168</v>
      </c>
      <c r="E153">
        <v>3130</v>
      </c>
      <c r="F153">
        <v>1</v>
      </c>
      <c r="G153" t="s">
        <v>1543</v>
      </c>
      <c r="H153" t="s">
        <v>439</v>
      </c>
      <c r="I153" t="s">
        <v>393</v>
      </c>
      <c r="J153">
        <v>297857.59999999998</v>
      </c>
      <c r="K153" t="s">
        <v>394</v>
      </c>
      <c r="L153">
        <v>3.0000900000000001E-4</v>
      </c>
      <c r="M153">
        <v>105.53</v>
      </c>
      <c r="N153" t="s">
        <v>395</v>
      </c>
      <c r="O153">
        <v>89.36</v>
      </c>
    </row>
    <row r="154" spans="1:15" x14ac:dyDescent="0.25">
      <c r="A154" t="s">
        <v>1489</v>
      </c>
      <c r="B154">
        <v>5333</v>
      </c>
      <c r="C154" t="s">
        <v>1469</v>
      </c>
      <c r="D154" s="609">
        <v>45168</v>
      </c>
      <c r="E154">
        <v>3130</v>
      </c>
      <c r="F154">
        <v>1</v>
      </c>
      <c r="G154" t="s">
        <v>1543</v>
      </c>
      <c r="H154" t="s">
        <v>439</v>
      </c>
      <c r="I154" t="s">
        <v>393</v>
      </c>
      <c r="J154">
        <v>66721.5</v>
      </c>
      <c r="K154" t="s">
        <v>394</v>
      </c>
      <c r="L154">
        <v>3.00053E-4</v>
      </c>
      <c r="M154">
        <v>23.64</v>
      </c>
      <c r="N154" t="s">
        <v>395</v>
      </c>
      <c r="O154">
        <v>20.02</v>
      </c>
    </row>
    <row r="155" spans="1:15" x14ac:dyDescent="0.25">
      <c r="A155" t="s">
        <v>1489</v>
      </c>
      <c r="B155">
        <v>5333</v>
      </c>
      <c r="C155" t="s">
        <v>1469</v>
      </c>
      <c r="D155" s="609">
        <v>45168</v>
      </c>
      <c r="E155">
        <v>3130</v>
      </c>
      <c r="F155">
        <v>1</v>
      </c>
      <c r="G155" t="s">
        <v>1543</v>
      </c>
      <c r="H155" t="s">
        <v>439</v>
      </c>
      <c r="I155" t="s">
        <v>393</v>
      </c>
      <c r="J155">
        <v>65749.600000000006</v>
      </c>
      <c r="K155" t="s">
        <v>394</v>
      </c>
      <c r="L155">
        <v>2.99926E-4</v>
      </c>
      <c r="M155">
        <v>23.3</v>
      </c>
      <c r="N155" t="s">
        <v>395</v>
      </c>
      <c r="O155">
        <v>19.72</v>
      </c>
    </row>
    <row r="156" spans="1:15" x14ac:dyDescent="0.25">
      <c r="A156" t="s">
        <v>1489</v>
      </c>
      <c r="B156">
        <v>5333</v>
      </c>
      <c r="C156" t="s">
        <v>1469</v>
      </c>
      <c r="D156" s="609">
        <v>45168</v>
      </c>
      <c r="E156">
        <v>3120</v>
      </c>
      <c r="F156">
        <v>1</v>
      </c>
      <c r="G156" t="s">
        <v>1543</v>
      </c>
      <c r="H156" t="s">
        <v>438</v>
      </c>
      <c r="I156" t="s">
        <v>393</v>
      </c>
      <c r="J156">
        <v>4410</v>
      </c>
      <c r="K156" t="s">
        <v>394</v>
      </c>
      <c r="L156">
        <v>2.9932E-4</v>
      </c>
      <c r="M156">
        <v>1.56</v>
      </c>
      <c r="N156" t="s">
        <v>395</v>
      </c>
      <c r="O156">
        <v>1.32</v>
      </c>
    </row>
    <row r="157" spans="1:15" x14ac:dyDescent="0.25">
      <c r="A157" t="s">
        <v>1489</v>
      </c>
      <c r="B157">
        <v>5333</v>
      </c>
      <c r="C157" t="s">
        <v>1469</v>
      </c>
      <c r="D157" s="609">
        <v>45168</v>
      </c>
      <c r="E157">
        <v>3120</v>
      </c>
      <c r="F157">
        <v>1</v>
      </c>
      <c r="G157" t="s">
        <v>1543</v>
      </c>
      <c r="H157" t="s">
        <v>438</v>
      </c>
      <c r="I157" t="s">
        <v>393</v>
      </c>
      <c r="J157">
        <v>29400</v>
      </c>
      <c r="K157" t="s">
        <v>394</v>
      </c>
      <c r="L157">
        <v>2.9999999999999997E-4</v>
      </c>
      <c r="M157">
        <v>10.42</v>
      </c>
      <c r="N157" t="s">
        <v>395</v>
      </c>
      <c r="O157">
        <v>8.82</v>
      </c>
    </row>
    <row r="158" spans="1:15" x14ac:dyDescent="0.25">
      <c r="A158" t="s">
        <v>1489</v>
      </c>
      <c r="B158">
        <v>5333</v>
      </c>
      <c r="C158" t="s">
        <v>1469</v>
      </c>
      <c r="D158" s="609">
        <v>45168</v>
      </c>
      <c r="E158">
        <v>3120</v>
      </c>
      <c r="F158">
        <v>1</v>
      </c>
      <c r="G158" t="s">
        <v>1543</v>
      </c>
      <c r="H158" t="s">
        <v>438</v>
      </c>
      <c r="I158" t="s">
        <v>393</v>
      </c>
      <c r="J158">
        <v>23520</v>
      </c>
      <c r="K158" t="s">
        <v>394</v>
      </c>
      <c r="L158">
        <v>3.0016999999999999E-4</v>
      </c>
      <c r="M158">
        <v>8.33</v>
      </c>
      <c r="N158" t="s">
        <v>395</v>
      </c>
      <c r="O158">
        <v>7.06</v>
      </c>
    </row>
    <row r="159" spans="1:15" x14ac:dyDescent="0.25">
      <c r="A159" t="s">
        <v>1489</v>
      </c>
      <c r="B159">
        <v>5333</v>
      </c>
      <c r="C159" t="s">
        <v>1469</v>
      </c>
      <c r="D159" s="609">
        <v>45168</v>
      </c>
      <c r="E159">
        <v>3120</v>
      </c>
      <c r="F159">
        <v>1</v>
      </c>
      <c r="G159" t="s">
        <v>1543</v>
      </c>
      <c r="H159" t="s">
        <v>438</v>
      </c>
      <c r="I159" t="s">
        <v>393</v>
      </c>
      <c r="J159">
        <v>4410</v>
      </c>
      <c r="K159" t="s">
        <v>394</v>
      </c>
      <c r="L159">
        <v>2.9932E-4</v>
      </c>
      <c r="M159">
        <v>1.56</v>
      </c>
      <c r="N159" t="s">
        <v>395</v>
      </c>
      <c r="O159">
        <v>1.32</v>
      </c>
    </row>
    <row r="160" spans="1:15" x14ac:dyDescent="0.25">
      <c r="A160" t="s">
        <v>1489</v>
      </c>
      <c r="B160">
        <v>5333</v>
      </c>
      <c r="C160" t="s">
        <v>1469</v>
      </c>
      <c r="D160" s="609">
        <v>45168</v>
      </c>
      <c r="E160">
        <v>3120</v>
      </c>
      <c r="F160">
        <v>1</v>
      </c>
      <c r="G160" t="s">
        <v>1543</v>
      </c>
      <c r="H160" t="s">
        <v>438</v>
      </c>
      <c r="I160" t="s">
        <v>393</v>
      </c>
      <c r="J160">
        <v>23520</v>
      </c>
      <c r="K160" t="s">
        <v>394</v>
      </c>
      <c r="L160">
        <v>3.0016999999999999E-4</v>
      </c>
      <c r="M160">
        <v>8.33</v>
      </c>
      <c r="N160" t="s">
        <v>395</v>
      </c>
      <c r="O160">
        <v>7.06</v>
      </c>
    </row>
    <row r="161" spans="1:15" x14ac:dyDescent="0.25">
      <c r="A161" t="s">
        <v>1489</v>
      </c>
      <c r="B161">
        <v>5333</v>
      </c>
      <c r="C161" t="s">
        <v>1469</v>
      </c>
      <c r="D161" s="609">
        <v>45168</v>
      </c>
      <c r="E161">
        <v>3120</v>
      </c>
      <c r="F161">
        <v>1</v>
      </c>
      <c r="G161" t="s">
        <v>1543</v>
      </c>
      <c r="H161" t="s">
        <v>438</v>
      </c>
      <c r="I161" t="s">
        <v>393</v>
      </c>
      <c r="J161">
        <v>14700</v>
      </c>
      <c r="K161" t="s">
        <v>394</v>
      </c>
      <c r="L161">
        <v>2.9999999999999997E-4</v>
      </c>
      <c r="M161">
        <v>5.21</v>
      </c>
      <c r="N161" t="s">
        <v>395</v>
      </c>
      <c r="O161">
        <v>4.41</v>
      </c>
    </row>
    <row r="162" spans="1:15" x14ac:dyDescent="0.25">
      <c r="A162" t="s">
        <v>1489</v>
      </c>
      <c r="B162">
        <v>5333</v>
      </c>
      <c r="C162" t="s">
        <v>1469</v>
      </c>
      <c r="D162" s="609">
        <v>45168</v>
      </c>
      <c r="E162">
        <v>3120</v>
      </c>
      <c r="F162">
        <v>1</v>
      </c>
      <c r="G162" t="s">
        <v>1543</v>
      </c>
      <c r="H162" t="s">
        <v>438</v>
      </c>
      <c r="I162" t="s">
        <v>393</v>
      </c>
      <c r="J162">
        <v>2940</v>
      </c>
      <c r="K162" t="s">
        <v>394</v>
      </c>
      <c r="L162">
        <v>2.9932E-4</v>
      </c>
      <c r="M162">
        <v>1.04</v>
      </c>
      <c r="N162" t="s">
        <v>395</v>
      </c>
      <c r="O162">
        <v>0.88</v>
      </c>
    </row>
    <row r="163" spans="1:15" x14ac:dyDescent="0.25">
      <c r="A163" t="s">
        <v>1489</v>
      </c>
      <c r="B163">
        <v>5333</v>
      </c>
      <c r="C163" t="s">
        <v>1469</v>
      </c>
      <c r="D163" s="609">
        <v>45168</v>
      </c>
      <c r="E163">
        <v>3110</v>
      </c>
      <c r="F163">
        <v>1</v>
      </c>
      <c r="G163" t="s">
        <v>1543</v>
      </c>
      <c r="H163" t="s">
        <v>437</v>
      </c>
      <c r="I163" t="s">
        <v>393</v>
      </c>
      <c r="J163">
        <v>2152150.2999999998</v>
      </c>
      <c r="K163" t="s">
        <v>394</v>
      </c>
      <c r="L163">
        <v>3.0000200000000001E-4</v>
      </c>
      <c r="M163">
        <v>762.53</v>
      </c>
      <c r="N163" t="s">
        <v>395</v>
      </c>
      <c r="O163">
        <v>645.65</v>
      </c>
    </row>
    <row r="164" spans="1:15" x14ac:dyDescent="0.25">
      <c r="A164" t="s">
        <v>1489</v>
      </c>
      <c r="B164">
        <v>5333</v>
      </c>
      <c r="C164" t="s">
        <v>1469</v>
      </c>
      <c r="D164" s="609">
        <v>45168</v>
      </c>
      <c r="E164">
        <v>3110</v>
      </c>
      <c r="F164">
        <v>1</v>
      </c>
      <c r="G164" t="s">
        <v>1543</v>
      </c>
      <c r="H164" t="s">
        <v>437</v>
      </c>
      <c r="I164" t="s">
        <v>393</v>
      </c>
      <c r="J164">
        <v>595528.80000000005</v>
      </c>
      <c r="K164" t="s">
        <v>394</v>
      </c>
      <c r="L164">
        <v>3.0000200000000001E-4</v>
      </c>
      <c r="M164">
        <v>211</v>
      </c>
      <c r="N164" t="s">
        <v>395</v>
      </c>
      <c r="O164">
        <v>178.66</v>
      </c>
    </row>
    <row r="165" spans="1:15" x14ac:dyDescent="0.25">
      <c r="A165" t="s">
        <v>1489</v>
      </c>
      <c r="B165">
        <v>5333</v>
      </c>
      <c r="C165" t="s">
        <v>1469</v>
      </c>
      <c r="D165" s="609">
        <v>45168</v>
      </c>
      <c r="E165">
        <v>3110</v>
      </c>
      <c r="F165">
        <v>1</v>
      </c>
      <c r="G165" t="s">
        <v>1543</v>
      </c>
      <c r="H165" t="s">
        <v>437</v>
      </c>
      <c r="I165" t="s">
        <v>393</v>
      </c>
      <c r="J165">
        <v>5592445</v>
      </c>
      <c r="K165" t="s">
        <v>394</v>
      </c>
      <c r="L165">
        <v>2.9999900000000001E-4</v>
      </c>
      <c r="M165">
        <v>1981.46</v>
      </c>
      <c r="N165" t="s">
        <v>395</v>
      </c>
      <c r="O165">
        <v>1677.73</v>
      </c>
    </row>
    <row r="166" spans="1:15" x14ac:dyDescent="0.25">
      <c r="A166" t="s">
        <v>1489</v>
      </c>
      <c r="B166">
        <v>5333</v>
      </c>
      <c r="C166" t="s">
        <v>1469</v>
      </c>
      <c r="D166" s="609">
        <v>45168</v>
      </c>
      <c r="E166">
        <v>3110</v>
      </c>
      <c r="F166">
        <v>1</v>
      </c>
      <c r="G166" t="s">
        <v>1543</v>
      </c>
      <c r="H166" t="s">
        <v>437</v>
      </c>
      <c r="I166" t="s">
        <v>393</v>
      </c>
      <c r="J166">
        <v>3083644.8</v>
      </c>
      <c r="K166" t="s">
        <v>394</v>
      </c>
      <c r="L166">
        <v>2.9999900000000001E-4</v>
      </c>
      <c r="M166">
        <v>1092.57</v>
      </c>
      <c r="N166" t="s">
        <v>395</v>
      </c>
      <c r="O166">
        <v>925.09</v>
      </c>
    </row>
    <row r="167" spans="1:15" x14ac:dyDescent="0.25">
      <c r="A167" t="s">
        <v>1489</v>
      </c>
      <c r="B167">
        <v>5333</v>
      </c>
      <c r="C167" t="s">
        <v>1469</v>
      </c>
      <c r="D167" s="609">
        <v>45168</v>
      </c>
      <c r="E167">
        <v>3110</v>
      </c>
      <c r="F167">
        <v>1</v>
      </c>
      <c r="G167" t="s">
        <v>1543</v>
      </c>
      <c r="H167" t="s">
        <v>437</v>
      </c>
      <c r="I167" t="s">
        <v>393</v>
      </c>
      <c r="J167">
        <v>598983.44999999995</v>
      </c>
      <c r="K167" t="s">
        <v>394</v>
      </c>
      <c r="L167">
        <v>3.0000799999999999E-4</v>
      </c>
      <c r="M167">
        <v>212.23</v>
      </c>
      <c r="N167" t="s">
        <v>395</v>
      </c>
      <c r="O167">
        <v>179.7</v>
      </c>
    </row>
    <row r="168" spans="1:15" x14ac:dyDescent="0.25">
      <c r="A168" t="s">
        <v>1489</v>
      </c>
      <c r="B168">
        <v>5333</v>
      </c>
      <c r="C168" t="s">
        <v>1469</v>
      </c>
      <c r="D168" s="609">
        <v>45168</v>
      </c>
      <c r="E168">
        <v>3110</v>
      </c>
      <c r="F168">
        <v>1</v>
      </c>
      <c r="G168" t="s">
        <v>1543</v>
      </c>
      <c r="H168" t="s">
        <v>437</v>
      </c>
      <c r="I168" t="s">
        <v>393</v>
      </c>
      <c r="J168">
        <v>3194579.2</v>
      </c>
      <c r="K168" t="s">
        <v>394</v>
      </c>
      <c r="L168">
        <v>2.9999900000000001E-4</v>
      </c>
      <c r="M168">
        <v>1131.8699999999999</v>
      </c>
      <c r="N168" t="s">
        <v>395</v>
      </c>
      <c r="O168">
        <v>958.37</v>
      </c>
    </row>
    <row r="169" spans="1:15" x14ac:dyDescent="0.25">
      <c r="A169" t="s">
        <v>1489</v>
      </c>
      <c r="B169">
        <v>5333</v>
      </c>
      <c r="C169" t="s">
        <v>1469</v>
      </c>
      <c r="D169" s="609">
        <v>45168</v>
      </c>
      <c r="E169">
        <v>3110</v>
      </c>
      <c r="F169">
        <v>1</v>
      </c>
      <c r="G169" t="s">
        <v>1543</v>
      </c>
      <c r="H169" t="s">
        <v>437</v>
      </c>
      <c r="I169" t="s">
        <v>393</v>
      </c>
      <c r="J169">
        <v>802216.5</v>
      </c>
      <c r="K169" t="s">
        <v>394</v>
      </c>
      <c r="L169">
        <v>2.9999399999999999E-4</v>
      </c>
      <c r="M169">
        <v>284.23</v>
      </c>
      <c r="N169" t="s">
        <v>395</v>
      </c>
      <c r="O169">
        <v>240.66</v>
      </c>
    </row>
    <row r="170" spans="1:15" x14ac:dyDescent="0.25">
      <c r="A170" t="s">
        <v>1489</v>
      </c>
      <c r="B170">
        <v>5333</v>
      </c>
      <c r="C170" t="s">
        <v>1469</v>
      </c>
      <c r="D170" s="609">
        <v>45168</v>
      </c>
      <c r="E170">
        <v>3110</v>
      </c>
      <c r="F170">
        <v>1</v>
      </c>
      <c r="G170" t="s">
        <v>1543</v>
      </c>
      <c r="H170" t="s">
        <v>437</v>
      </c>
      <c r="I170" t="s">
        <v>393</v>
      </c>
      <c r="J170">
        <v>684495.7</v>
      </c>
      <c r="K170" t="s">
        <v>394</v>
      </c>
      <c r="L170">
        <v>3.0000200000000001E-4</v>
      </c>
      <c r="M170">
        <v>242.52</v>
      </c>
      <c r="N170" t="s">
        <v>395</v>
      </c>
      <c r="O170">
        <v>205.35</v>
      </c>
    </row>
    <row r="171" spans="1:15" x14ac:dyDescent="0.25">
      <c r="A171" t="s">
        <v>1526</v>
      </c>
      <c r="B171">
        <v>5480</v>
      </c>
      <c r="C171" t="s">
        <v>1501</v>
      </c>
      <c r="D171" s="609">
        <v>45199</v>
      </c>
      <c r="E171">
        <v>3110</v>
      </c>
      <c r="F171">
        <v>1</v>
      </c>
      <c r="G171" t="s">
        <v>1543</v>
      </c>
      <c r="H171" t="s">
        <v>437</v>
      </c>
      <c r="I171" t="s">
        <v>393</v>
      </c>
      <c r="J171">
        <v>2123598.2999999998</v>
      </c>
      <c r="K171" t="s">
        <v>394</v>
      </c>
      <c r="L171">
        <v>2.9999999999999997E-4</v>
      </c>
      <c r="M171">
        <v>750.79</v>
      </c>
      <c r="N171" t="s">
        <v>395</v>
      </c>
      <c r="O171">
        <v>637.08000000000004</v>
      </c>
    </row>
    <row r="172" spans="1:15" x14ac:dyDescent="0.25">
      <c r="A172" t="s">
        <v>1526</v>
      </c>
      <c r="B172">
        <v>5480</v>
      </c>
      <c r="C172" t="s">
        <v>1501</v>
      </c>
      <c r="D172" s="609">
        <v>45199</v>
      </c>
      <c r="E172">
        <v>3110</v>
      </c>
      <c r="F172">
        <v>1</v>
      </c>
      <c r="G172" t="s">
        <v>1543</v>
      </c>
      <c r="H172" t="s">
        <v>437</v>
      </c>
      <c r="I172" t="s">
        <v>393</v>
      </c>
      <c r="J172">
        <v>595528.80000000005</v>
      </c>
      <c r="K172" t="s">
        <v>394</v>
      </c>
      <c r="L172">
        <v>3.0000200000000001E-4</v>
      </c>
      <c r="M172">
        <v>210.55</v>
      </c>
      <c r="N172" t="s">
        <v>395</v>
      </c>
      <c r="O172">
        <v>178.66</v>
      </c>
    </row>
    <row r="173" spans="1:15" x14ac:dyDescent="0.25">
      <c r="A173" t="s">
        <v>1526</v>
      </c>
      <c r="B173">
        <v>5480</v>
      </c>
      <c r="C173" t="s">
        <v>1501</v>
      </c>
      <c r="D173" s="609">
        <v>45199</v>
      </c>
      <c r="E173">
        <v>3110</v>
      </c>
      <c r="F173">
        <v>1</v>
      </c>
      <c r="G173" t="s">
        <v>1543</v>
      </c>
      <c r="H173" t="s">
        <v>437</v>
      </c>
      <c r="I173" t="s">
        <v>393</v>
      </c>
      <c r="J173">
        <v>5592445</v>
      </c>
      <c r="K173" t="s">
        <v>394</v>
      </c>
      <c r="L173">
        <v>2.9999900000000001E-4</v>
      </c>
      <c r="M173">
        <v>1977.2</v>
      </c>
      <c r="N173" t="s">
        <v>395</v>
      </c>
      <c r="O173">
        <v>1677.73</v>
      </c>
    </row>
    <row r="174" spans="1:15" x14ac:dyDescent="0.25">
      <c r="A174" t="s">
        <v>1526</v>
      </c>
      <c r="B174">
        <v>5480</v>
      </c>
      <c r="C174" t="s">
        <v>1501</v>
      </c>
      <c r="D174" s="609">
        <v>45199</v>
      </c>
      <c r="E174">
        <v>3110</v>
      </c>
      <c r="F174">
        <v>1</v>
      </c>
      <c r="G174" t="s">
        <v>1543</v>
      </c>
      <c r="H174" t="s">
        <v>437</v>
      </c>
      <c r="I174" t="s">
        <v>393</v>
      </c>
      <c r="J174">
        <v>3083644.8</v>
      </c>
      <c r="K174" t="s">
        <v>394</v>
      </c>
      <c r="L174">
        <v>2.9999900000000001E-4</v>
      </c>
      <c r="M174">
        <v>1090.22</v>
      </c>
      <c r="N174" t="s">
        <v>395</v>
      </c>
      <c r="O174">
        <v>925.09</v>
      </c>
    </row>
    <row r="175" spans="1:15" x14ac:dyDescent="0.25">
      <c r="A175" t="s">
        <v>1526</v>
      </c>
      <c r="B175">
        <v>5480</v>
      </c>
      <c r="C175" t="s">
        <v>1501</v>
      </c>
      <c r="D175" s="609">
        <v>45199</v>
      </c>
      <c r="E175">
        <v>3110</v>
      </c>
      <c r="F175">
        <v>1</v>
      </c>
      <c r="G175" t="s">
        <v>1543</v>
      </c>
      <c r="H175" t="s">
        <v>437</v>
      </c>
      <c r="I175" t="s">
        <v>393</v>
      </c>
      <c r="J175">
        <v>598983.44999999995</v>
      </c>
      <c r="K175" t="s">
        <v>394</v>
      </c>
      <c r="L175">
        <v>3.0000799999999999E-4</v>
      </c>
      <c r="M175">
        <v>211.77</v>
      </c>
      <c r="N175" t="s">
        <v>395</v>
      </c>
      <c r="O175">
        <v>179.7</v>
      </c>
    </row>
    <row r="176" spans="1:15" x14ac:dyDescent="0.25">
      <c r="A176" t="s">
        <v>1526</v>
      </c>
      <c r="B176">
        <v>5480</v>
      </c>
      <c r="C176" t="s">
        <v>1501</v>
      </c>
      <c r="D176" s="609">
        <v>45199</v>
      </c>
      <c r="E176">
        <v>3110</v>
      </c>
      <c r="F176">
        <v>1</v>
      </c>
      <c r="G176" t="s">
        <v>1543</v>
      </c>
      <c r="H176" t="s">
        <v>437</v>
      </c>
      <c r="I176" t="s">
        <v>393</v>
      </c>
      <c r="J176">
        <v>3194579.2</v>
      </c>
      <c r="K176" t="s">
        <v>394</v>
      </c>
      <c r="L176">
        <v>2.9999900000000001E-4</v>
      </c>
      <c r="M176">
        <v>1129.44</v>
      </c>
      <c r="N176" t="s">
        <v>395</v>
      </c>
      <c r="O176">
        <v>958.37</v>
      </c>
    </row>
    <row r="177" spans="1:15" x14ac:dyDescent="0.25">
      <c r="A177" t="s">
        <v>1526</v>
      </c>
      <c r="B177">
        <v>5480</v>
      </c>
      <c r="C177" t="s">
        <v>1501</v>
      </c>
      <c r="D177" s="609">
        <v>45199</v>
      </c>
      <c r="E177">
        <v>3110</v>
      </c>
      <c r="F177">
        <v>1</v>
      </c>
      <c r="G177" t="s">
        <v>1543</v>
      </c>
      <c r="H177" t="s">
        <v>437</v>
      </c>
      <c r="I177" t="s">
        <v>393</v>
      </c>
      <c r="J177">
        <v>802216.5</v>
      </c>
      <c r="K177" t="s">
        <v>394</v>
      </c>
      <c r="L177">
        <v>2.9999399999999999E-4</v>
      </c>
      <c r="M177">
        <v>283.62</v>
      </c>
      <c r="N177" t="s">
        <v>395</v>
      </c>
      <c r="O177">
        <v>240.66</v>
      </c>
    </row>
    <row r="178" spans="1:15" x14ac:dyDescent="0.25">
      <c r="A178" t="s">
        <v>1526</v>
      </c>
      <c r="B178">
        <v>5480</v>
      </c>
      <c r="C178" t="s">
        <v>1501</v>
      </c>
      <c r="D178" s="609">
        <v>45199</v>
      </c>
      <c r="E178">
        <v>3110</v>
      </c>
      <c r="F178">
        <v>1</v>
      </c>
      <c r="G178" t="s">
        <v>1543</v>
      </c>
      <c r="H178" t="s">
        <v>437</v>
      </c>
      <c r="I178" t="s">
        <v>393</v>
      </c>
      <c r="J178">
        <v>684495.7</v>
      </c>
      <c r="K178" t="s">
        <v>394</v>
      </c>
      <c r="L178">
        <v>3.0000200000000001E-4</v>
      </c>
      <c r="M178">
        <v>242</v>
      </c>
      <c r="N178" t="s">
        <v>395</v>
      </c>
      <c r="O178">
        <v>205.35</v>
      </c>
    </row>
    <row r="179" spans="1:15" x14ac:dyDescent="0.25">
      <c r="A179" t="s">
        <v>1526</v>
      </c>
      <c r="B179">
        <v>5480</v>
      </c>
      <c r="C179" t="s">
        <v>1501</v>
      </c>
      <c r="D179" s="609">
        <v>45199</v>
      </c>
      <c r="E179">
        <v>3120</v>
      </c>
      <c r="F179">
        <v>1</v>
      </c>
      <c r="G179" t="s">
        <v>1543</v>
      </c>
      <c r="H179" t="s">
        <v>438</v>
      </c>
      <c r="I179" t="s">
        <v>393</v>
      </c>
      <c r="J179">
        <v>4410</v>
      </c>
      <c r="K179" t="s">
        <v>394</v>
      </c>
      <c r="L179">
        <v>2.9932E-4</v>
      </c>
      <c r="M179">
        <v>1.56</v>
      </c>
      <c r="N179" t="s">
        <v>395</v>
      </c>
      <c r="O179">
        <v>1.32</v>
      </c>
    </row>
    <row r="180" spans="1:15" x14ac:dyDescent="0.25">
      <c r="A180" t="s">
        <v>1526</v>
      </c>
      <c r="B180">
        <v>5480</v>
      </c>
      <c r="C180" t="s">
        <v>1501</v>
      </c>
      <c r="D180" s="609">
        <v>45199</v>
      </c>
      <c r="E180">
        <v>3120</v>
      </c>
      <c r="F180">
        <v>1</v>
      </c>
      <c r="G180" t="s">
        <v>1543</v>
      </c>
      <c r="H180" t="s">
        <v>438</v>
      </c>
      <c r="I180" t="s">
        <v>393</v>
      </c>
      <c r="J180">
        <v>29400</v>
      </c>
      <c r="K180" t="s">
        <v>394</v>
      </c>
      <c r="L180">
        <v>2.9999999999999997E-4</v>
      </c>
      <c r="M180">
        <v>10.39</v>
      </c>
      <c r="N180" t="s">
        <v>395</v>
      </c>
      <c r="O180">
        <v>8.82</v>
      </c>
    </row>
    <row r="181" spans="1:15" x14ac:dyDescent="0.25">
      <c r="A181" t="s">
        <v>1526</v>
      </c>
      <c r="B181">
        <v>5480</v>
      </c>
      <c r="C181" t="s">
        <v>1501</v>
      </c>
      <c r="D181" s="609">
        <v>45199</v>
      </c>
      <c r="E181">
        <v>3120</v>
      </c>
      <c r="F181">
        <v>1</v>
      </c>
      <c r="G181" t="s">
        <v>1543</v>
      </c>
      <c r="H181" t="s">
        <v>438</v>
      </c>
      <c r="I181" t="s">
        <v>393</v>
      </c>
      <c r="J181">
        <v>23520</v>
      </c>
      <c r="K181" t="s">
        <v>394</v>
      </c>
      <c r="L181">
        <v>3.0016999999999999E-4</v>
      </c>
      <c r="M181">
        <v>8.32</v>
      </c>
      <c r="N181" t="s">
        <v>395</v>
      </c>
      <c r="O181">
        <v>7.06</v>
      </c>
    </row>
    <row r="182" spans="1:15" x14ac:dyDescent="0.25">
      <c r="A182" t="s">
        <v>1526</v>
      </c>
      <c r="B182">
        <v>5480</v>
      </c>
      <c r="C182" t="s">
        <v>1501</v>
      </c>
      <c r="D182" s="609">
        <v>45199</v>
      </c>
      <c r="E182">
        <v>3120</v>
      </c>
      <c r="F182">
        <v>1</v>
      </c>
      <c r="G182" t="s">
        <v>1543</v>
      </c>
      <c r="H182" t="s">
        <v>438</v>
      </c>
      <c r="I182" t="s">
        <v>393</v>
      </c>
      <c r="J182">
        <v>4410</v>
      </c>
      <c r="K182" t="s">
        <v>394</v>
      </c>
      <c r="L182">
        <v>2.9932E-4</v>
      </c>
      <c r="M182">
        <v>1.56</v>
      </c>
      <c r="N182" t="s">
        <v>395</v>
      </c>
      <c r="O182">
        <v>1.32</v>
      </c>
    </row>
    <row r="183" spans="1:15" x14ac:dyDescent="0.25">
      <c r="A183" t="s">
        <v>1526</v>
      </c>
      <c r="B183">
        <v>5480</v>
      </c>
      <c r="C183" t="s">
        <v>1501</v>
      </c>
      <c r="D183" s="609">
        <v>45199</v>
      </c>
      <c r="E183">
        <v>3120</v>
      </c>
      <c r="F183">
        <v>1</v>
      </c>
      <c r="G183" t="s">
        <v>1543</v>
      </c>
      <c r="H183" t="s">
        <v>438</v>
      </c>
      <c r="I183" t="s">
        <v>393</v>
      </c>
      <c r="J183">
        <v>23520</v>
      </c>
      <c r="K183" t="s">
        <v>394</v>
      </c>
      <c r="L183">
        <v>3.0016999999999999E-4</v>
      </c>
      <c r="M183">
        <v>8.32</v>
      </c>
      <c r="N183" t="s">
        <v>395</v>
      </c>
      <c r="O183">
        <v>7.06</v>
      </c>
    </row>
    <row r="184" spans="1:15" x14ac:dyDescent="0.25">
      <c r="A184" t="s">
        <v>1526</v>
      </c>
      <c r="B184">
        <v>5480</v>
      </c>
      <c r="C184" t="s">
        <v>1501</v>
      </c>
      <c r="D184" s="609">
        <v>45199</v>
      </c>
      <c r="E184">
        <v>3120</v>
      </c>
      <c r="F184">
        <v>1</v>
      </c>
      <c r="G184" t="s">
        <v>1543</v>
      </c>
      <c r="H184" t="s">
        <v>438</v>
      </c>
      <c r="I184" t="s">
        <v>393</v>
      </c>
      <c r="J184">
        <v>14700</v>
      </c>
      <c r="K184" t="s">
        <v>394</v>
      </c>
      <c r="L184">
        <v>2.9999999999999997E-4</v>
      </c>
      <c r="M184">
        <v>5.2</v>
      </c>
      <c r="N184" t="s">
        <v>395</v>
      </c>
      <c r="O184">
        <v>4.41</v>
      </c>
    </row>
    <row r="185" spans="1:15" x14ac:dyDescent="0.25">
      <c r="A185" t="s">
        <v>1526</v>
      </c>
      <c r="B185">
        <v>5480</v>
      </c>
      <c r="C185" t="s">
        <v>1501</v>
      </c>
      <c r="D185" s="609">
        <v>45199</v>
      </c>
      <c r="E185">
        <v>3120</v>
      </c>
      <c r="F185">
        <v>1</v>
      </c>
      <c r="G185" t="s">
        <v>1543</v>
      </c>
      <c r="H185" t="s">
        <v>438</v>
      </c>
      <c r="I185" t="s">
        <v>393</v>
      </c>
      <c r="J185">
        <v>2940</v>
      </c>
      <c r="K185" t="s">
        <v>394</v>
      </c>
      <c r="L185">
        <v>2.9932E-4</v>
      </c>
      <c r="M185">
        <v>1.04</v>
      </c>
      <c r="N185" t="s">
        <v>395</v>
      </c>
      <c r="O185">
        <v>0.88</v>
      </c>
    </row>
    <row r="186" spans="1:15" x14ac:dyDescent="0.25">
      <c r="A186" t="s">
        <v>1526</v>
      </c>
      <c r="B186">
        <v>5480</v>
      </c>
      <c r="C186" t="s">
        <v>1501</v>
      </c>
      <c r="D186" s="609">
        <v>45199</v>
      </c>
      <c r="E186">
        <v>3130</v>
      </c>
      <c r="F186">
        <v>1</v>
      </c>
      <c r="G186" t="s">
        <v>1543</v>
      </c>
      <c r="H186" t="s">
        <v>439</v>
      </c>
      <c r="I186" t="s">
        <v>393</v>
      </c>
      <c r="J186">
        <v>212359.8</v>
      </c>
      <c r="K186" t="s">
        <v>394</v>
      </c>
      <c r="L186">
        <v>3.0001000000000002E-4</v>
      </c>
      <c r="M186">
        <v>75.08</v>
      </c>
      <c r="N186" t="s">
        <v>395</v>
      </c>
      <c r="O186">
        <v>63.71</v>
      </c>
    </row>
    <row r="187" spans="1:15" x14ac:dyDescent="0.25">
      <c r="A187" t="s">
        <v>1526</v>
      </c>
      <c r="B187">
        <v>5480</v>
      </c>
      <c r="C187" t="s">
        <v>1501</v>
      </c>
      <c r="D187" s="609">
        <v>45199</v>
      </c>
      <c r="E187">
        <v>3130</v>
      </c>
      <c r="F187">
        <v>1</v>
      </c>
      <c r="G187" t="s">
        <v>1543</v>
      </c>
      <c r="H187" t="s">
        <v>439</v>
      </c>
      <c r="I187" t="s">
        <v>393</v>
      </c>
      <c r="J187">
        <v>55502.85</v>
      </c>
      <c r="K187" t="s">
        <v>394</v>
      </c>
      <c r="L187">
        <v>2.9998500000000001E-4</v>
      </c>
      <c r="M187">
        <v>19.62</v>
      </c>
      <c r="N187" t="s">
        <v>395</v>
      </c>
      <c r="O187">
        <v>16.649999999999999</v>
      </c>
    </row>
    <row r="188" spans="1:15" x14ac:dyDescent="0.25">
      <c r="A188" t="s">
        <v>1526</v>
      </c>
      <c r="B188">
        <v>5480</v>
      </c>
      <c r="C188" t="s">
        <v>1501</v>
      </c>
      <c r="D188" s="609">
        <v>45199</v>
      </c>
      <c r="E188">
        <v>3130</v>
      </c>
      <c r="F188">
        <v>1</v>
      </c>
      <c r="G188" t="s">
        <v>1543</v>
      </c>
      <c r="H188" t="s">
        <v>439</v>
      </c>
      <c r="I188" t="s">
        <v>393</v>
      </c>
      <c r="J188">
        <v>532244</v>
      </c>
      <c r="K188" t="s">
        <v>394</v>
      </c>
      <c r="L188">
        <v>2.9999399999999999E-4</v>
      </c>
      <c r="M188">
        <v>188.17</v>
      </c>
      <c r="N188" t="s">
        <v>395</v>
      </c>
      <c r="O188">
        <v>159.66999999999999</v>
      </c>
    </row>
    <row r="189" spans="1:15" x14ac:dyDescent="0.25">
      <c r="A189" t="s">
        <v>1526</v>
      </c>
      <c r="B189">
        <v>5480</v>
      </c>
      <c r="C189" t="s">
        <v>1501</v>
      </c>
      <c r="D189" s="609">
        <v>45199</v>
      </c>
      <c r="E189">
        <v>3130</v>
      </c>
      <c r="F189">
        <v>1</v>
      </c>
      <c r="G189" t="s">
        <v>1543</v>
      </c>
      <c r="H189" t="s">
        <v>439</v>
      </c>
      <c r="I189" t="s">
        <v>393</v>
      </c>
      <c r="J189">
        <v>286764.79999999999</v>
      </c>
      <c r="K189" t="s">
        <v>394</v>
      </c>
      <c r="L189">
        <v>3.0000200000000001E-4</v>
      </c>
      <c r="M189">
        <v>101.39</v>
      </c>
      <c r="N189" t="s">
        <v>395</v>
      </c>
      <c r="O189">
        <v>86.03</v>
      </c>
    </row>
    <row r="190" spans="1:15" x14ac:dyDescent="0.25">
      <c r="A190" t="s">
        <v>1526</v>
      </c>
      <c r="B190">
        <v>5480</v>
      </c>
      <c r="C190" t="s">
        <v>1501</v>
      </c>
      <c r="D190" s="609">
        <v>45199</v>
      </c>
      <c r="E190">
        <v>3130</v>
      </c>
      <c r="F190">
        <v>1</v>
      </c>
      <c r="G190" t="s">
        <v>1543</v>
      </c>
      <c r="H190" t="s">
        <v>439</v>
      </c>
      <c r="I190" t="s">
        <v>393</v>
      </c>
      <c r="J190">
        <v>55848.3</v>
      </c>
      <c r="K190" t="s">
        <v>394</v>
      </c>
      <c r="L190">
        <v>2.9992000000000002E-4</v>
      </c>
      <c r="M190">
        <v>19.75</v>
      </c>
      <c r="N190" t="s">
        <v>395</v>
      </c>
      <c r="O190">
        <v>16.75</v>
      </c>
    </row>
    <row r="191" spans="1:15" x14ac:dyDescent="0.25">
      <c r="A191" t="s">
        <v>1526</v>
      </c>
      <c r="B191">
        <v>5480</v>
      </c>
      <c r="C191" t="s">
        <v>1501</v>
      </c>
      <c r="D191" s="609">
        <v>45199</v>
      </c>
      <c r="E191">
        <v>3130</v>
      </c>
      <c r="F191">
        <v>1</v>
      </c>
      <c r="G191" t="s">
        <v>1543</v>
      </c>
      <c r="H191" t="s">
        <v>439</v>
      </c>
      <c r="I191" t="s">
        <v>393</v>
      </c>
      <c r="J191">
        <v>297857.59999999998</v>
      </c>
      <c r="K191" t="s">
        <v>394</v>
      </c>
      <c r="L191">
        <v>3.0000900000000001E-4</v>
      </c>
      <c r="M191">
        <v>105.31</v>
      </c>
      <c r="N191" t="s">
        <v>395</v>
      </c>
      <c r="O191">
        <v>89.36</v>
      </c>
    </row>
    <row r="192" spans="1:15" x14ac:dyDescent="0.25">
      <c r="A192" t="s">
        <v>1526</v>
      </c>
      <c r="B192">
        <v>5480</v>
      </c>
      <c r="C192" t="s">
        <v>1501</v>
      </c>
      <c r="D192" s="609">
        <v>45199</v>
      </c>
      <c r="E192">
        <v>3130</v>
      </c>
      <c r="F192">
        <v>1</v>
      </c>
      <c r="G192" t="s">
        <v>1543</v>
      </c>
      <c r="H192" t="s">
        <v>439</v>
      </c>
      <c r="I192" t="s">
        <v>393</v>
      </c>
      <c r="J192">
        <v>66721.5</v>
      </c>
      <c r="K192" t="s">
        <v>394</v>
      </c>
      <c r="L192">
        <v>3.00053E-4</v>
      </c>
      <c r="M192">
        <v>23.59</v>
      </c>
      <c r="N192" t="s">
        <v>395</v>
      </c>
      <c r="O192">
        <v>20.02</v>
      </c>
    </row>
    <row r="193" spans="1:15" x14ac:dyDescent="0.25">
      <c r="A193" t="s">
        <v>1526</v>
      </c>
      <c r="B193">
        <v>5480</v>
      </c>
      <c r="C193" t="s">
        <v>1501</v>
      </c>
      <c r="D193" s="609">
        <v>45199</v>
      </c>
      <c r="E193">
        <v>3130</v>
      </c>
      <c r="F193">
        <v>1</v>
      </c>
      <c r="G193" t="s">
        <v>1543</v>
      </c>
      <c r="H193" t="s">
        <v>439</v>
      </c>
      <c r="I193" t="s">
        <v>393</v>
      </c>
      <c r="J193">
        <v>65749.600000000006</v>
      </c>
      <c r="K193" t="s">
        <v>394</v>
      </c>
      <c r="L193">
        <v>2.99926E-4</v>
      </c>
      <c r="M193">
        <v>23.25</v>
      </c>
      <c r="N193" t="s">
        <v>395</v>
      </c>
      <c r="O193">
        <v>19.72</v>
      </c>
    </row>
    <row r="194" spans="1:15" x14ac:dyDescent="0.25">
      <c r="A194" t="s">
        <v>1455</v>
      </c>
      <c r="B194">
        <v>5139</v>
      </c>
      <c r="C194" t="s">
        <v>1429</v>
      </c>
      <c r="D194" s="609">
        <v>45120</v>
      </c>
      <c r="E194">
        <v>3540</v>
      </c>
      <c r="F194">
        <v>2</v>
      </c>
      <c r="G194" t="s">
        <v>1423</v>
      </c>
      <c r="H194" t="s">
        <v>513</v>
      </c>
      <c r="I194" t="s">
        <v>393</v>
      </c>
      <c r="J194">
        <v>97450</v>
      </c>
      <c r="K194" t="s">
        <v>394</v>
      </c>
      <c r="L194">
        <v>2.8078499999999998E-4</v>
      </c>
      <c r="M194">
        <v>34.74</v>
      </c>
      <c r="N194" t="s">
        <v>395</v>
      </c>
      <c r="O194">
        <v>27.36</v>
      </c>
    </row>
    <row r="195" spans="1:15" x14ac:dyDescent="0.25">
      <c r="A195" t="s">
        <v>391</v>
      </c>
      <c r="B195">
        <v>4602</v>
      </c>
      <c r="C195" t="s">
        <v>402</v>
      </c>
      <c r="D195" s="609">
        <v>45016</v>
      </c>
      <c r="E195">
        <v>3451</v>
      </c>
      <c r="F195">
        <v>3</v>
      </c>
      <c r="G195">
        <v>0</v>
      </c>
      <c r="H195" t="s">
        <v>403</v>
      </c>
      <c r="I195" t="s">
        <v>393</v>
      </c>
      <c r="J195">
        <v>1390000</v>
      </c>
      <c r="K195" t="s">
        <v>394</v>
      </c>
      <c r="L195">
        <v>0</v>
      </c>
      <c r="M195">
        <v>678.29</v>
      </c>
      <c r="N195" t="s">
        <v>395</v>
      </c>
      <c r="O195">
        <v>562.04999999999995</v>
      </c>
    </row>
    <row r="196" spans="1:15" x14ac:dyDescent="0.25">
      <c r="A196" t="s">
        <v>424</v>
      </c>
      <c r="B196">
        <v>4568</v>
      </c>
      <c r="C196" t="s">
        <v>402</v>
      </c>
      <c r="D196" s="609">
        <v>45013</v>
      </c>
      <c r="E196">
        <v>3451</v>
      </c>
      <c r="F196">
        <v>3</v>
      </c>
      <c r="G196">
        <v>0</v>
      </c>
      <c r="H196" t="s">
        <v>425</v>
      </c>
      <c r="I196" t="s">
        <v>393</v>
      </c>
      <c r="J196">
        <v>250000</v>
      </c>
      <c r="K196" t="s">
        <v>394</v>
      </c>
      <c r="L196">
        <v>0</v>
      </c>
      <c r="M196">
        <v>121.99</v>
      </c>
      <c r="N196" t="s">
        <v>395</v>
      </c>
      <c r="O196">
        <v>101.09</v>
      </c>
    </row>
    <row r="197" spans="1:15" x14ac:dyDescent="0.25">
      <c r="A197" t="s">
        <v>1518</v>
      </c>
      <c r="B197">
        <v>5523</v>
      </c>
      <c r="C197" t="s">
        <v>1501</v>
      </c>
      <c r="D197" s="609">
        <v>45180</v>
      </c>
      <c r="E197">
        <v>3450</v>
      </c>
      <c r="F197">
        <v>3</v>
      </c>
      <c r="G197" t="s">
        <v>1543</v>
      </c>
      <c r="H197" t="s">
        <v>1519</v>
      </c>
      <c r="I197" t="s">
        <v>393</v>
      </c>
      <c r="J197">
        <v>4956000</v>
      </c>
      <c r="K197" t="s">
        <v>394</v>
      </c>
      <c r="L197">
        <v>2.7904399999999999E-4</v>
      </c>
      <c r="M197">
        <v>1752.18</v>
      </c>
      <c r="N197" t="s">
        <v>395</v>
      </c>
      <c r="O197">
        <v>1382.94</v>
      </c>
    </row>
    <row r="198" spans="1:15" x14ac:dyDescent="0.25">
      <c r="A198" t="s">
        <v>512</v>
      </c>
      <c r="B198">
        <v>4769</v>
      </c>
      <c r="C198" t="s">
        <v>441</v>
      </c>
      <c r="D198" s="609">
        <v>45041</v>
      </c>
      <c r="E198">
        <v>3640</v>
      </c>
      <c r="F198">
        <v>4</v>
      </c>
      <c r="G198" t="s">
        <v>1423</v>
      </c>
      <c r="H198" t="s">
        <v>513</v>
      </c>
      <c r="I198" t="s">
        <v>393</v>
      </c>
      <c r="J198">
        <v>115000</v>
      </c>
      <c r="K198" t="s">
        <v>394</v>
      </c>
      <c r="L198">
        <v>0</v>
      </c>
      <c r="M198">
        <v>55.77</v>
      </c>
      <c r="N198" t="s">
        <v>395</v>
      </c>
      <c r="O198">
        <v>45.24</v>
      </c>
    </row>
    <row r="199" spans="1:15" x14ac:dyDescent="0.25">
      <c r="A199" t="s">
        <v>636</v>
      </c>
      <c r="B199">
        <v>5035</v>
      </c>
      <c r="C199" t="s">
        <v>628</v>
      </c>
      <c r="D199" s="609">
        <v>45078</v>
      </c>
      <c r="E199">
        <v>3730</v>
      </c>
      <c r="F199">
        <v>4</v>
      </c>
      <c r="G199" t="s">
        <v>1423</v>
      </c>
      <c r="H199" t="s">
        <v>637</v>
      </c>
      <c r="I199" t="s">
        <v>393</v>
      </c>
      <c r="J199">
        <v>29000000</v>
      </c>
      <c r="K199" t="s">
        <v>394</v>
      </c>
      <c r="L199">
        <v>0</v>
      </c>
      <c r="M199">
        <v>10385.049999999999</v>
      </c>
      <c r="N199" t="s">
        <v>395</v>
      </c>
      <c r="O199">
        <v>8378.39</v>
      </c>
    </row>
    <row r="200" spans="1:15" x14ac:dyDescent="0.25">
      <c r="A200" t="s">
        <v>1483</v>
      </c>
      <c r="B200">
        <v>5450</v>
      </c>
      <c r="C200" t="s">
        <v>1469</v>
      </c>
      <c r="D200" s="609">
        <v>45159</v>
      </c>
      <c r="E200">
        <v>3780</v>
      </c>
      <c r="F200">
        <v>4</v>
      </c>
      <c r="G200" t="s">
        <v>1423</v>
      </c>
      <c r="H200" t="s">
        <v>1484</v>
      </c>
      <c r="I200" t="s">
        <v>393</v>
      </c>
      <c r="J200">
        <v>188000</v>
      </c>
      <c r="K200" t="s">
        <v>394</v>
      </c>
      <c r="L200">
        <v>2.7534199999999998E-4</v>
      </c>
      <c r="M200">
        <v>66.61</v>
      </c>
      <c r="N200" t="s">
        <v>395</v>
      </c>
      <c r="O200">
        <v>51.76</v>
      </c>
    </row>
    <row r="201" spans="1:15" x14ac:dyDescent="0.25">
      <c r="A201" t="s">
        <v>1499</v>
      </c>
      <c r="B201">
        <v>5343</v>
      </c>
      <c r="C201" t="s">
        <v>1469</v>
      </c>
      <c r="D201" s="609">
        <v>45169</v>
      </c>
      <c r="E201">
        <v>3780</v>
      </c>
      <c r="F201">
        <v>4</v>
      </c>
      <c r="G201" t="s">
        <v>1423</v>
      </c>
      <c r="H201" t="s">
        <v>1500</v>
      </c>
      <c r="I201" t="s">
        <v>393</v>
      </c>
      <c r="J201">
        <v>7010000</v>
      </c>
      <c r="K201" t="s">
        <v>394</v>
      </c>
      <c r="L201">
        <v>2.7534199999999998E-4</v>
      </c>
      <c r="M201">
        <v>2483.71</v>
      </c>
      <c r="N201" t="s">
        <v>395</v>
      </c>
      <c r="O201">
        <v>1930.15</v>
      </c>
    </row>
    <row r="202" spans="1:15" x14ac:dyDescent="0.25">
      <c r="A202" t="s">
        <v>1529</v>
      </c>
      <c r="B202">
        <v>5508</v>
      </c>
      <c r="C202" t="s">
        <v>1501</v>
      </c>
      <c r="D202" s="609">
        <v>45182</v>
      </c>
      <c r="E202">
        <v>3780</v>
      </c>
      <c r="F202">
        <v>4</v>
      </c>
      <c r="G202" t="s">
        <v>1423</v>
      </c>
      <c r="H202" t="s">
        <v>1530</v>
      </c>
      <c r="I202" t="s">
        <v>393</v>
      </c>
      <c r="J202">
        <v>2500000</v>
      </c>
      <c r="K202" t="s">
        <v>394</v>
      </c>
      <c r="L202">
        <v>2.7904399999999999E-4</v>
      </c>
      <c r="M202">
        <v>883.87</v>
      </c>
      <c r="N202" t="s">
        <v>395</v>
      </c>
      <c r="O202">
        <v>697.61</v>
      </c>
    </row>
    <row r="203" spans="1:15" x14ac:dyDescent="0.25">
      <c r="A203" t="s">
        <v>626</v>
      </c>
      <c r="B203">
        <v>5090</v>
      </c>
      <c r="C203" t="s">
        <v>628</v>
      </c>
      <c r="D203" s="609">
        <v>45089</v>
      </c>
      <c r="E203">
        <v>3350</v>
      </c>
      <c r="F203">
        <v>5</v>
      </c>
      <c r="G203" t="s">
        <v>1543</v>
      </c>
      <c r="H203" t="s">
        <v>634</v>
      </c>
      <c r="I203" t="s">
        <v>393</v>
      </c>
      <c r="J203">
        <v>145340</v>
      </c>
      <c r="K203" t="s">
        <v>394</v>
      </c>
      <c r="L203">
        <v>0</v>
      </c>
      <c r="M203">
        <v>52.05</v>
      </c>
      <c r="N203" t="s">
        <v>395</v>
      </c>
      <c r="O203">
        <v>41.99</v>
      </c>
    </row>
    <row r="204" spans="1:15" x14ac:dyDescent="0.25">
      <c r="A204" t="s">
        <v>1436</v>
      </c>
      <c r="B204">
        <v>5214</v>
      </c>
      <c r="C204" t="s">
        <v>1429</v>
      </c>
      <c r="D204" s="609">
        <v>45135</v>
      </c>
      <c r="E204">
        <v>3350</v>
      </c>
      <c r="F204">
        <v>5</v>
      </c>
      <c r="G204" t="s">
        <v>1543</v>
      </c>
      <c r="H204" t="s">
        <v>1437</v>
      </c>
      <c r="I204" t="s">
        <v>393</v>
      </c>
      <c r="J204">
        <v>406700</v>
      </c>
      <c r="K204" t="s">
        <v>394</v>
      </c>
      <c r="L204">
        <v>2.8078499999999998E-4</v>
      </c>
      <c r="M204">
        <v>144.97</v>
      </c>
      <c r="N204" t="s">
        <v>395</v>
      </c>
      <c r="O204">
        <v>114.2</v>
      </c>
    </row>
    <row r="205" spans="1:15" x14ac:dyDescent="0.25">
      <c r="A205" t="s">
        <v>1436</v>
      </c>
      <c r="B205">
        <v>5214</v>
      </c>
      <c r="C205" t="s">
        <v>1429</v>
      </c>
      <c r="D205" s="609">
        <v>45135</v>
      </c>
      <c r="E205">
        <v>3350</v>
      </c>
      <c r="F205">
        <v>5</v>
      </c>
      <c r="G205" t="s">
        <v>1543</v>
      </c>
      <c r="H205" t="s">
        <v>1438</v>
      </c>
      <c r="I205" t="s">
        <v>393</v>
      </c>
      <c r="J205">
        <v>148000</v>
      </c>
      <c r="K205" t="s">
        <v>394</v>
      </c>
      <c r="L205">
        <v>2.8078499999999998E-4</v>
      </c>
      <c r="M205">
        <v>52.76</v>
      </c>
      <c r="N205" t="s">
        <v>395</v>
      </c>
      <c r="O205">
        <v>41.56</v>
      </c>
    </row>
    <row r="206" spans="1:15" x14ac:dyDescent="0.25">
      <c r="A206" t="s">
        <v>1448</v>
      </c>
      <c r="B206">
        <v>5286</v>
      </c>
      <c r="C206" t="s">
        <v>1429</v>
      </c>
      <c r="D206" s="609">
        <v>45128</v>
      </c>
      <c r="E206">
        <v>3340</v>
      </c>
      <c r="F206">
        <v>5</v>
      </c>
      <c r="G206" t="s">
        <v>1543</v>
      </c>
      <c r="H206" t="s">
        <v>1449</v>
      </c>
      <c r="I206" t="s">
        <v>393</v>
      </c>
      <c r="J206">
        <v>10000</v>
      </c>
      <c r="K206" t="s">
        <v>394</v>
      </c>
      <c r="L206">
        <v>2.8078499999999998E-4</v>
      </c>
      <c r="M206">
        <v>3.56</v>
      </c>
      <c r="N206" t="s">
        <v>395</v>
      </c>
      <c r="O206">
        <v>2.81</v>
      </c>
    </row>
    <row r="207" spans="1:15" x14ac:dyDescent="0.25">
      <c r="A207" t="s">
        <v>1452</v>
      </c>
      <c r="B207">
        <v>5264</v>
      </c>
      <c r="C207" t="s">
        <v>1429</v>
      </c>
      <c r="D207" s="609">
        <v>45114</v>
      </c>
      <c r="E207">
        <v>3350</v>
      </c>
      <c r="F207">
        <v>5</v>
      </c>
      <c r="G207" t="s">
        <v>1543</v>
      </c>
      <c r="H207" t="s">
        <v>1453</v>
      </c>
      <c r="I207" t="s">
        <v>393</v>
      </c>
      <c r="J207">
        <v>372117.5</v>
      </c>
      <c r="K207" t="s">
        <v>394</v>
      </c>
      <c r="L207">
        <v>2.8078499999999998E-4</v>
      </c>
      <c r="M207">
        <v>132.63999999999999</v>
      </c>
      <c r="N207" t="s">
        <v>395</v>
      </c>
      <c r="O207">
        <v>104.49</v>
      </c>
    </row>
    <row r="208" spans="1:15" x14ac:dyDescent="0.25">
      <c r="A208" t="s">
        <v>1522</v>
      </c>
      <c r="B208">
        <v>5482</v>
      </c>
      <c r="C208" t="s">
        <v>1501</v>
      </c>
      <c r="D208" s="609">
        <v>45174</v>
      </c>
      <c r="E208">
        <v>3340</v>
      </c>
      <c r="F208">
        <v>5</v>
      </c>
      <c r="G208" t="s">
        <v>1543</v>
      </c>
      <c r="H208" t="s">
        <v>1523</v>
      </c>
      <c r="I208" t="s">
        <v>393</v>
      </c>
      <c r="J208">
        <v>259600</v>
      </c>
      <c r="K208" t="s">
        <v>394</v>
      </c>
      <c r="L208">
        <v>2.7904399999999999E-4</v>
      </c>
      <c r="M208">
        <v>91.78</v>
      </c>
      <c r="N208" t="s">
        <v>395</v>
      </c>
      <c r="O208">
        <v>72.44</v>
      </c>
    </row>
    <row r="209" spans="1:15" x14ac:dyDescent="0.25">
      <c r="A209" t="s">
        <v>1524</v>
      </c>
      <c r="B209">
        <v>5521</v>
      </c>
      <c r="C209" t="s">
        <v>1501</v>
      </c>
      <c r="D209" s="609">
        <v>45181</v>
      </c>
      <c r="E209">
        <v>3350</v>
      </c>
      <c r="F209">
        <v>5</v>
      </c>
      <c r="G209" t="s">
        <v>1543</v>
      </c>
      <c r="H209" t="s">
        <v>1525</v>
      </c>
      <c r="I209" t="s">
        <v>393</v>
      </c>
      <c r="J209">
        <v>254452.5</v>
      </c>
      <c r="K209" t="s">
        <v>394</v>
      </c>
      <c r="L209">
        <v>2.7904399999999999E-4</v>
      </c>
      <c r="M209">
        <v>89.96</v>
      </c>
      <c r="N209" t="s">
        <v>395</v>
      </c>
      <c r="O209">
        <v>71</v>
      </c>
    </row>
    <row r="210" spans="1:15" x14ac:dyDescent="0.25">
      <c r="A210" t="s">
        <v>507</v>
      </c>
      <c r="B210">
        <v>4772</v>
      </c>
      <c r="C210" t="s">
        <v>441</v>
      </c>
      <c r="D210" s="609">
        <v>45023</v>
      </c>
      <c r="E210">
        <v>3350</v>
      </c>
      <c r="F210">
        <v>5</v>
      </c>
      <c r="G210" t="s">
        <v>1423</v>
      </c>
      <c r="H210" t="s">
        <v>508</v>
      </c>
      <c r="I210" t="s">
        <v>393</v>
      </c>
      <c r="J210">
        <v>207000</v>
      </c>
      <c r="K210" t="s">
        <v>394</v>
      </c>
      <c r="L210">
        <v>0</v>
      </c>
      <c r="M210">
        <v>100.39</v>
      </c>
      <c r="N210" t="s">
        <v>395</v>
      </c>
      <c r="O210">
        <v>81.44</v>
      </c>
    </row>
    <row r="211" spans="1:15" x14ac:dyDescent="0.25">
      <c r="A211" t="s">
        <v>509</v>
      </c>
      <c r="B211">
        <v>4735</v>
      </c>
      <c r="C211" t="s">
        <v>441</v>
      </c>
      <c r="D211" s="609">
        <v>45042</v>
      </c>
      <c r="E211">
        <v>3350</v>
      </c>
      <c r="F211">
        <v>5</v>
      </c>
      <c r="G211" t="s">
        <v>1423</v>
      </c>
      <c r="H211" t="s">
        <v>510</v>
      </c>
      <c r="I211" t="s">
        <v>393</v>
      </c>
      <c r="J211">
        <v>290250</v>
      </c>
      <c r="K211" t="s">
        <v>394</v>
      </c>
      <c r="L211">
        <v>0</v>
      </c>
      <c r="M211">
        <v>140.76</v>
      </c>
      <c r="N211" t="s">
        <v>395</v>
      </c>
      <c r="O211">
        <v>114.19</v>
      </c>
    </row>
    <row r="212" spans="1:15" x14ac:dyDescent="0.25">
      <c r="A212" t="s">
        <v>509</v>
      </c>
      <c r="B212">
        <v>4735</v>
      </c>
      <c r="C212" t="s">
        <v>441</v>
      </c>
      <c r="D212" s="609">
        <v>45042</v>
      </c>
      <c r="E212">
        <v>3350</v>
      </c>
      <c r="F212">
        <v>5</v>
      </c>
      <c r="G212" t="s">
        <v>1423</v>
      </c>
      <c r="H212" t="s">
        <v>511</v>
      </c>
      <c r="I212" t="s">
        <v>393</v>
      </c>
      <c r="J212">
        <v>199900</v>
      </c>
      <c r="K212" t="s">
        <v>394</v>
      </c>
      <c r="L212">
        <v>0</v>
      </c>
      <c r="M212">
        <v>96.95</v>
      </c>
      <c r="N212" t="s">
        <v>395</v>
      </c>
      <c r="O212">
        <v>78.650000000000006</v>
      </c>
    </row>
    <row r="213" spans="1:15" x14ac:dyDescent="0.25">
      <c r="A213" t="s">
        <v>520</v>
      </c>
      <c r="B213">
        <v>4904</v>
      </c>
      <c r="C213" t="s">
        <v>458</v>
      </c>
      <c r="D213" s="609">
        <v>45059</v>
      </c>
      <c r="E213">
        <v>3350</v>
      </c>
      <c r="F213">
        <v>5</v>
      </c>
      <c r="G213" t="s">
        <v>1423</v>
      </c>
      <c r="H213" t="s">
        <v>521</v>
      </c>
      <c r="I213" t="s">
        <v>393</v>
      </c>
      <c r="J213">
        <v>138125</v>
      </c>
      <c r="K213" t="s">
        <v>394</v>
      </c>
      <c r="L213">
        <v>0</v>
      </c>
      <c r="M213">
        <v>67.239999999999995</v>
      </c>
      <c r="N213" t="s">
        <v>395</v>
      </c>
      <c r="O213">
        <v>53.69</v>
      </c>
    </row>
    <row r="214" spans="1:15" x14ac:dyDescent="0.25">
      <c r="A214" t="s">
        <v>1475</v>
      </c>
      <c r="B214">
        <v>5410</v>
      </c>
      <c r="C214" t="s">
        <v>1469</v>
      </c>
      <c r="D214" s="609">
        <v>45138</v>
      </c>
      <c r="E214">
        <v>3350</v>
      </c>
      <c r="F214">
        <v>5</v>
      </c>
      <c r="G214" t="s">
        <v>1423</v>
      </c>
      <c r="H214" t="s">
        <v>1476</v>
      </c>
      <c r="I214" t="s">
        <v>393</v>
      </c>
      <c r="J214">
        <v>265800</v>
      </c>
      <c r="K214" t="s">
        <v>394</v>
      </c>
      <c r="L214">
        <v>2.7534199999999998E-4</v>
      </c>
      <c r="M214">
        <v>94.18</v>
      </c>
      <c r="N214" t="s">
        <v>395</v>
      </c>
      <c r="O214">
        <v>73.19</v>
      </c>
    </row>
    <row r="215" spans="1:15" x14ac:dyDescent="0.25">
      <c r="A215" t="s">
        <v>1490</v>
      </c>
      <c r="B215">
        <v>5323</v>
      </c>
      <c r="C215" t="s">
        <v>1469</v>
      </c>
      <c r="D215" s="609">
        <v>45152</v>
      </c>
      <c r="E215">
        <v>3350</v>
      </c>
      <c r="F215">
        <v>5</v>
      </c>
      <c r="G215" t="s">
        <v>1423</v>
      </c>
      <c r="H215" t="s">
        <v>1491</v>
      </c>
      <c r="I215" t="s">
        <v>393</v>
      </c>
      <c r="J215">
        <v>335895</v>
      </c>
      <c r="K215" t="s">
        <v>394</v>
      </c>
      <c r="L215">
        <v>2.7534199999999998E-4</v>
      </c>
      <c r="M215">
        <v>119.01</v>
      </c>
      <c r="N215" t="s">
        <v>395</v>
      </c>
      <c r="O215">
        <v>92.49</v>
      </c>
    </row>
    <row r="216" spans="1:15" x14ac:dyDescent="0.25">
      <c r="A216" t="s">
        <v>1497</v>
      </c>
      <c r="B216">
        <v>5379</v>
      </c>
      <c r="C216" t="s">
        <v>1469</v>
      </c>
      <c r="D216" s="609">
        <v>45168</v>
      </c>
      <c r="E216">
        <v>3390</v>
      </c>
      <c r="F216">
        <v>5</v>
      </c>
      <c r="G216" t="s">
        <v>1423</v>
      </c>
      <c r="H216" t="s">
        <v>1498</v>
      </c>
      <c r="I216" t="s">
        <v>393</v>
      </c>
      <c r="J216">
        <v>1761000</v>
      </c>
      <c r="K216" t="s">
        <v>394</v>
      </c>
      <c r="L216">
        <v>2.7534199999999998E-4</v>
      </c>
      <c r="M216">
        <v>623.94000000000005</v>
      </c>
      <c r="N216" t="s">
        <v>395</v>
      </c>
      <c r="O216">
        <v>484.88</v>
      </c>
    </row>
    <row r="217" spans="1:15" x14ac:dyDescent="0.25">
      <c r="A217" t="s">
        <v>528</v>
      </c>
      <c r="B217">
        <v>1</v>
      </c>
      <c r="C217" t="s">
        <v>529</v>
      </c>
      <c r="D217" s="609">
        <v>44958</v>
      </c>
      <c r="E217">
        <v>0</v>
      </c>
      <c r="F217">
        <v>6</v>
      </c>
      <c r="G217" t="s">
        <v>312</v>
      </c>
      <c r="H217" t="s">
        <v>530</v>
      </c>
      <c r="I217" t="s">
        <v>393</v>
      </c>
      <c r="J217">
        <v>382766.2</v>
      </c>
      <c r="K217" t="s">
        <v>394</v>
      </c>
      <c r="L217">
        <v>2043.09</v>
      </c>
      <c r="M217">
        <v>187.34671502479088</v>
      </c>
      <c r="N217" t="s">
        <v>395</v>
      </c>
      <c r="O217">
        <v>0</v>
      </c>
    </row>
    <row r="218" spans="1:15" x14ac:dyDescent="0.25">
      <c r="A218" t="s">
        <v>528</v>
      </c>
      <c r="B218">
        <v>1</v>
      </c>
      <c r="C218" t="s">
        <v>529</v>
      </c>
      <c r="D218" s="609">
        <v>44958</v>
      </c>
      <c r="E218">
        <v>0</v>
      </c>
      <c r="F218">
        <v>6</v>
      </c>
      <c r="G218" t="s">
        <v>313</v>
      </c>
      <c r="H218" t="s">
        <v>531</v>
      </c>
      <c r="I218" t="s">
        <v>393</v>
      </c>
      <c r="J218">
        <v>113992.3</v>
      </c>
      <c r="K218" t="s">
        <v>394</v>
      </c>
      <c r="L218">
        <v>2043.09</v>
      </c>
      <c r="M218">
        <v>55.794066830144537</v>
      </c>
      <c r="N218" t="s">
        <v>395</v>
      </c>
      <c r="O218">
        <v>0</v>
      </c>
    </row>
    <row r="219" spans="1:15" x14ac:dyDescent="0.25">
      <c r="A219" t="s">
        <v>528</v>
      </c>
      <c r="B219">
        <v>1</v>
      </c>
      <c r="C219" t="s">
        <v>529</v>
      </c>
      <c r="D219" s="609">
        <v>44958</v>
      </c>
      <c r="E219">
        <v>0</v>
      </c>
      <c r="F219">
        <v>6</v>
      </c>
      <c r="G219" t="s">
        <v>314</v>
      </c>
      <c r="H219" t="s">
        <v>532</v>
      </c>
      <c r="I219" t="s">
        <v>393</v>
      </c>
      <c r="J219">
        <v>183146.6</v>
      </c>
      <c r="K219" t="s">
        <v>394</v>
      </c>
      <c r="L219">
        <v>2043.09</v>
      </c>
      <c r="M219">
        <v>89.64196388803235</v>
      </c>
      <c r="N219" t="s">
        <v>395</v>
      </c>
      <c r="O219">
        <v>0</v>
      </c>
    </row>
    <row r="220" spans="1:15" x14ac:dyDescent="0.25">
      <c r="A220" t="s">
        <v>528</v>
      </c>
      <c r="B220">
        <v>1</v>
      </c>
      <c r="C220" t="s">
        <v>529</v>
      </c>
      <c r="D220" s="609">
        <v>44958</v>
      </c>
      <c r="E220">
        <v>0</v>
      </c>
      <c r="F220">
        <v>6</v>
      </c>
      <c r="G220" t="s">
        <v>315</v>
      </c>
      <c r="H220" t="s">
        <v>533</v>
      </c>
      <c r="I220" t="s">
        <v>393</v>
      </c>
      <c r="J220">
        <v>133403.6</v>
      </c>
      <c r="K220" t="s">
        <v>394</v>
      </c>
      <c r="L220">
        <v>2043.09</v>
      </c>
      <c r="M220">
        <v>65.295018819533169</v>
      </c>
      <c r="N220" t="s">
        <v>395</v>
      </c>
      <c r="O220">
        <v>0</v>
      </c>
    </row>
    <row r="221" spans="1:15" x14ac:dyDescent="0.25">
      <c r="A221" t="s">
        <v>528</v>
      </c>
      <c r="B221">
        <v>1</v>
      </c>
      <c r="C221" t="s">
        <v>529</v>
      </c>
      <c r="D221" s="609">
        <v>44958</v>
      </c>
      <c r="E221">
        <v>0</v>
      </c>
      <c r="F221">
        <v>6</v>
      </c>
      <c r="G221" t="s">
        <v>316</v>
      </c>
      <c r="H221" t="s">
        <v>534</v>
      </c>
      <c r="I221" t="s">
        <v>393</v>
      </c>
      <c r="J221">
        <v>345468.5</v>
      </c>
      <c r="K221" t="s">
        <v>394</v>
      </c>
      <c r="L221">
        <v>2043.09</v>
      </c>
      <c r="M221">
        <v>169.09118051578736</v>
      </c>
      <c r="N221" t="s">
        <v>395</v>
      </c>
      <c r="O221">
        <v>0</v>
      </c>
    </row>
    <row r="222" spans="1:15" x14ac:dyDescent="0.25">
      <c r="A222" t="s">
        <v>535</v>
      </c>
      <c r="B222">
        <v>2</v>
      </c>
      <c r="C222" t="s">
        <v>536</v>
      </c>
      <c r="D222" s="609">
        <v>44985</v>
      </c>
      <c r="E222">
        <v>0</v>
      </c>
      <c r="F222">
        <v>6</v>
      </c>
      <c r="G222" t="s">
        <v>312</v>
      </c>
      <c r="H222" t="s">
        <v>537</v>
      </c>
      <c r="I222" t="s">
        <v>393</v>
      </c>
      <c r="J222">
        <v>382766.2</v>
      </c>
      <c r="K222" t="s">
        <v>394</v>
      </c>
      <c r="L222">
        <v>2047.28</v>
      </c>
      <c r="M222">
        <v>186.96328787464344</v>
      </c>
      <c r="N222" t="s">
        <v>395</v>
      </c>
      <c r="O222">
        <v>0</v>
      </c>
    </row>
    <row r="223" spans="1:15" x14ac:dyDescent="0.25">
      <c r="A223" t="s">
        <v>535</v>
      </c>
      <c r="B223">
        <v>2</v>
      </c>
      <c r="C223" t="s">
        <v>536</v>
      </c>
      <c r="D223" s="609">
        <v>44985</v>
      </c>
      <c r="E223">
        <v>0</v>
      </c>
      <c r="F223">
        <v>6</v>
      </c>
      <c r="G223" t="s">
        <v>313</v>
      </c>
      <c r="H223" t="s">
        <v>538</v>
      </c>
      <c r="I223" t="s">
        <v>393</v>
      </c>
      <c r="J223">
        <v>113992.3</v>
      </c>
      <c r="K223" t="s">
        <v>394</v>
      </c>
      <c r="L223">
        <v>2047.28</v>
      </c>
      <c r="M223">
        <v>55.679877691375879</v>
      </c>
      <c r="N223" t="s">
        <v>395</v>
      </c>
      <c r="O223">
        <v>0</v>
      </c>
    </row>
    <row r="224" spans="1:15" x14ac:dyDescent="0.25">
      <c r="A224" t="s">
        <v>535</v>
      </c>
      <c r="B224">
        <v>2</v>
      </c>
      <c r="C224" t="s">
        <v>536</v>
      </c>
      <c r="D224" s="609">
        <v>44985</v>
      </c>
      <c r="E224">
        <v>0</v>
      </c>
      <c r="F224">
        <v>6</v>
      </c>
      <c r="G224" t="s">
        <v>314</v>
      </c>
      <c r="H224" t="s">
        <v>539</v>
      </c>
      <c r="I224" t="s">
        <v>393</v>
      </c>
      <c r="J224">
        <v>183146.6</v>
      </c>
      <c r="K224" t="s">
        <v>394</v>
      </c>
      <c r="L224">
        <v>2047.28</v>
      </c>
      <c r="M224">
        <v>89.4585010355203</v>
      </c>
      <c r="N224" t="s">
        <v>395</v>
      </c>
      <c r="O224">
        <v>0</v>
      </c>
    </row>
    <row r="225" spans="1:15" x14ac:dyDescent="0.25">
      <c r="A225" t="s">
        <v>535</v>
      </c>
      <c r="B225">
        <v>2</v>
      </c>
      <c r="C225" t="s">
        <v>536</v>
      </c>
      <c r="D225" s="609">
        <v>44985</v>
      </c>
      <c r="E225">
        <v>0</v>
      </c>
      <c r="F225">
        <v>6</v>
      </c>
      <c r="G225" t="s">
        <v>315</v>
      </c>
      <c r="H225" t="s">
        <v>540</v>
      </c>
      <c r="I225" t="s">
        <v>393</v>
      </c>
      <c r="J225">
        <v>133403.6</v>
      </c>
      <c r="K225" t="s">
        <v>394</v>
      </c>
      <c r="L225">
        <v>2047.28</v>
      </c>
      <c r="M225">
        <v>65.1613848618655</v>
      </c>
      <c r="N225" t="s">
        <v>395</v>
      </c>
      <c r="O225">
        <v>0</v>
      </c>
    </row>
    <row r="226" spans="1:15" x14ac:dyDescent="0.25">
      <c r="A226" t="s">
        <v>535</v>
      </c>
      <c r="B226">
        <v>2</v>
      </c>
      <c r="C226" t="s">
        <v>536</v>
      </c>
      <c r="D226" s="609">
        <v>44985</v>
      </c>
      <c r="E226">
        <v>0</v>
      </c>
      <c r="F226">
        <v>6</v>
      </c>
      <c r="G226" t="s">
        <v>316</v>
      </c>
      <c r="H226" t="s">
        <v>541</v>
      </c>
      <c r="I226" t="s">
        <v>393</v>
      </c>
      <c r="J226">
        <v>345468.5</v>
      </c>
      <c r="K226" t="s">
        <v>394</v>
      </c>
      <c r="L226">
        <v>2047.28</v>
      </c>
      <c r="M226">
        <v>168.74511547028251</v>
      </c>
      <c r="N226" t="s">
        <v>395</v>
      </c>
      <c r="O226">
        <v>0</v>
      </c>
    </row>
    <row r="227" spans="1:15" x14ac:dyDescent="0.25">
      <c r="A227" t="s">
        <v>542</v>
      </c>
      <c r="B227">
        <v>3</v>
      </c>
      <c r="C227" t="s">
        <v>543</v>
      </c>
      <c r="D227" s="609">
        <v>45013</v>
      </c>
      <c r="E227">
        <v>0</v>
      </c>
      <c r="F227">
        <v>6</v>
      </c>
      <c r="G227" t="s">
        <v>312</v>
      </c>
      <c r="H227" t="s">
        <v>544</v>
      </c>
      <c r="I227" t="s">
        <v>393</v>
      </c>
      <c r="J227">
        <v>382766.2</v>
      </c>
      <c r="K227" t="s">
        <v>394</v>
      </c>
      <c r="L227">
        <v>2049.2399999999998</v>
      </c>
      <c r="M227">
        <v>186.7844664363374</v>
      </c>
      <c r="N227" t="s">
        <v>395</v>
      </c>
      <c r="O227">
        <v>0</v>
      </c>
    </row>
    <row r="228" spans="1:15" x14ac:dyDescent="0.25">
      <c r="A228" t="s">
        <v>542</v>
      </c>
      <c r="B228">
        <v>3</v>
      </c>
      <c r="C228" t="s">
        <v>543</v>
      </c>
      <c r="D228" s="609">
        <v>45013</v>
      </c>
      <c r="E228">
        <v>0</v>
      </c>
      <c r="F228">
        <v>6</v>
      </c>
      <c r="G228" t="s">
        <v>313</v>
      </c>
      <c r="H228" t="s">
        <v>545</v>
      </c>
      <c r="I228" t="s">
        <v>393</v>
      </c>
      <c r="J228">
        <v>113992.3</v>
      </c>
      <c r="K228" t="s">
        <v>394</v>
      </c>
      <c r="L228">
        <v>2049.2399999999998</v>
      </c>
      <c r="M228">
        <v>55.626622552751272</v>
      </c>
      <c r="N228" t="s">
        <v>395</v>
      </c>
      <c r="O228">
        <v>0</v>
      </c>
    </row>
    <row r="229" spans="1:15" x14ac:dyDescent="0.25">
      <c r="A229" t="s">
        <v>542</v>
      </c>
      <c r="B229">
        <v>3</v>
      </c>
      <c r="C229" t="s">
        <v>543</v>
      </c>
      <c r="D229" s="609">
        <v>45013</v>
      </c>
      <c r="E229">
        <v>0</v>
      </c>
      <c r="F229">
        <v>6</v>
      </c>
      <c r="G229" t="s">
        <v>314</v>
      </c>
      <c r="H229" t="s">
        <v>546</v>
      </c>
      <c r="I229" t="s">
        <v>393</v>
      </c>
      <c r="J229">
        <v>183146.6</v>
      </c>
      <c r="K229" t="s">
        <v>394</v>
      </c>
      <c r="L229">
        <v>2049.2399999999998</v>
      </c>
      <c r="M229">
        <v>89.372938260037884</v>
      </c>
      <c r="N229" t="s">
        <v>395</v>
      </c>
      <c r="O229">
        <v>0</v>
      </c>
    </row>
    <row r="230" spans="1:15" x14ac:dyDescent="0.25">
      <c r="A230" t="s">
        <v>542</v>
      </c>
      <c r="B230">
        <v>3</v>
      </c>
      <c r="C230" t="s">
        <v>543</v>
      </c>
      <c r="D230" s="609">
        <v>45013</v>
      </c>
      <c r="E230">
        <v>0</v>
      </c>
      <c r="F230">
        <v>6</v>
      </c>
      <c r="G230" t="s">
        <v>315</v>
      </c>
      <c r="H230" t="s">
        <v>547</v>
      </c>
      <c r="I230" t="s">
        <v>393</v>
      </c>
      <c r="J230">
        <v>133403.6</v>
      </c>
      <c r="K230" t="s">
        <v>394</v>
      </c>
      <c r="L230">
        <v>2049.2399999999998</v>
      </c>
      <c r="M230">
        <v>65.099061115340334</v>
      </c>
      <c r="N230" t="s">
        <v>395</v>
      </c>
      <c r="O230">
        <v>0</v>
      </c>
    </row>
    <row r="231" spans="1:15" x14ac:dyDescent="0.25">
      <c r="A231" t="s">
        <v>542</v>
      </c>
      <c r="B231">
        <v>3</v>
      </c>
      <c r="C231" t="s">
        <v>543</v>
      </c>
      <c r="D231" s="609">
        <v>45013</v>
      </c>
      <c r="E231">
        <v>0</v>
      </c>
      <c r="F231">
        <v>6</v>
      </c>
      <c r="G231" t="s">
        <v>316</v>
      </c>
      <c r="H231" t="s">
        <v>548</v>
      </c>
      <c r="I231" t="s">
        <v>393</v>
      </c>
      <c r="J231">
        <v>345468.5</v>
      </c>
      <c r="K231" t="s">
        <v>394</v>
      </c>
      <c r="L231">
        <v>2049.2399999999998</v>
      </c>
      <c r="M231">
        <v>168.58371884210734</v>
      </c>
      <c r="N231" t="s">
        <v>395</v>
      </c>
      <c r="O231">
        <v>0</v>
      </c>
    </row>
    <row r="232" spans="1:15" x14ac:dyDescent="0.25">
      <c r="A232" t="s">
        <v>549</v>
      </c>
      <c r="B232">
        <v>3</v>
      </c>
      <c r="C232" t="s">
        <v>543</v>
      </c>
      <c r="D232" s="609">
        <v>45013</v>
      </c>
      <c r="E232">
        <v>0</v>
      </c>
      <c r="F232">
        <v>6</v>
      </c>
      <c r="G232" t="s">
        <v>317</v>
      </c>
      <c r="H232" t="s">
        <v>550</v>
      </c>
      <c r="I232" t="s">
        <v>393</v>
      </c>
      <c r="J232">
        <v>754602</v>
      </c>
      <c r="K232" t="s">
        <v>394</v>
      </c>
      <c r="L232">
        <v>2049.2399999999998</v>
      </c>
      <c r="M232">
        <v>368.23505299525681</v>
      </c>
      <c r="N232" t="s">
        <v>395</v>
      </c>
      <c r="O232">
        <v>0</v>
      </c>
    </row>
    <row r="233" spans="1:15" x14ac:dyDescent="0.25">
      <c r="A233" t="s">
        <v>551</v>
      </c>
      <c r="B233">
        <v>4</v>
      </c>
      <c r="C233" t="s">
        <v>552</v>
      </c>
      <c r="D233" s="609">
        <v>45044</v>
      </c>
      <c r="E233">
        <v>0</v>
      </c>
      <c r="F233">
        <v>6</v>
      </c>
      <c r="G233" t="s">
        <v>312</v>
      </c>
      <c r="H233" t="s">
        <v>553</v>
      </c>
      <c r="I233" t="s">
        <v>393</v>
      </c>
      <c r="J233">
        <v>382766.2</v>
      </c>
      <c r="K233" t="s">
        <v>394</v>
      </c>
      <c r="L233">
        <v>20050.46</v>
      </c>
      <c r="M233">
        <v>19.090145562745196</v>
      </c>
      <c r="N233" t="s">
        <v>395</v>
      </c>
      <c r="O233">
        <v>0</v>
      </c>
    </row>
    <row r="234" spans="1:15" x14ac:dyDescent="0.25">
      <c r="A234" t="s">
        <v>551</v>
      </c>
      <c r="B234">
        <v>4</v>
      </c>
      <c r="C234" t="s">
        <v>552</v>
      </c>
      <c r="D234" s="609">
        <v>45044</v>
      </c>
      <c r="E234">
        <v>0</v>
      </c>
      <c r="F234">
        <v>6</v>
      </c>
      <c r="G234" t="s">
        <v>313</v>
      </c>
      <c r="H234" t="s">
        <v>554</v>
      </c>
      <c r="I234" t="s">
        <v>393</v>
      </c>
      <c r="J234">
        <v>113992.3</v>
      </c>
      <c r="K234" t="s">
        <v>394</v>
      </c>
      <c r="L234">
        <v>20050.46</v>
      </c>
      <c r="M234">
        <v>5.6852710611128128</v>
      </c>
      <c r="N234" t="s">
        <v>395</v>
      </c>
      <c r="O234">
        <v>0</v>
      </c>
    </row>
    <row r="235" spans="1:15" x14ac:dyDescent="0.25">
      <c r="A235" t="s">
        <v>551</v>
      </c>
      <c r="B235">
        <v>4</v>
      </c>
      <c r="C235" t="s">
        <v>552</v>
      </c>
      <c r="D235" s="609">
        <v>45044</v>
      </c>
      <c r="E235">
        <v>0</v>
      </c>
      <c r="F235">
        <v>6</v>
      </c>
      <c r="G235" t="s">
        <v>314</v>
      </c>
      <c r="H235" t="s">
        <v>555</v>
      </c>
      <c r="I235" t="s">
        <v>393</v>
      </c>
      <c r="J235">
        <v>183146.6</v>
      </c>
      <c r="K235" t="s">
        <v>394</v>
      </c>
      <c r="L235">
        <v>20050.46</v>
      </c>
      <c r="M235">
        <v>9.1342842009609768</v>
      </c>
      <c r="N235" t="s">
        <v>395</v>
      </c>
      <c r="O235">
        <v>0</v>
      </c>
    </row>
    <row r="236" spans="1:15" x14ac:dyDescent="0.25">
      <c r="A236" t="s">
        <v>551</v>
      </c>
      <c r="B236">
        <v>4</v>
      </c>
      <c r="C236" t="s">
        <v>552</v>
      </c>
      <c r="D236" s="609">
        <v>45044</v>
      </c>
      <c r="E236">
        <v>0</v>
      </c>
      <c r="F236">
        <v>6</v>
      </c>
      <c r="G236" t="s">
        <v>315</v>
      </c>
      <c r="H236" t="s">
        <v>556</v>
      </c>
      <c r="I236" t="s">
        <v>393</v>
      </c>
      <c r="J236">
        <v>133403.6</v>
      </c>
      <c r="K236" t="s">
        <v>394</v>
      </c>
      <c r="L236">
        <v>20050.46</v>
      </c>
      <c r="M236">
        <v>6.6533934882291987</v>
      </c>
      <c r="N236" t="s">
        <v>395</v>
      </c>
      <c r="O236">
        <v>0</v>
      </c>
    </row>
    <row r="237" spans="1:15" x14ac:dyDescent="0.25">
      <c r="A237" t="s">
        <v>551</v>
      </c>
      <c r="B237">
        <v>4</v>
      </c>
      <c r="C237" t="s">
        <v>552</v>
      </c>
      <c r="D237" s="609">
        <v>45044</v>
      </c>
      <c r="E237">
        <v>0</v>
      </c>
      <c r="F237">
        <v>6</v>
      </c>
      <c r="G237" t="s">
        <v>316</v>
      </c>
      <c r="H237" t="s">
        <v>557</v>
      </c>
      <c r="I237" t="s">
        <v>393</v>
      </c>
      <c r="J237">
        <v>345468.5</v>
      </c>
      <c r="K237" t="s">
        <v>394</v>
      </c>
      <c r="L237">
        <v>20050.46</v>
      </c>
      <c r="M237">
        <v>17.229953826495752</v>
      </c>
      <c r="N237" t="s">
        <v>395</v>
      </c>
      <c r="O237">
        <v>0</v>
      </c>
    </row>
    <row r="238" spans="1:15" x14ac:dyDescent="0.25">
      <c r="A238" t="s">
        <v>551</v>
      </c>
      <c r="B238">
        <v>4</v>
      </c>
      <c r="C238" t="s">
        <v>552</v>
      </c>
      <c r="D238" s="609">
        <v>45044</v>
      </c>
      <c r="E238">
        <v>0</v>
      </c>
      <c r="F238">
        <v>6</v>
      </c>
      <c r="G238" t="s">
        <v>317</v>
      </c>
      <c r="H238" t="s">
        <v>558</v>
      </c>
      <c r="I238" t="s">
        <v>393</v>
      </c>
      <c r="J238">
        <v>1509204</v>
      </c>
      <c r="K238" t="s">
        <v>394</v>
      </c>
      <c r="L238">
        <v>20050.46</v>
      </c>
      <c r="M238">
        <v>75.270293050633256</v>
      </c>
      <c r="N238" t="s">
        <v>395</v>
      </c>
      <c r="O238">
        <v>0</v>
      </c>
    </row>
    <row r="239" spans="1:15" x14ac:dyDescent="0.25">
      <c r="A239" t="s">
        <v>559</v>
      </c>
      <c r="B239">
        <v>5</v>
      </c>
      <c r="C239" t="s">
        <v>560</v>
      </c>
      <c r="D239" s="609">
        <v>45077</v>
      </c>
      <c r="E239">
        <v>0</v>
      </c>
      <c r="F239">
        <v>6</v>
      </c>
      <c r="G239" t="s">
        <v>312</v>
      </c>
      <c r="H239" t="s">
        <v>561</v>
      </c>
      <c r="I239" t="s">
        <v>393</v>
      </c>
      <c r="J239">
        <v>382766.2</v>
      </c>
      <c r="K239" t="s">
        <v>394</v>
      </c>
      <c r="L239">
        <v>2054.29</v>
      </c>
      <c r="M239">
        <v>186.32529973859582</v>
      </c>
      <c r="N239" t="s">
        <v>395</v>
      </c>
      <c r="O239">
        <v>0</v>
      </c>
    </row>
    <row r="240" spans="1:15" x14ac:dyDescent="0.25">
      <c r="A240" t="s">
        <v>559</v>
      </c>
      <c r="B240">
        <v>5</v>
      </c>
      <c r="C240" t="s">
        <v>560</v>
      </c>
      <c r="D240" s="609">
        <v>45077</v>
      </c>
      <c r="E240">
        <v>0</v>
      </c>
      <c r="F240">
        <v>6</v>
      </c>
      <c r="G240" t="s">
        <v>313</v>
      </c>
      <c r="H240" t="s">
        <v>562</v>
      </c>
      <c r="I240" t="s">
        <v>393</v>
      </c>
      <c r="J240">
        <v>113992.3</v>
      </c>
      <c r="K240" t="s">
        <v>394</v>
      </c>
      <c r="L240">
        <v>2054.29</v>
      </c>
      <c r="M240">
        <v>55.489877281201778</v>
      </c>
      <c r="N240" t="s">
        <v>395</v>
      </c>
      <c r="O240">
        <v>0</v>
      </c>
    </row>
    <row r="241" spans="1:15" x14ac:dyDescent="0.25">
      <c r="A241" t="s">
        <v>559</v>
      </c>
      <c r="B241">
        <v>5</v>
      </c>
      <c r="C241" t="s">
        <v>560</v>
      </c>
      <c r="D241" s="609">
        <v>45077</v>
      </c>
      <c r="E241">
        <v>0</v>
      </c>
      <c r="F241">
        <v>6</v>
      </c>
      <c r="G241" t="s">
        <v>314</v>
      </c>
      <c r="H241" t="s">
        <v>563</v>
      </c>
      <c r="I241" t="s">
        <v>393</v>
      </c>
      <c r="J241">
        <v>183146.6</v>
      </c>
      <c r="K241" t="s">
        <v>394</v>
      </c>
      <c r="L241">
        <v>2054.29</v>
      </c>
      <c r="M241">
        <v>89.153235424404542</v>
      </c>
      <c r="N241" t="s">
        <v>395</v>
      </c>
      <c r="O241">
        <v>0</v>
      </c>
    </row>
    <row r="242" spans="1:15" x14ac:dyDescent="0.25">
      <c r="A242" t="s">
        <v>559</v>
      </c>
      <c r="B242">
        <v>5</v>
      </c>
      <c r="C242" t="s">
        <v>560</v>
      </c>
      <c r="D242" s="609">
        <v>45077</v>
      </c>
      <c r="E242">
        <v>0</v>
      </c>
      <c r="F242">
        <v>6</v>
      </c>
      <c r="G242" t="s">
        <v>315</v>
      </c>
      <c r="H242" t="s">
        <v>564</v>
      </c>
      <c r="I242" t="s">
        <v>393</v>
      </c>
      <c r="J242">
        <v>133403.6</v>
      </c>
      <c r="K242" t="s">
        <v>394</v>
      </c>
      <c r="L242">
        <v>2054.29</v>
      </c>
      <c r="M242">
        <v>64.939030029839998</v>
      </c>
      <c r="N242" t="s">
        <v>395</v>
      </c>
      <c r="O242">
        <v>0</v>
      </c>
    </row>
    <row r="243" spans="1:15" x14ac:dyDescent="0.25">
      <c r="A243" t="s">
        <v>559</v>
      </c>
      <c r="B243">
        <v>5</v>
      </c>
      <c r="C243" t="s">
        <v>560</v>
      </c>
      <c r="D243" s="609">
        <v>45077</v>
      </c>
      <c r="E243">
        <v>0</v>
      </c>
      <c r="F243">
        <v>6</v>
      </c>
      <c r="G243" t="s">
        <v>316</v>
      </c>
      <c r="H243" t="s">
        <v>565</v>
      </c>
      <c r="I243" t="s">
        <v>393</v>
      </c>
      <c r="J243">
        <v>345468.5</v>
      </c>
      <c r="K243" t="s">
        <v>394</v>
      </c>
      <c r="L243">
        <v>2054.29</v>
      </c>
      <c r="M243">
        <v>168.16929450077643</v>
      </c>
      <c r="N243" t="s">
        <v>395</v>
      </c>
      <c r="O243">
        <v>0</v>
      </c>
    </row>
    <row r="244" spans="1:15" x14ac:dyDescent="0.25">
      <c r="A244" t="s">
        <v>559</v>
      </c>
      <c r="B244">
        <v>5</v>
      </c>
      <c r="C244" t="s">
        <v>560</v>
      </c>
      <c r="D244" s="609">
        <v>45077</v>
      </c>
      <c r="E244">
        <v>0</v>
      </c>
      <c r="F244">
        <v>6</v>
      </c>
      <c r="G244" t="s">
        <v>317</v>
      </c>
      <c r="H244" t="s">
        <v>566</v>
      </c>
      <c r="I244" t="s">
        <v>393</v>
      </c>
      <c r="J244">
        <v>1509204</v>
      </c>
      <c r="K244" t="s">
        <v>394</v>
      </c>
      <c r="L244">
        <v>2054.29</v>
      </c>
      <c r="M244">
        <v>734.65966343602895</v>
      </c>
      <c r="N244" t="s">
        <v>395</v>
      </c>
      <c r="O244">
        <v>0</v>
      </c>
    </row>
    <row r="245" spans="1:15" x14ac:dyDescent="0.25">
      <c r="A245" t="s">
        <v>567</v>
      </c>
      <c r="B245">
        <v>6</v>
      </c>
      <c r="C245" t="s">
        <v>529</v>
      </c>
      <c r="D245" s="609">
        <v>44936</v>
      </c>
      <c r="E245">
        <v>0</v>
      </c>
      <c r="F245">
        <v>6</v>
      </c>
      <c r="G245" t="s">
        <v>338</v>
      </c>
      <c r="H245" t="s">
        <v>568</v>
      </c>
      <c r="I245" t="s">
        <v>393</v>
      </c>
      <c r="J245">
        <v>70000</v>
      </c>
      <c r="K245" t="s">
        <v>394</v>
      </c>
      <c r="L245">
        <v>2043.09</v>
      </c>
      <c r="M245">
        <v>34.261828896426493</v>
      </c>
      <c r="N245" t="s">
        <v>395</v>
      </c>
      <c r="O245">
        <v>0</v>
      </c>
    </row>
    <row r="246" spans="1:15" x14ac:dyDescent="0.25">
      <c r="A246" t="s">
        <v>569</v>
      </c>
      <c r="B246">
        <v>7</v>
      </c>
      <c r="C246" t="s">
        <v>529</v>
      </c>
      <c r="D246" s="609">
        <v>44958</v>
      </c>
      <c r="E246">
        <v>0</v>
      </c>
      <c r="F246">
        <v>6</v>
      </c>
      <c r="G246" t="s">
        <v>335</v>
      </c>
      <c r="H246" t="s">
        <v>570</v>
      </c>
      <c r="I246" t="s">
        <v>393</v>
      </c>
      <c r="J246">
        <v>200000</v>
      </c>
      <c r="K246" t="s">
        <v>394</v>
      </c>
      <c r="L246">
        <v>2043.09</v>
      </c>
      <c r="M246">
        <v>97.890939704075691</v>
      </c>
      <c r="N246" t="s">
        <v>395</v>
      </c>
      <c r="O246">
        <v>0</v>
      </c>
    </row>
    <row r="247" spans="1:15" x14ac:dyDescent="0.25">
      <c r="A247" t="s">
        <v>569</v>
      </c>
      <c r="B247">
        <v>8</v>
      </c>
      <c r="C247" t="s">
        <v>529</v>
      </c>
      <c r="D247" s="609">
        <v>44958</v>
      </c>
      <c r="E247">
        <v>0</v>
      </c>
      <c r="F247">
        <v>6</v>
      </c>
      <c r="G247" t="s">
        <v>339</v>
      </c>
      <c r="H247" t="s">
        <v>571</v>
      </c>
      <c r="I247" t="s">
        <v>393</v>
      </c>
      <c r="J247">
        <v>60000</v>
      </c>
      <c r="K247" t="s">
        <v>394</v>
      </c>
      <c r="L247">
        <v>2043.09</v>
      </c>
      <c r="M247">
        <v>29.367281911222708</v>
      </c>
      <c r="N247" t="s">
        <v>395</v>
      </c>
      <c r="O247">
        <v>0</v>
      </c>
    </row>
    <row r="248" spans="1:15" x14ac:dyDescent="0.25">
      <c r="A248" t="s">
        <v>572</v>
      </c>
      <c r="B248">
        <v>9</v>
      </c>
      <c r="C248" t="s">
        <v>536</v>
      </c>
      <c r="D248" s="609">
        <v>44973</v>
      </c>
      <c r="E248">
        <v>0</v>
      </c>
      <c r="F248">
        <v>6</v>
      </c>
      <c r="G248" t="s">
        <v>340</v>
      </c>
      <c r="H248" t="s">
        <v>573</v>
      </c>
      <c r="I248" t="s">
        <v>393</v>
      </c>
      <c r="J248">
        <v>36385</v>
      </c>
      <c r="K248" t="s">
        <v>394</v>
      </c>
      <c r="L248">
        <v>2043.09</v>
      </c>
      <c r="M248">
        <v>17.80880920566397</v>
      </c>
      <c r="N248" t="s">
        <v>395</v>
      </c>
      <c r="O248">
        <v>0</v>
      </c>
    </row>
    <row r="249" spans="1:15" x14ac:dyDescent="0.25">
      <c r="A249" t="s">
        <v>574</v>
      </c>
      <c r="B249">
        <v>10</v>
      </c>
      <c r="C249" t="s">
        <v>529</v>
      </c>
      <c r="D249" s="609">
        <v>44963</v>
      </c>
      <c r="E249">
        <v>0</v>
      </c>
      <c r="F249">
        <v>6</v>
      </c>
      <c r="G249" t="s">
        <v>337</v>
      </c>
      <c r="H249" t="s">
        <v>575</v>
      </c>
      <c r="I249" t="s">
        <v>393</v>
      </c>
      <c r="J249">
        <v>30000</v>
      </c>
      <c r="K249" t="s">
        <v>394</v>
      </c>
      <c r="L249">
        <v>2043.09</v>
      </c>
      <c r="M249">
        <v>14.683640955611354</v>
      </c>
      <c r="N249" t="s">
        <v>395</v>
      </c>
      <c r="O249">
        <v>0</v>
      </c>
    </row>
    <row r="250" spans="1:15" x14ac:dyDescent="0.25">
      <c r="A250" t="s">
        <v>576</v>
      </c>
      <c r="B250">
        <v>11</v>
      </c>
      <c r="C250" t="s">
        <v>536</v>
      </c>
      <c r="D250" s="609">
        <v>44963</v>
      </c>
      <c r="E250">
        <v>0</v>
      </c>
      <c r="F250">
        <v>6</v>
      </c>
      <c r="G250" t="s">
        <v>335</v>
      </c>
      <c r="H250" t="s">
        <v>577</v>
      </c>
      <c r="I250" t="s">
        <v>393</v>
      </c>
      <c r="J250">
        <v>200000</v>
      </c>
      <c r="K250" t="s">
        <v>394</v>
      </c>
      <c r="L250">
        <v>2047.28</v>
      </c>
      <c r="M250">
        <v>97.690594349576031</v>
      </c>
      <c r="N250" t="s">
        <v>395</v>
      </c>
      <c r="O250">
        <v>0</v>
      </c>
    </row>
    <row r="251" spans="1:15" x14ac:dyDescent="0.25">
      <c r="A251" t="s">
        <v>578</v>
      </c>
      <c r="B251">
        <v>12</v>
      </c>
      <c r="C251" t="s">
        <v>536</v>
      </c>
      <c r="D251" s="609">
        <v>44967</v>
      </c>
      <c r="E251">
        <v>0</v>
      </c>
      <c r="F251">
        <v>6</v>
      </c>
      <c r="G251" t="s">
        <v>338</v>
      </c>
      <c r="H251" t="s">
        <v>579</v>
      </c>
      <c r="I251" t="s">
        <v>393</v>
      </c>
      <c r="J251">
        <v>70000</v>
      </c>
      <c r="K251" t="s">
        <v>394</v>
      </c>
      <c r="L251">
        <v>2047.28</v>
      </c>
      <c r="M251">
        <v>34.191708022351605</v>
      </c>
      <c r="N251" t="s">
        <v>395</v>
      </c>
      <c r="O251">
        <v>0</v>
      </c>
    </row>
    <row r="252" spans="1:15" x14ac:dyDescent="0.25">
      <c r="A252" t="s">
        <v>580</v>
      </c>
      <c r="B252">
        <v>13</v>
      </c>
      <c r="C252" t="s">
        <v>536</v>
      </c>
      <c r="D252" s="609">
        <v>44978</v>
      </c>
      <c r="E252">
        <v>0</v>
      </c>
      <c r="F252">
        <v>6</v>
      </c>
      <c r="G252" t="s">
        <v>340</v>
      </c>
      <c r="H252" t="s">
        <v>581</v>
      </c>
      <c r="I252" t="s">
        <v>393</v>
      </c>
      <c r="J252">
        <v>36385</v>
      </c>
      <c r="K252" t="s">
        <v>394</v>
      </c>
      <c r="L252">
        <v>2047.28</v>
      </c>
      <c r="M252">
        <v>17.772361377046618</v>
      </c>
      <c r="N252" t="s">
        <v>395</v>
      </c>
      <c r="O252">
        <v>0</v>
      </c>
    </row>
    <row r="253" spans="1:15" x14ac:dyDescent="0.25">
      <c r="A253" t="s">
        <v>582</v>
      </c>
      <c r="B253">
        <v>14</v>
      </c>
      <c r="C253" t="s">
        <v>536</v>
      </c>
      <c r="D253" s="609">
        <v>44985</v>
      </c>
      <c r="E253">
        <v>0</v>
      </c>
      <c r="F253">
        <v>6</v>
      </c>
      <c r="G253" t="s">
        <v>339</v>
      </c>
      <c r="H253" t="s">
        <v>583</v>
      </c>
      <c r="I253" t="s">
        <v>393</v>
      </c>
      <c r="J253">
        <v>60000</v>
      </c>
      <c r="K253" t="s">
        <v>394</v>
      </c>
      <c r="L253">
        <v>2047.28</v>
      </c>
      <c r="M253">
        <v>29.307178304872807</v>
      </c>
      <c r="N253" t="s">
        <v>395</v>
      </c>
      <c r="O253">
        <v>0</v>
      </c>
    </row>
    <row r="254" spans="1:15" x14ac:dyDescent="0.25">
      <c r="A254" t="s">
        <v>584</v>
      </c>
      <c r="B254">
        <v>15</v>
      </c>
      <c r="C254" t="s">
        <v>543</v>
      </c>
      <c r="D254" s="609">
        <v>44998</v>
      </c>
      <c r="E254">
        <v>0</v>
      </c>
      <c r="F254">
        <v>6</v>
      </c>
      <c r="G254" t="s">
        <v>338</v>
      </c>
      <c r="H254" t="s">
        <v>585</v>
      </c>
      <c r="I254" t="s">
        <v>393</v>
      </c>
      <c r="J254">
        <v>70000</v>
      </c>
      <c r="K254" t="s">
        <v>394</v>
      </c>
      <c r="L254">
        <v>2049.2399999999998</v>
      </c>
      <c r="M254">
        <v>34.159005289765965</v>
      </c>
      <c r="N254" t="s">
        <v>395</v>
      </c>
      <c r="O254">
        <v>0</v>
      </c>
    </row>
    <row r="255" spans="1:15" x14ac:dyDescent="0.25">
      <c r="A255" t="s">
        <v>584</v>
      </c>
      <c r="B255">
        <v>16</v>
      </c>
      <c r="C255" t="s">
        <v>536</v>
      </c>
      <c r="D255" s="609">
        <v>44998</v>
      </c>
      <c r="E255">
        <v>0</v>
      </c>
      <c r="F255">
        <v>6</v>
      </c>
      <c r="G255" t="s">
        <v>337</v>
      </c>
      <c r="H255" t="s">
        <v>586</v>
      </c>
      <c r="I255" t="s">
        <v>393</v>
      </c>
      <c r="J255">
        <v>30000</v>
      </c>
      <c r="K255" t="s">
        <v>394</v>
      </c>
      <c r="L255">
        <v>2047.28</v>
      </c>
      <c r="M255">
        <v>14.653589152436403</v>
      </c>
      <c r="N255" t="s">
        <v>395</v>
      </c>
      <c r="O255">
        <v>0</v>
      </c>
    </row>
    <row r="256" spans="1:15" x14ac:dyDescent="0.25">
      <c r="A256" t="s">
        <v>587</v>
      </c>
      <c r="B256">
        <v>17</v>
      </c>
      <c r="C256" t="s">
        <v>552</v>
      </c>
      <c r="D256" s="609">
        <v>45030</v>
      </c>
      <c r="E256">
        <v>0</v>
      </c>
      <c r="F256">
        <v>6</v>
      </c>
      <c r="G256" t="s">
        <v>338</v>
      </c>
      <c r="H256" t="s">
        <v>588</v>
      </c>
      <c r="I256" t="s">
        <v>393</v>
      </c>
      <c r="J256">
        <v>70000</v>
      </c>
      <c r="K256" t="s">
        <v>394</v>
      </c>
      <c r="L256">
        <v>2049.2399999999998</v>
      </c>
      <c r="M256">
        <v>34.159005289765965</v>
      </c>
      <c r="N256" t="s">
        <v>395</v>
      </c>
      <c r="O256">
        <v>0</v>
      </c>
    </row>
    <row r="257" spans="1:15" x14ac:dyDescent="0.25">
      <c r="A257" t="s">
        <v>587</v>
      </c>
      <c r="B257">
        <v>18</v>
      </c>
      <c r="C257" t="s">
        <v>543</v>
      </c>
      <c r="D257" s="609">
        <v>45030</v>
      </c>
      <c r="E257">
        <v>0</v>
      </c>
      <c r="F257">
        <v>6</v>
      </c>
      <c r="G257" t="s">
        <v>337</v>
      </c>
      <c r="H257" t="s">
        <v>589</v>
      </c>
      <c r="I257" t="s">
        <v>393</v>
      </c>
      <c r="J257">
        <v>30000</v>
      </c>
      <c r="K257" t="s">
        <v>394</v>
      </c>
      <c r="L257">
        <v>2049.2399999999998</v>
      </c>
      <c r="M257">
        <v>14.639573695613985</v>
      </c>
      <c r="N257" t="s">
        <v>395</v>
      </c>
      <c r="O257">
        <v>0</v>
      </c>
    </row>
    <row r="258" spans="1:15" x14ac:dyDescent="0.25">
      <c r="A258" t="s">
        <v>590</v>
      </c>
      <c r="B258">
        <v>19</v>
      </c>
      <c r="C258" t="s">
        <v>543</v>
      </c>
      <c r="D258" s="609">
        <v>45002</v>
      </c>
      <c r="E258">
        <v>0</v>
      </c>
      <c r="F258">
        <v>6</v>
      </c>
      <c r="G258" t="s">
        <v>335</v>
      </c>
      <c r="H258" t="s">
        <v>591</v>
      </c>
      <c r="I258" t="s">
        <v>393</v>
      </c>
      <c r="J258">
        <v>200000</v>
      </c>
      <c r="K258" t="s">
        <v>394</v>
      </c>
      <c r="L258">
        <v>2049.2399999999998</v>
      </c>
      <c r="M258">
        <v>97.597157970759895</v>
      </c>
      <c r="N258" t="s">
        <v>395</v>
      </c>
      <c r="O258">
        <v>0</v>
      </c>
    </row>
    <row r="259" spans="1:15" x14ac:dyDescent="0.25">
      <c r="A259" t="s">
        <v>592</v>
      </c>
      <c r="B259">
        <v>20</v>
      </c>
      <c r="C259" t="s">
        <v>543</v>
      </c>
      <c r="D259" s="609">
        <v>45012</v>
      </c>
      <c r="E259">
        <v>0</v>
      </c>
      <c r="F259">
        <v>6</v>
      </c>
      <c r="G259" t="s">
        <v>340</v>
      </c>
      <c r="H259" t="s">
        <v>593</v>
      </c>
      <c r="I259" t="s">
        <v>393</v>
      </c>
      <c r="J259">
        <v>36385</v>
      </c>
      <c r="K259" t="s">
        <v>394</v>
      </c>
      <c r="L259">
        <v>2049.2399999999998</v>
      </c>
      <c r="M259">
        <v>17.755362963830496</v>
      </c>
      <c r="N259" t="s">
        <v>395</v>
      </c>
      <c r="O259">
        <v>0</v>
      </c>
    </row>
    <row r="260" spans="1:15" x14ac:dyDescent="0.25">
      <c r="A260" t="s">
        <v>594</v>
      </c>
      <c r="B260">
        <v>21</v>
      </c>
      <c r="C260" t="s">
        <v>543</v>
      </c>
      <c r="D260" s="609">
        <v>45016</v>
      </c>
      <c r="E260">
        <v>0</v>
      </c>
      <c r="F260">
        <v>6</v>
      </c>
      <c r="G260" t="s">
        <v>339</v>
      </c>
      <c r="H260" t="s">
        <v>595</v>
      </c>
      <c r="I260" t="s">
        <v>393</v>
      </c>
      <c r="J260">
        <v>60000</v>
      </c>
      <c r="K260" t="s">
        <v>394</v>
      </c>
      <c r="L260">
        <v>2049.2399999999998</v>
      </c>
      <c r="M260">
        <v>29.279147391227969</v>
      </c>
      <c r="N260" t="s">
        <v>395</v>
      </c>
      <c r="O260">
        <v>0</v>
      </c>
    </row>
    <row r="261" spans="1:15" x14ac:dyDescent="0.25">
      <c r="A261" t="s">
        <v>596</v>
      </c>
      <c r="B261">
        <v>22</v>
      </c>
      <c r="C261" t="s">
        <v>552</v>
      </c>
      <c r="D261" s="609">
        <v>45049</v>
      </c>
      <c r="E261">
        <v>0</v>
      </c>
      <c r="F261">
        <v>6</v>
      </c>
      <c r="G261" t="s">
        <v>335</v>
      </c>
      <c r="H261" t="s">
        <v>597</v>
      </c>
      <c r="I261" t="s">
        <v>393</v>
      </c>
      <c r="J261">
        <v>200000</v>
      </c>
      <c r="K261" t="s">
        <v>394</v>
      </c>
      <c r="L261">
        <v>2050.46</v>
      </c>
      <c r="M261">
        <v>97.539088789832519</v>
      </c>
      <c r="N261" t="s">
        <v>395</v>
      </c>
      <c r="O261">
        <v>0</v>
      </c>
    </row>
    <row r="262" spans="1:15" x14ac:dyDescent="0.25">
      <c r="A262" t="s">
        <v>596</v>
      </c>
      <c r="B262">
        <v>23</v>
      </c>
      <c r="C262" t="s">
        <v>552</v>
      </c>
      <c r="D262" s="609">
        <v>45049</v>
      </c>
      <c r="E262">
        <v>0</v>
      </c>
      <c r="F262">
        <v>6</v>
      </c>
      <c r="G262" t="s">
        <v>339</v>
      </c>
      <c r="H262" t="s">
        <v>598</v>
      </c>
      <c r="I262" t="s">
        <v>393</v>
      </c>
      <c r="J262">
        <v>60000</v>
      </c>
      <c r="K262" t="s">
        <v>394</v>
      </c>
      <c r="L262">
        <v>2050.46</v>
      </c>
      <c r="M262">
        <v>29.261726636949756</v>
      </c>
      <c r="N262" t="s">
        <v>395</v>
      </c>
      <c r="O262">
        <v>0</v>
      </c>
    </row>
    <row r="263" spans="1:15" x14ac:dyDescent="0.25">
      <c r="A263" t="s">
        <v>599</v>
      </c>
      <c r="B263">
        <v>24</v>
      </c>
      <c r="C263" t="s">
        <v>552</v>
      </c>
      <c r="D263" s="609">
        <v>45051</v>
      </c>
      <c r="E263">
        <v>0</v>
      </c>
      <c r="F263">
        <v>6</v>
      </c>
      <c r="G263" t="s">
        <v>337</v>
      </c>
      <c r="H263" t="s">
        <v>600</v>
      </c>
      <c r="I263" t="s">
        <v>393</v>
      </c>
      <c r="J263">
        <v>30000</v>
      </c>
      <c r="K263" t="s">
        <v>394</v>
      </c>
      <c r="L263">
        <v>2050.46</v>
      </c>
      <c r="M263">
        <v>14.630863318474878</v>
      </c>
      <c r="N263" t="s">
        <v>395</v>
      </c>
      <c r="O263">
        <v>0</v>
      </c>
    </row>
    <row r="264" spans="1:15" x14ac:dyDescent="0.25">
      <c r="A264" t="s">
        <v>601</v>
      </c>
      <c r="B264">
        <v>25</v>
      </c>
      <c r="C264" t="s">
        <v>560</v>
      </c>
      <c r="D264" s="609">
        <v>45062</v>
      </c>
      <c r="E264">
        <v>0</v>
      </c>
      <c r="F264">
        <v>6</v>
      </c>
      <c r="G264" t="s">
        <v>338</v>
      </c>
      <c r="H264" t="s">
        <v>602</v>
      </c>
      <c r="I264" t="s">
        <v>393</v>
      </c>
      <c r="J264">
        <v>70000</v>
      </c>
      <c r="K264" t="s">
        <v>394</v>
      </c>
      <c r="L264">
        <v>2054.29</v>
      </c>
      <c r="M264">
        <v>34.075033223157391</v>
      </c>
      <c r="N264" t="s">
        <v>395</v>
      </c>
      <c r="O264">
        <v>0</v>
      </c>
    </row>
    <row r="265" spans="1:15" x14ac:dyDescent="0.25">
      <c r="A265" t="s">
        <v>601</v>
      </c>
      <c r="B265">
        <v>26</v>
      </c>
      <c r="C265" t="s">
        <v>560</v>
      </c>
      <c r="D265" s="609">
        <v>45062</v>
      </c>
      <c r="E265">
        <v>0</v>
      </c>
      <c r="F265">
        <v>6</v>
      </c>
      <c r="G265" t="s">
        <v>335</v>
      </c>
      <c r="H265" t="s">
        <v>603</v>
      </c>
      <c r="I265" t="s">
        <v>393</v>
      </c>
      <c r="J265">
        <v>200000</v>
      </c>
      <c r="K265" t="s">
        <v>394</v>
      </c>
      <c r="L265">
        <v>2054.29</v>
      </c>
      <c r="M265">
        <v>97.357237780449694</v>
      </c>
      <c r="N265" t="s">
        <v>395</v>
      </c>
      <c r="O265">
        <v>0</v>
      </c>
    </row>
    <row r="266" spans="1:15" x14ac:dyDescent="0.25">
      <c r="A266" t="s">
        <v>617</v>
      </c>
      <c r="B266">
        <v>1</v>
      </c>
      <c r="C266" s="609">
        <v>45047</v>
      </c>
      <c r="D266" s="609">
        <v>45065</v>
      </c>
      <c r="E266">
        <v>0</v>
      </c>
      <c r="F266">
        <v>6</v>
      </c>
      <c r="G266" t="s">
        <v>343</v>
      </c>
      <c r="H266" t="s">
        <v>618</v>
      </c>
      <c r="I266" t="s">
        <v>393</v>
      </c>
      <c r="J266">
        <v>20000</v>
      </c>
      <c r="K266" t="s">
        <v>394</v>
      </c>
      <c r="L266">
        <v>2054.29</v>
      </c>
      <c r="M266">
        <v>9.735723778044969</v>
      </c>
      <c r="N266" t="s">
        <v>395</v>
      </c>
      <c r="O266">
        <v>0</v>
      </c>
    </row>
    <row r="267" spans="1:15" x14ac:dyDescent="0.25">
      <c r="A267" t="s">
        <v>638</v>
      </c>
      <c r="B267">
        <v>1</v>
      </c>
      <c r="C267" s="609">
        <v>45078</v>
      </c>
      <c r="D267" s="609">
        <v>45092</v>
      </c>
      <c r="E267">
        <v>0</v>
      </c>
      <c r="F267">
        <v>6</v>
      </c>
      <c r="G267" t="s">
        <v>321</v>
      </c>
      <c r="H267" t="s">
        <v>817</v>
      </c>
      <c r="I267" t="s">
        <v>393</v>
      </c>
      <c r="J267">
        <v>40000</v>
      </c>
      <c r="K267" t="s">
        <v>394</v>
      </c>
      <c r="L267">
        <v>2801.6</v>
      </c>
      <c r="M267">
        <v>14.277555682467161</v>
      </c>
      <c r="N267" t="s">
        <v>395</v>
      </c>
      <c r="O267">
        <v>0</v>
      </c>
    </row>
    <row r="268" spans="1:15" x14ac:dyDescent="0.25">
      <c r="A268" t="s">
        <v>639</v>
      </c>
      <c r="B268">
        <v>2</v>
      </c>
      <c r="C268" s="609">
        <v>45078</v>
      </c>
      <c r="D268" s="609">
        <v>45092</v>
      </c>
      <c r="E268">
        <v>0</v>
      </c>
      <c r="F268">
        <v>6</v>
      </c>
      <c r="G268" t="s">
        <v>327</v>
      </c>
      <c r="H268" t="s">
        <v>640</v>
      </c>
      <c r="I268" t="s">
        <v>393</v>
      </c>
      <c r="J268">
        <v>45000</v>
      </c>
      <c r="K268" t="s">
        <v>394</v>
      </c>
      <c r="L268">
        <v>2801.6</v>
      </c>
      <c r="M268">
        <v>16.062250142775557</v>
      </c>
      <c r="N268" t="s">
        <v>395</v>
      </c>
      <c r="O268">
        <v>0</v>
      </c>
    </row>
    <row r="269" spans="1:15" x14ac:dyDescent="0.25">
      <c r="A269" t="s">
        <v>639</v>
      </c>
      <c r="B269">
        <v>2</v>
      </c>
      <c r="C269" s="609">
        <v>45078</v>
      </c>
      <c r="D269" s="609">
        <v>45092</v>
      </c>
      <c r="E269">
        <v>0</v>
      </c>
      <c r="F269">
        <v>6</v>
      </c>
      <c r="G269" t="s">
        <v>327</v>
      </c>
      <c r="H269" t="s">
        <v>641</v>
      </c>
      <c r="I269" t="s">
        <v>393</v>
      </c>
      <c r="J269">
        <v>45000</v>
      </c>
      <c r="K269" t="s">
        <v>394</v>
      </c>
      <c r="L269">
        <v>2801.6</v>
      </c>
      <c r="M269">
        <v>16.062250142775557</v>
      </c>
      <c r="N269" t="s">
        <v>395</v>
      </c>
      <c r="O269">
        <v>0</v>
      </c>
    </row>
    <row r="270" spans="1:15" x14ac:dyDescent="0.25">
      <c r="A270" t="s">
        <v>639</v>
      </c>
      <c r="B270">
        <v>2</v>
      </c>
      <c r="C270" s="609">
        <v>45078</v>
      </c>
      <c r="D270" s="609">
        <v>45092</v>
      </c>
      <c r="E270">
        <v>0</v>
      </c>
      <c r="F270">
        <v>6</v>
      </c>
      <c r="G270" t="s">
        <v>327</v>
      </c>
      <c r="H270" t="s">
        <v>642</v>
      </c>
      <c r="I270" t="s">
        <v>393</v>
      </c>
      <c r="J270">
        <v>45000</v>
      </c>
      <c r="K270" t="s">
        <v>394</v>
      </c>
      <c r="L270">
        <v>2801.6</v>
      </c>
      <c r="M270">
        <v>16.062250142775557</v>
      </c>
      <c r="N270" t="s">
        <v>395</v>
      </c>
      <c r="O270">
        <v>0</v>
      </c>
    </row>
    <row r="271" spans="1:15" x14ac:dyDescent="0.25">
      <c r="A271" t="s">
        <v>639</v>
      </c>
      <c r="B271">
        <v>2</v>
      </c>
      <c r="C271" s="609">
        <v>45078</v>
      </c>
      <c r="D271" s="609">
        <v>45092</v>
      </c>
      <c r="E271">
        <v>0</v>
      </c>
      <c r="F271">
        <v>6</v>
      </c>
      <c r="G271" t="s">
        <v>327</v>
      </c>
      <c r="H271" t="s">
        <v>643</v>
      </c>
      <c r="I271" t="s">
        <v>393</v>
      </c>
      <c r="J271">
        <v>45000</v>
      </c>
      <c r="K271" t="s">
        <v>394</v>
      </c>
      <c r="L271">
        <v>2801.6</v>
      </c>
      <c r="M271">
        <v>16.062250142775557</v>
      </c>
      <c r="N271" t="s">
        <v>395</v>
      </c>
      <c r="O271">
        <v>0</v>
      </c>
    </row>
    <row r="272" spans="1:15" x14ac:dyDescent="0.25">
      <c r="A272" t="s">
        <v>639</v>
      </c>
      <c r="B272">
        <v>2</v>
      </c>
      <c r="C272" s="609">
        <v>45078</v>
      </c>
      <c r="D272" s="609">
        <v>45092</v>
      </c>
      <c r="E272">
        <v>0</v>
      </c>
      <c r="F272">
        <v>6</v>
      </c>
      <c r="G272" t="s">
        <v>327</v>
      </c>
      <c r="H272" t="s">
        <v>644</v>
      </c>
      <c r="I272" t="s">
        <v>393</v>
      </c>
      <c r="J272">
        <v>45000</v>
      </c>
      <c r="K272" t="s">
        <v>394</v>
      </c>
      <c r="L272">
        <v>2801.6</v>
      </c>
      <c r="M272">
        <v>16.062250142775557</v>
      </c>
      <c r="N272" t="s">
        <v>395</v>
      </c>
      <c r="O272">
        <v>0</v>
      </c>
    </row>
    <row r="273" spans="1:15" x14ac:dyDescent="0.25">
      <c r="A273" t="s">
        <v>645</v>
      </c>
      <c r="B273">
        <v>3</v>
      </c>
      <c r="C273" s="609">
        <v>45078</v>
      </c>
      <c r="D273" s="609">
        <v>45096</v>
      </c>
      <c r="E273">
        <v>0</v>
      </c>
      <c r="F273">
        <v>6</v>
      </c>
      <c r="G273" t="s">
        <v>301</v>
      </c>
      <c r="H273" t="s">
        <v>646</v>
      </c>
      <c r="I273" t="s">
        <v>393</v>
      </c>
      <c r="J273">
        <v>1318589</v>
      </c>
      <c r="K273" t="s">
        <v>394</v>
      </c>
      <c r="L273">
        <v>2801.6</v>
      </c>
      <c r="M273">
        <v>470.65569674471732</v>
      </c>
      <c r="N273" t="s">
        <v>395</v>
      </c>
      <c r="O273">
        <v>0</v>
      </c>
    </row>
    <row r="274" spans="1:15" x14ac:dyDescent="0.25">
      <c r="A274" t="s">
        <v>645</v>
      </c>
      <c r="B274">
        <v>3</v>
      </c>
      <c r="C274" s="609">
        <v>45078</v>
      </c>
      <c r="D274" s="609">
        <v>45096</v>
      </c>
      <c r="E274">
        <v>0</v>
      </c>
      <c r="F274">
        <v>6</v>
      </c>
      <c r="G274" t="s">
        <v>301</v>
      </c>
      <c r="H274" t="s">
        <v>647</v>
      </c>
      <c r="I274" t="s">
        <v>393</v>
      </c>
      <c r="J274">
        <v>1318589</v>
      </c>
      <c r="K274" t="s">
        <v>394</v>
      </c>
      <c r="L274">
        <v>2801.6</v>
      </c>
      <c r="M274">
        <v>470.65569674471732</v>
      </c>
      <c r="N274" t="s">
        <v>395</v>
      </c>
      <c r="O274">
        <v>0</v>
      </c>
    </row>
    <row r="275" spans="1:15" x14ac:dyDescent="0.25">
      <c r="A275" t="s">
        <v>645</v>
      </c>
      <c r="B275">
        <v>3</v>
      </c>
      <c r="C275" s="609">
        <v>45078</v>
      </c>
      <c r="D275" s="609">
        <v>45096</v>
      </c>
      <c r="E275">
        <v>0</v>
      </c>
      <c r="F275">
        <v>6</v>
      </c>
      <c r="G275" t="s">
        <v>301</v>
      </c>
      <c r="H275" t="s">
        <v>648</v>
      </c>
      <c r="I275" t="s">
        <v>393</v>
      </c>
      <c r="J275">
        <v>1318589</v>
      </c>
      <c r="K275" t="s">
        <v>394</v>
      </c>
      <c r="L275">
        <v>2801.6</v>
      </c>
      <c r="M275">
        <v>470.65569674471732</v>
      </c>
      <c r="N275" t="s">
        <v>395</v>
      </c>
      <c r="O275">
        <v>0</v>
      </c>
    </row>
    <row r="276" spans="1:15" x14ac:dyDescent="0.25">
      <c r="A276" t="s">
        <v>645</v>
      </c>
      <c r="B276">
        <v>3</v>
      </c>
      <c r="C276" s="609">
        <v>45078</v>
      </c>
      <c r="D276" s="609">
        <v>45096</v>
      </c>
      <c r="E276">
        <v>0</v>
      </c>
      <c r="F276">
        <v>6</v>
      </c>
      <c r="G276" t="s">
        <v>301</v>
      </c>
      <c r="H276" t="s">
        <v>649</v>
      </c>
      <c r="I276" t="s">
        <v>393</v>
      </c>
      <c r="J276">
        <v>1318589</v>
      </c>
      <c r="K276" t="s">
        <v>394</v>
      </c>
      <c r="L276">
        <v>2801.6</v>
      </c>
      <c r="M276">
        <v>470.65569674471732</v>
      </c>
      <c r="N276" t="s">
        <v>395</v>
      </c>
      <c r="O276">
        <v>0</v>
      </c>
    </row>
    <row r="277" spans="1:15" x14ac:dyDescent="0.25">
      <c r="A277" t="s">
        <v>645</v>
      </c>
      <c r="B277">
        <v>3</v>
      </c>
      <c r="C277" s="609">
        <v>45078</v>
      </c>
      <c r="D277" s="609">
        <v>45096</v>
      </c>
      <c r="E277">
        <v>0</v>
      </c>
      <c r="F277">
        <v>6</v>
      </c>
      <c r="G277" t="s">
        <v>301</v>
      </c>
      <c r="H277" t="s">
        <v>650</v>
      </c>
      <c r="I277" t="s">
        <v>393</v>
      </c>
      <c r="J277">
        <v>1318589</v>
      </c>
      <c r="K277" t="s">
        <v>394</v>
      </c>
      <c r="L277">
        <v>2801.6</v>
      </c>
      <c r="M277">
        <v>470.65569674471732</v>
      </c>
      <c r="N277" t="s">
        <v>395</v>
      </c>
      <c r="O277">
        <v>0</v>
      </c>
    </row>
    <row r="278" spans="1:15" x14ac:dyDescent="0.25">
      <c r="A278" t="s">
        <v>651</v>
      </c>
      <c r="B278">
        <v>4</v>
      </c>
      <c r="C278" s="609">
        <v>45078</v>
      </c>
      <c r="D278" s="609">
        <v>45100</v>
      </c>
      <c r="E278">
        <v>0</v>
      </c>
      <c r="F278">
        <v>6</v>
      </c>
      <c r="G278" t="s">
        <v>323</v>
      </c>
      <c r="H278" t="s">
        <v>652</v>
      </c>
      <c r="I278" t="s">
        <v>393</v>
      </c>
      <c r="J278">
        <v>133677</v>
      </c>
      <c r="K278" t="s">
        <v>394</v>
      </c>
      <c r="L278">
        <v>2801.6</v>
      </c>
      <c r="M278">
        <v>47.714520274129072</v>
      </c>
      <c r="N278" t="s">
        <v>395</v>
      </c>
      <c r="O278">
        <v>0</v>
      </c>
    </row>
    <row r="279" spans="1:15" x14ac:dyDescent="0.25">
      <c r="A279" t="s">
        <v>651</v>
      </c>
      <c r="B279">
        <v>4</v>
      </c>
      <c r="C279" s="609">
        <v>45078</v>
      </c>
      <c r="D279" s="609">
        <v>45100</v>
      </c>
      <c r="E279">
        <v>0</v>
      </c>
      <c r="F279">
        <v>6</v>
      </c>
      <c r="G279" t="s">
        <v>323</v>
      </c>
      <c r="H279" t="s">
        <v>653</v>
      </c>
      <c r="I279" t="s">
        <v>393</v>
      </c>
      <c r="J279">
        <v>133677</v>
      </c>
      <c r="K279" t="s">
        <v>394</v>
      </c>
      <c r="L279">
        <v>2801.6</v>
      </c>
      <c r="M279">
        <v>47.714520274129072</v>
      </c>
      <c r="N279" t="s">
        <v>395</v>
      </c>
      <c r="O279">
        <v>0</v>
      </c>
    </row>
    <row r="280" spans="1:15" x14ac:dyDescent="0.25">
      <c r="A280" t="s">
        <v>651</v>
      </c>
      <c r="B280">
        <v>4</v>
      </c>
      <c r="C280" s="609">
        <v>45078</v>
      </c>
      <c r="D280" s="609">
        <v>45100</v>
      </c>
      <c r="E280">
        <v>0</v>
      </c>
      <c r="F280">
        <v>6</v>
      </c>
      <c r="G280" t="s">
        <v>323</v>
      </c>
      <c r="H280" t="s">
        <v>654</v>
      </c>
      <c r="I280" t="s">
        <v>393</v>
      </c>
      <c r="J280">
        <v>133677</v>
      </c>
      <c r="K280" t="s">
        <v>394</v>
      </c>
      <c r="L280">
        <v>2801.6</v>
      </c>
      <c r="M280">
        <v>47.714520274129072</v>
      </c>
      <c r="N280" t="s">
        <v>395</v>
      </c>
      <c r="O280">
        <v>0</v>
      </c>
    </row>
    <row r="281" spans="1:15" x14ac:dyDescent="0.25">
      <c r="A281" t="s">
        <v>651</v>
      </c>
      <c r="B281">
        <v>4</v>
      </c>
      <c r="C281" s="609">
        <v>45078</v>
      </c>
      <c r="D281" s="609">
        <v>45100</v>
      </c>
      <c r="E281">
        <v>0</v>
      </c>
      <c r="F281">
        <v>6</v>
      </c>
      <c r="G281" t="s">
        <v>323</v>
      </c>
      <c r="H281" t="s">
        <v>655</v>
      </c>
      <c r="I281" t="s">
        <v>393</v>
      </c>
      <c r="J281">
        <v>133677</v>
      </c>
      <c r="K281" t="s">
        <v>394</v>
      </c>
      <c r="L281">
        <v>2801.6</v>
      </c>
      <c r="M281">
        <v>47.714520274129072</v>
      </c>
      <c r="N281" t="s">
        <v>395</v>
      </c>
      <c r="O281">
        <v>0</v>
      </c>
    </row>
    <row r="282" spans="1:15" x14ac:dyDescent="0.25">
      <c r="A282" t="s">
        <v>651</v>
      </c>
      <c r="B282">
        <v>4</v>
      </c>
      <c r="C282" s="609">
        <v>45078</v>
      </c>
      <c r="D282" s="609">
        <v>45100</v>
      </c>
      <c r="E282">
        <v>0</v>
      </c>
      <c r="F282">
        <v>6</v>
      </c>
      <c r="G282" t="s">
        <v>323</v>
      </c>
      <c r="H282" t="s">
        <v>656</v>
      </c>
      <c r="I282" t="s">
        <v>393</v>
      </c>
      <c r="J282">
        <v>133677</v>
      </c>
      <c r="K282" t="s">
        <v>394</v>
      </c>
      <c r="L282">
        <v>2801.6</v>
      </c>
      <c r="M282">
        <v>47.714520274129072</v>
      </c>
      <c r="N282" t="s">
        <v>395</v>
      </c>
      <c r="O282">
        <v>0</v>
      </c>
    </row>
    <row r="283" spans="1:15" x14ac:dyDescent="0.25">
      <c r="A283" t="s">
        <v>651</v>
      </c>
      <c r="B283">
        <v>4</v>
      </c>
      <c r="C283" s="609">
        <v>45078</v>
      </c>
      <c r="D283" s="609">
        <v>45100</v>
      </c>
      <c r="E283">
        <v>0</v>
      </c>
      <c r="F283">
        <v>6</v>
      </c>
      <c r="G283" t="s">
        <v>300</v>
      </c>
      <c r="H283" t="s">
        <v>657</v>
      </c>
      <c r="I283" t="s">
        <v>393</v>
      </c>
      <c r="J283">
        <v>295714</v>
      </c>
      <c r="K283" t="s">
        <v>394</v>
      </c>
      <c r="L283">
        <v>2801.6</v>
      </c>
      <c r="M283">
        <v>105.55182752712736</v>
      </c>
      <c r="N283" t="s">
        <v>395</v>
      </c>
      <c r="O283">
        <v>0</v>
      </c>
    </row>
    <row r="284" spans="1:15" x14ac:dyDescent="0.25">
      <c r="A284" t="s">
        <v>651</v>
      </c>
      <c r="B284">
        <v>4</v>
      </c>
      <c r="C284" s="609">
        <v>45078</v>
      </c>
      <c r="D284" s="609">
        <v>45100</v>
      </c>
      <c r="E284">
        <v>0</v>
      </c>
      <c r="F284">
        <v>6</v>
      </c>
      <c r="G284" t="s">
        <v>300</v>
      </c>
      <c r="H284" t="s">
        <v>658</v>
      </c>
      <c r="I284" t="s">
        <v>393</v>
      </c>
      <c r="J284">
        <v>295714</v>
      </c>
      <c r="K284" t="s">
        <v>394</v>
      </c>
      <c r="L284">
        <v>2801.6</v>
      </c>
      <c r="M284">
        <v>105.55182752712736</v>
      </c>
      <c r="N284" t="s">
        <v>395</v>
      </c>
      <c r="O284">
        <v>0</v>
      </c>
    </row>
    <row r="285" spans="1:15" x14ac:dyDescent="0.25">
      <c r="A285" t="s">
        <v>651</v>
      </c>
      <c r="B285">
        <v>4</v>
      </c>
      <c r="C285" s="609">
        <v>45078</v>
      </c>
      <c r="D285" s="609">
        <v>45100</v>
      </c>
      <c r="E285">
        <v>0</v>
      </c>
      <c r="F285">
        <v>6</v>
      </c>
      <c r="G285" t="s">
        <v>300</v>
      </c>
      <c r="H285" t="s">
        <v>659</v>
      </c>
      <c r="I285" t="s">
        <v>393</v>
      </c>
      <c r="J285">
        <v>295714</v>
      </c>
      <c r="K285" t="s">
        <v>394</v>
      </c>
      <c r="L285">
        <v>2801.6</v>
      </c>
      <c r="M285">
        <v>105.55182752712736</v>
      </c>
      <c r="N285" t="s">
        <v>395</v>
      </c>
      <c r="O285">
        <v>0</v>
      </c>
    </row>
    <row r="286" spans="1:15" x14ac:dyDescent="0.25">
      <c r="A286" t="s">
        <v>651</v>
      </c>
      <c r="B286">
        <v>4</v>
      </c>
      <c r="C286" s="609">
        <v>45078</v>
      </c>
      <c r="D286" s="609">
        <v>45100</v>
      </c>
      <c r="E286">
        <v>0</v>
      </c>
      <c r="F286">
        <v>6</v>
      </c>
      <c r="G286" t="s">
        <v>300</v>
      </c>
      <c r="H286" t="s">
        <v>660</v>
      </c>
      <c r="I286" t="s">
        <v>393</v>
      </c>
      <c r="J286">
        <v>295714</v>
      </c>
      <c r="K286" t="s">
        <v>394</v>
      </c>
      <c r="L286">
        <v>2801.6</v>
      </c>
      <c r="M286">
        <v>105.55182752712736</v>
      </c>
      <c r="N286" t="s">
        <v>395</v>
      </c>
      <c r="O286">
        <v>0</v>
      </c>
    </row>
    <row r="287" spans="1:15" x14ac:dyDescent="0.25">
      <c r="A287" t="s">
        <v>651</v>
      </c>
      <c r="B287">
        <v>4</v>
      </c>
      <c r="C287" s="609">
        <v>45078</v>
      </c>
      <c r="D287" s="609">
        <v>45100</v>
      </c>
      <c r="E287">
        <v>0</v>
      </c>
      <c r="F287">
        <v>6</v>
      </c>
      <c r="G287" t="s">
        <v>300</v>
      </c>
      <c r="H287" t="s">
        <v>661</v>
      </c>
      <c r="I287" t="s">
        <v>393</v>
      </c>
      <c r="J287">
        <v>295714</v>
      </c>
      <c r="K287" t="s">
        <v>394</v>
      </c>
      <c r="L287">
        <v>2801.6</v>
      </c>
      <c r="M287">
        <v>105.55182752712736</v>
      </c>
      <c r="N287" t="s">
        <v>395</v>
      </c>
      <c r="O287">
        <v>0</v>
      </c>
    </row>
    <row r="288" spans="1:15" x14ac:dyDescent="0.25">
      <c r="A288" t="s">
        <v>651</v>
      </c>
      <c r="B288">
        <v>4</v>
      </c>
      <c r="C288" s="609">
        <v>45078</v>
      </c>
      <c r="D288" s="609">
        <v>45100</v>
      </c>
      <c r="E288">
        <v>0</v>
      </c>
      <c r="F288">
        <v>6</v>
      </c>
      <c r="G288" t="s">
        <v>305</v>
      </c>
      <c r="H288" t="s">
        <v>662</v>
      </c>
      <c r="I288" t="s">
        <v>393</v>
      </c>
      <c r="J288">
        <v>26424</v>
      </c>
      <c r="K288" t="s">
        <v>394</v>
      </c>
      <c r="L288">
        <v>2801.6</v>
      </c>
      <c r="M288">
        <v>9.4317532838378071</v>
      </c>
      <c r="N288" t="s">
        <v>395</v>
      </c>
      <c r="O288">
        <v>0</v>
      </c>
    </row>
    <row r="289" spans="1:15" x14ac:dyDescent="0.25">
      <c r="A289" t="s">
        <v>651</v>
      </c>
      <c r="B289">
        <v>4</v>
      </c>
      <c r="C289" s="609">
        <v>45078</v>
      </c>
      <c r="D289" s="609">
        <v>45100</v>
      </c>
      <c r="E289">
        <v>0</v>
      </c>
      <c r="F289">
        <v>6</v>
      </c>
      <c r="G289" t="s">
        <v>305</v>
      </c>
      <c r="H289" t="s">
        <v>663</v>
      </c>
      <c r="I289" t="s">
        <v>393</v>
      </c>
      <c r="J289">
        <v>26424</v>
      </c>
      <c r="K289" t="s">
        <v>394</v>
      </c>
      <c r="L289">
        <v>2801.6</v>
      </c>
      <c r="M289">
        <v>9.4317532838378071</v>
      </c>
      <c r="N289" t="s">
        <v>395</v>
      </c>
      <c r="O289">
        <v>0</v>
      </c>
    </row>
    <row r="290" spans="1:15" x14ac:dyDescent="0.25">
      <c r="A290" t="s">
        <v>651</v>
      </c>
      <c r="B290">
        <v>4</v>
      </c>
      <c r="C290" s="609">
        <v>45078</v>
      </c>
      <c r="D290" s="609">
        <v>45100</v>
      </c>
      <c r="E290">
        <v>0</v>
      </c>
      <c r="F290">
        <v>6</v>
      </c>
      <c r="G290" t="s">
        <v>305</v>
      </c>
      <c r="H290" t="s">
        <v>664</v>
      </c>
      <c r="I290" t="s">
        <v>393</v>
      </c>
      <c r="J290">
        <v>26424</v>
      </c>
      <c r="K290" t="s">
        <v>394</v>
      </c>
      <c r="L290">
        <v>2801.6</v>
      </c>
      <c r="M290">
        <v>9.4317532838378071</v>
      </c>
      <c r="N290" t="s">
        <v>395</v>
      </c>
      <c r="O290">
        <v>0</v>
      </c>
    </row>
    <row r="291" spans="1:15" x14ac:dyDescent="0.25">
      <c r="A291" t="s">
        <v>651</v>
      </c>
      <c r="B291">
        <v>4</v>
      </c>
      <c r="C291" s="609">
        <v>45078</v>
      </c>
      <c r="D291" s="609">
        <v>45100</v>
      </c>
      <c r="E291">
        <v>0</v>
      </c>
      <c r="F291">
        <v>6</v>
      </c>
      <c r="G291" t="s">
        <v>305</v>
      </c>
      <c r="H291" t="s">
        <v>665</v>
      </c>
      <c r="I291" t="s">
        <v>393</v>
      </c>
      <c r="J291">
        <v>26424</v>
      </c>
      <c r="K291" t="s">
        <v>394</v>
      </c>
      <c r="L291">
        <v>2801.6</v>
      </c>
      <c r="M291">
        <v>9.4317532838378071</v>
      </c>
      <c r="N291" t="s">
        <v>395</v>
      </c>
      <c r="O291">
        <v>0</v>
      </c>
    </row>
    <row r="292" spans="1:15" x14ac:dyDescent="0.25">
      <c r="A292" t="s">
        <v>651</v>
      </c>
      <c r="B292">
        <v>4</v>
      </c>
      <c r="C292" s="609">
        <v>45078</v>
      </c>
      <c r="D292" s="609">
        <v>45100</v>
      </c>
      <c r="E292">
        <v>0</v>
      </c>
      <c r="F292">
        <v>6</v>
      </c>
      <c r="G292" t="s">
        <v>305</v>
      </c>
      <c r="H292" t="s">
        <v>666</v>
      </c>
      <c r="I292" t="s">
        <v>393</v>
      </c>
      <c r="J292">
        <v>26424</v>
      </c>
      <c r="K292" t="s">
        <v>394</v>
      </c>
      <c r="L292">
        <v>2801.6</v>
      </c>
      <c r="M292">
        <v>9.4317532838378071</v>
      </c>
      <c r="N292" t="s">
        <v>395</v>
      </c>
      <c r="O292">
        <v>0</v>
      </c>
    </row>
    <row r="293" spans="1:15" x14ac:dyDescent="0.25">
      <c r="A293" t="s">
        <v>651</v>
      </c>
      <c r="B293">
        <v>4</v>
      </c>
      <c r="C293" s="609">
        <v>45078</v>
      </c>
      <c r="D293" s="609">
        <v>45100</v>
      </c>
      <c r="E293">
        <v>0</v>
      </c>
      <c r="F293">
        <v>6</v>
      </c>
      <c r="G293" t="s">
        <v>304</v>
      </c>
      <c r="H293" t="s">
        <v>667</v>
      </c>
      <c r="I293" t="s">
        <v>393</v>
      </c>
      <c r="J293">
        <v>124619</v>
      </c>
      <c r="K293" t="s">
        <v>394</v>
      </c>
      <c r="L293">
        <v>2801.6</v>
      </c>
      <c r="M293">
        <v>44.48136778983438</v>
      </c>
      <c r="N293" t="s">
        <v>395</v>
      </c>
      <c r="O293">
        <v>0</v>
      </c>
    </row>
    <row r="294" spans="1:15" x14ac:dyDescent="0.25">
      <c r="A294" t="s">
        <v>651</v>
      </c>
      <c r="B294">
        <v>4</v>
      </c>
      <c r="C294" s="609">
        <v>45078</v>
      </c>
      <c r="D294" s="609">
        <v>45100</v>
      </c>
      <c r="E294">
        <v>0</v>
      </c>
      <c r="F294">
        <v>6</v>
      </c>
      <c r="G294" t="s">
        <v>304</v>
      </c>
      <c r="H294" t="s">
        <v>668</v>
      </c>
      <c r="I294" t="s">
        <v>393</v>
      </c>
      <c r="J294">
        <v>124619</v>
      </c>
      <c r="K294" t="s">
        <v>394</v>
      </c>
      <c r="L294">
        <v>2801.6</v>
      </c>
      <c r="M294">
        <v>44.48136778983438</v>
      </c>
      <c r="N294" t="s">
        <v>395</v>
      </c>
      <c r="O294">
        <v>0</v>
      </c>
    </row>
    <row r="295" spans="1:15" x14ac:dyDescent="0.25">
      <c r="A295" t="s">
        <v>651</v>
      </c>
      <c r="B295">
        <v>4</v>
      </c>
      <c r="C295" s="609">
        <v>45078</v>
      </c>
      <c r="D295" s="609">
        <v>45100</v>
      </c>
      <c r="E295">
        <v>0</v>
      </c>
      <c r="F295">
        <v>6</v>
      </c>
      <c r="G295" t="s">
        <v>304</v>
      </c>
      <c r="H295" t="s">
        <v>669</v>
      </c>
      <c r="I295" t="s">
        <v>393</v>
      </c>
      <c r="J295">
        <v>124619</v>
      </c>
      <c r="K295" t="s">
        <v>394</v>
      </c>
      <c r="L295">
        <v>2801.6</v>
      </c>
      <c r="M295">
        <v>44.48136778983438</v>
      </c>
      <c r="N295" t="s">
        <v>395</v>
      </c>
      <c r="O295">
        <v>0</v>
      </c>
    </row>
    <row r="296" spans="1:15" x14ac:dyDescent="0.25">
      <c r="A296" t="s">
        <v>651</v>
      </c>
      <c r="B296">
        <v>4</v>
      </c>
      <c r="C296" s="609">
        <v>45078</v>
      </c>
      <c r="D296" s="609">
        <v>45100</v>
      </c>
      <c r="E296">
        <v>0</v>
      </c>
      <c r="F296">
        <v>6</v>
      </c>
      <c r="G296" t="s">
        <v>304</v>
      </c>
      <c r="H296" t="s">
        <v>670</v>
      </c>
      <c r="I296" t="s">
        <v>393</v>
      </c>
      <c r="J296">
        <v>124619</v>
      </c>
      <c r="K296" t="s">
        <v>394</v>
      </c>
      <c r="L296">
        <v>2801.6</v>
      </c>
      <c r="M296">
        <v>44.48136778983438</v>
      </c>
      <c r="N296" t="s">
        <v>395</v>
      </c>
      <c r="O296">
        <v>0</v>
      </c>
    </row>
    <row r="297" spans="1:15" x14ac:dyDescent="0.25">
      <c r="A297" t="s">
        <v>651</v>
      </c>
      <c r="B297">
        <v>4</v>
      </c>
      <c r="C297" s="609">
        <v>45078</v>
      </c>
      <c r="D297" s="609">
        <v>45100</v>
      </c>
      <c r="E297">
        <v>0</v>
      </c>
      <c r="F297">
        <v>6</v>
      </c>
      <c r="G297" t="s">
        <v>304</v>
      </c>
      <c r="H297" t="s">
        <v>671</v>
      </c>
      <c r="I297" t="s">
        <v>393</v>
      </c>
      <c r="J297">
        <v>124619</v>
      </c>
      <c r="K297" t="s">
        <v>394</v>
      </c>
      <c r="L297">
        <v>2801.6</v>
      </c>
      <c r="M297">
        <v>44.48136778983438</v>
      </c>
      <c r="N297" t="s">
        <v>395</v>
      </c>
      <c r="O297">
        <v>0</v>
      </c>
    </row>
    <row r="298" spans="1:15" x14ac:dyDescent="0.25">
      <c r="A298" t="s">
        <v>651</v>
      </c>
      <c r="B298">
        <v>4</v>
      </c>
      <c r="C298" s="609">
        <v>45078</v>
      </c>
      <c r="D298" s="609">
        <v>45100</v>
      </c>
      <c r="E298">
        <v>0</v>
      </c>
      <c r="F298">
        <v>6</v>
      </c>
      <c r="G298" t="s">
        <v>303</v>
      </c>
      <c r="H298" t="s">
        <v>672</v>
      </c>
      <c r="I298" t="s">
        <v>393</v>
      </c>
      <c r="J298">
        <v>70817</v>
      </c>
      <c r="K298" t="s">
        <v>394</v>
      </c>
      <c r="L298">
        <v>2801.6</v>
      </c>
      <c r="M298">
        <v>25.277341519131927</v>
      </c>
      <c r="N298" t="s">
        <v>395</v>
      </c>
      <c r="O298">
        <v>0</v>
      </c>
    </row>
    <row r="299" spans="1:15" x14ac:dyDescent="0.25">
      <c r="A299" t="s">
        <v>651</v>
      </c>
      <c r="B299">
        <v>4</v>
      </c>
      <c r="C299" s="609">
        <v>45078</v>
      </c>
      <c r="D299" s="609">
        <v>45100</v>
      </c>
      <c r="E299">
        <v>0</v>
      </c>
      <c r="F299">
        <v>6</v>
      </c>
      <c r="G299" t="s">
        <v>303</v>
      </c>
      <c r="H299" t="s">
        <v>673</v>
      </c>
      <c r="I299" t="s">
        <v>393</v>
      </c>
      <c r="J299">
        <v>70817</v>
      </c>
      <c r="K299" t="s">
        <v>394</v>
      </c>
      <c r="L299">
        <v>2801.6</v>
      </c>
      <c r="M299">
        <v>25.277341519131927</v>
      </c>
      <c r="N299" t="s">
        <v>395</v>
      </c>
      <c r="O299">
        <v>0</v>
      </c>
    </row>
    <row r="300" spans="1:15" x14ac:dyDescent="0.25">
      <c r="A300" t="s">
        <v>651</v>
      </c>
      <c r="B300">
        <v>4</v>
      </c>
      <c r="C300" s="609">
        <v>45078</v>
      </c>
      <c r="D300" s="609">
        <v>45100</v>
      </c>
      <c r="E300">
        <v>0</v>
      </c>
      <c r="F300">
        <v>6</v>
      </c>
      <c r="G300" t="s">
        <v>303</v>
      </c>
      <c r="H300" t="s">
        <v>674</v>
      </c>
      <c r="I300" t="s">
        <v>393</v>
      </c>
      <c r="J300">
        <v>70817</v>
      </c>
      <c r="K300" t="s">
        <v>394</v>
      </c>
      <c r="L300">
        <v>2801.6</v>
      </c>
      <c r="M300">
        <v>25.277341519131927</v>
      </c>
      <c r="N300" t="s">
        <v>395</v>
      </c>
      <c r="O300">
        <v>0</v>
      </c>
    </row>
    <row r="301" spans="1:15" x14ac:dyDescent="0.25">
      <c r="A301" t="s">
        <v>651</v>
      </c>
      <c r="B301">
        <v>4</v>
      </c>
      <c r="C301" s="609">
        <v>45078</v>
      </c>
      <c r="D301" s="609">
        <v>45100</v>
      </c>
      <c r="E301">
        <v>0</v>
      </c>
      <c r="F301">
        <v>6</v>
      </c>
      <c r="G301" t="s">
        <v>303</v>
      </c>
      <c r="H301" t="s">
        <v>675</v>
      </c>
      <c r="I301" t="s">
        <v>393</v>
      </c>
      <c r="J301">
        <v>70817</v>
      </c>
      <c r="K301" t="s">
        <v>394</v>
      </c>
      <c r="L301">
        <v>2801.6</v>
      </c>
      <c r="M301">
        <v>25.277341519131927</v>
      </c>
      <c r="N301" t="s">
        <v>395</v>
      </c>
      <c r="O301">
        <v>0</v>
      </c>
    </row>
    <row r="302" spans="1:15" x14ac:dyDescent="0.25">
      <c r="A302" t="s">
        <v>651</v>
      </c>
      <c r="B302">
        <v>4</v>
      </c>
      <c r="C302" s="609">
        <v>45078</v>
      </c>
      <c r="D302" s="609">
        <v>45100</v>
      </c>
      <c r="E302">
        <v>0</v>
      </c>
      <c r="F302">
        <v>6</v>
      </c>
      <c r="G302" t="s">
        <v>303</v>
      </c>
      <c r="H302" t="s">
        <v>676</v>
      </c>
      <c r="I302" t="s">
        <v>393</v>
      </c>
      <c r="J302">
        <v>70817</v>
      </c>
      <c r="K302" t="s">
        <v>394</v>
      </c>
      <c r="L302">
        <v>2801.6</v>
      </c>
      <c r="M302">
        <v>25.277341519131927</v>
      </c>
      <c r="N302" t="s">
        <v>395</v>
      </c>
      <c r="O302">
        <v>0</v>
      </c>
    </row>
    <row r="303" spans="1:15" x14ac:dyDescent="0.25">
      <c r="A303" t="s">
        <v>651</v>
      </c>
      <c r="B303">
        <v>4</v>
      </c>
      <c r="C303" s="609">
        <v>45078</v>
      </c>
      <c r="D303" s="609">
        <v>45100</v>
      </c>
      <c r="E303">
        <v>0</v>
      </c>
      <c r="F303">
        <v>6</v>
      </c>
      <c r="G303" t="s">
        <v>302</v>
      </c>
      <c r="H303" t="s">
        <v>677</v>
      </c>
      <c r="I303" t="s">
        <v>393</v>
      </c>
      <c r="J303">
        <v>295714</v>
      </c>
      <c r="K303" t="s">
        <v>394</v>
      </c>
      <c r="L303">
        <v>2801.6</v>
      </c>
      <c r="M303">
        <v>105.55182752712736</v>
      </c>
      <c r="N303" t="s">
        <v>395</v>
      </c>
      <c r="O303">
        <v>0</v>
      </c>
    </row>
    <row r="304" spans="1:15" x14ac:dyDescent="0.25">
      <c r="A304" t="s">
        <v>651</v>
      </c>
      <c r="B304">
        <v>4</v>
      </c>
      <c r="C304" s="609">
        <v>45078</v>
      </c>
      <c r="D304" s="609">
        <v>45100</v>
      </c>
      <c r="E304">
        <v>0</v>
      </c>
      <c r="F304">
        <v>6</v>
      </c>
      <c r="G304" t="s">
        <v>302</v>
      </c>
      <c r="H304" t="s">
        <v>678</v>
      </c>
      <c r="I304" t="s">
        <v>393</v>
      </c>
      <c r="J304">
        <v>295714</v>
      </c>
      <c r="K304" t="s">
        <v>394</v>
      </c>
      <c r="L304">
        <v>2801.6</v>
      </c>
      <c r="M304">
        <v>105.55182752712736</v>
      </c>
      <c r="N304" t="s">
        <v>395</v>
      </c>
      <c r="O304">
        <v>0</v>
      </c>
    </row>
    <row r="305" spans="1:15" x14ac:dyDescent="0.25">
      <c r="A305" t="s">
        <v>651</v>
      </c>
      <c r="B305">
        <v>4</v>
      </c>
      <c r="C305" s="609">
        <v>45078</v>
      </c>
      <c r="D305" s="609">
        <v>45100</v>
      </c>
      <c r="E305">
        <v>0</v>
      </c>
      <c r="F305">
        <v>6</v>
      </c>
      <c r="G305" t="s">
        <v>302</v>
      </c>
      <c r="H305" t="s">
        <v>679</v>
      </c>
      <c r="I305" t="s">
        <v>393</v>
      </c>
      <c r="J305">
        <v>295714</v>
      </c>
      <c r="K305" t="s">
        <v>394</v>
      </c>
      <c r="L305">
        <v>2801.6</v>
      </c>
      <c r="M305">
        <v>105.55182752712736</v>
      </c>
      <c r="N305" t="s">
        <v>395</v>
      </c>
      <c r="O305">
        <v>0</v>
      </c>
    </row>
    <row r="306" spans="1:15" x14ac:dyDescent="0.25">
      <c r="A306" t="s">
        <v>651</v>
      </c>
      <c r="B306">
        <v>4</v>
      </c>
      <c r="C306" s="609">
        <v>45078</v>
      </c>
      <c r="D306" s="609">
        <v>45100</v>
      </c>
      <c r="E306">
        <v>0</v>
      </c>
      <c r="F306">
        <v>6</v>
      </c>
      <c r="G306" t="s">
        <v>302</v>
      </c>
      <c r="H306" t="s">
        <v>680</v>
      </c>
      <c r="I306" t="s">
        <v>393</v>
      </c>
      <c r="J306">
        <v>295714</v>
      </c>
      <c r="K306" t="s">
        <v>394</v>
      </c>
      <c r="L306">
        <v>2801.6</v>
      </c>
      <c r="M306">
        <v>105.55182752712736</v>
      </c>
      <c r="N306" t="s">
        <v>395</v>
      </c>
      <c r="O306">
        <v>0</v>
      </c>
    </row>
    <row r="307" spans="1:15" x14ac:dyDescent="0.25">
      <c r="A307" t="s">
        <v>651</v>
      </c>
      <c r="B307">
        <v>4</v>
      </c>
      <c r="C307" s="609">
        <v>45078</v>
      </c>
      <c r="D307" s="609">
        <v>45100</v>
      </c>
      <c r="E307">
        <v>0</v>
      </c>
      <c r="F307">
        <v>6</v>
      </c>
      <c r="G307" t="s">
        <v>302</v>
      </c>
      <c r="H307" t="s">
        <v>681</v>
      </c>
      <c r="I307" t="s">
        <v>393</v>
      </c>
      <c r="J307">
        <v>295714</v>
      </c>
      <c r="K307" t="s">
        <v>394</v>
      </c>
      <c r="L307">
        <v>2801.6</v>
      </c>
      <c r="M307">
        <v>105.55182752712736</v>
      </c>
      <c r="N307" t="s">
        <v>395</v>
      </c>
      <c r="O307">
        <v>0</v>
      </c>
    </row>
    <row r="308" spans="1:15" x14ac:dyDescent="0.25">
      <c r="A308" t="s">
        <v>682</v>
      </c>
      <c r="B308">
        <v>5</v>
      </c>
      <c r="C308" s="609">
        <v>45078</v>
      </c>
      <c r="D308" s="609">
        <v>45101</v>
      </c>
      <c r="E308">
        <v>0</v>
      </c>
      <c r="F308">
        <v>6</v>
      </c>
      <c r="G308" t="s">
        <v>325</v>
      </c>
      <c r="H308" t="s">
        <v>683</v>
      </c>
      <c r="I308" t="s">
        <v>393</v>
      </c>
      <c r="J308">
        <v>471500</v>
      </c>
      <c r="K308" t="s">
        <v>394</v>
      </c>
      <c r="L308">
        <v>2801.6</v>
      </c>
      <c r="M308">
        <v>168.29668760708168</v>
      </c>
      <c r="N308" t="s">
        <v>395</v>
      </c>
      <c r="O308">
        <v>0</v>
      </c>
    </row>
    <row r="309" spans="1:15" x14ac:dyDescent="0.25">
      <c r="A309" t="s">
        <v>684</v>
      </c>
      <c r="B309">
        <v>6</v>
      </c>
      <c r="C309" s="609">
        <v>45107</v>
      </c>
      <c r="D309" s="609">
        <v>45107</v>
      </c>
      <c r="E309">
        <v>0</v>
      </c>
      <c r="F309">
        <v>6</v>
      </c>
      <c r="G309" t="s">
        <v>301</v>
      </c>
      <c r="H309" t="s">
        <v>685</v>
      </c>
      <c r="I309" t="s">
        <v>393</v>
      </c>
      <c r="J309">
        <v>1318589</v>
      </c>
      <c r="K309" t="s">
        <v>394</v>
      </c>
      <c r="L309">
        <v>2801.6</v>
      </c>
      <c r="M309">
        <v>470.65569674471732</v>
      </c>
      <c r="N309" t="s">
        <v>395</v>
      </c>
      <c r="O309">
        <v>0</v>
      </c>
    </row>
    <row r="310" spans="1:15" x14ac:dyDescent="0.25">
      <c r="A310" t="s">
        <v>684</v>
      </c>
      <c r="B310">
        <v>6</v>
      </c>
      <c r="C310" s="609">
        <v>45107</v>
      </c>
      <c r="D310" s="609">
        <v>45107</v>
      </c>
      <c r="E310">
        <v>0</v>
      </c>
      <c r="F310">
        <v>6</v>
      </c>
      <c r="G310" t="s">
        <v>323</v>
      </c>
      <c r="H310" t="s">
        <v>686</v>
      </c>
      <c r="I310" t="s">
        <v>393</v>
      </c>
      <c r="J310">
        <v>133677</v>
      </c>
      <c r="K310" t="s">
        <v>394</v>
      </c>
      <c r="L310">
        <v>2801.6</v>
      </c>
      <c r="M310">
        <v>47.714520274129072</v>
      </c>
      <c r="N310" t="s">
        <v>395</v>
      </c>
      <c r="O310">
        <v>0</v>
      </c>
    </row>
    <row r="311" spans="1:15" x14ac:dyDescent="0.25">
      <c r="A311" t="s">
        <v>684</v>
      </c>
      <c r="B311">
        <v>6</v>
      </c>
      <c r="C311" s="609">
        <v>45107</v>
      </c>
      <c r="D311" s="609">
        <v>45107</v>
      </c>
      <c r="E311">
        <v>0</v>
      </c>
      <c r="F311">
        <v>6</v>
      </c>
      <c r="G311" t="s">
        <v>300</v>
      </c>
      <c r="H311" t="s">
        <v>687</v>
      </c>
      <c r="I311" t="s">
        <v>393</v>
      </c>
      <c r="J311">
        <v>295714</v>
      </c>
      <c r="K311" t="s">
        <v>394</v>
      </c>
      <c r="L311">
        <v>2801.6</v>
      </c>
      <c r="M311">
        <v>105.55182752712736</v>
      </c>
      <c r="N311" t="s">
        <v>395</v>
      </c>
      <c r="O311">
        <v>0</v>
      </c>
    </row>
    <row r="312" spans="1:15" x14ac:dyDescent="0.25">
      <c r="A312" t="s">
        <v>684</v>
      </c>
      <c r="B312">
        <v>6</v>
      </c>
      <c r="C312" s="609">
        <v>45107</v>
      </c>
      <c r="D312" s="609">
        <v>45107</v>
      </c>
      <c r="E312">
        <v>0</v>
      </c>
      <c r="F312">
        <v>6</v>
      </c>
      <c r="G312" t="s">
        <v>305</v>
      </c>
      <c r="H312" t="s">
        <v>688</v>
      </c>
      <c r="I312" t="s">
        <v>393</v>
      </c>
      <c r="J312">
        <v>26424</v>
      </c>
      <c r="K312" t="s">
        <v>394</v>
      </c>
      <c r="L312">
        <v>2801.6</v>
      </c>
      <c r="M312">
        <v>9.4317532838378071</v>
      </c>
      <c r="N312" t="s">
        <v>395</v>
      </c>
      <c r="O312">
        <v>0</v>
      </c>
    </row>
    <row r="313" spans="1:15" x14ac:dyDescent="0.25">
      <c r="A313" t="s">
        <v>684</v>
      </c>
      <c r="B313">
        <v>6</v>
      </c>
      <c r="C313" s="609">
        <v>45107</v>
      </c>
      <c r="D313" s="609">
        <v>45107</v>
      </c>
      <c r="E313">
        <v>0</v>
      </c>
      <c r="F313">
        <v>6</v>
      </c>
      <c r="G313" t="s">
        <v>304</v>
      </c>
      <c r="H313" t="s">
        <v>689</v>
      </c>
      <c r="I313" t="s">
        <v>393</v>
      </c>
      <c r="J313">
        <v>124619</v>
      </c>
      <c r="K313" t="s">
        <v>394</v>
      </c>
      <c r="L313">
        <v>2801.6</v>
      </c>
      <c r="M313">
        <v>44.48136778983438</v>
      </c>
      <c r="N313" t="s">
        <v>395</v>
      </c>
      <c r="O313">
        <v>0</v>
      </c>
    </row>
    <row r="314" spans="1:15" x14ac:dyDescent="0.25">
      <c r="A314" t="s">
        <v>684</v>
      </c>
      <c r="B314">
        <v>6</v>
      </c>
      <c r="C314" s="609">
        <v>45107</v>
      </c>
      <c r="D314" s="609">
        <v>45107</v>
      </c>
      <c r="E314">
        <v>0</v>
      </c>
      <c r="F314">
        <v>6</v>
      </c>
      <c r="G314" t="s">
        <v>303</v>
      </c>
      <c r="H314" t="s">
        <v>690</v>
      </c>
      <c r="I314" t="s">
        <v>393</v>
      </c>
      <c r="J314">
        <v>70817</v>
      </c>
      <c r="K314" t="s">
        <v>394</v>
      </c>
      <c r="L314">
        <v>2801.6</v>
      </c>
      <c r="M314">
        <v>25.277341519131927</v>
      </c>
      <c r="N314" t="s">
        <v>395</v>
      </c>
      <c r="O314">
        <v>0</v>
      </c>
    </row>
    <row r="315" spans="1:15" x14ac:dyDescent="0.25">
      <c r="A315" t="s">
        <v>684</v>
      </c>
      <c r="B315">
        <v>6</v>
      </c>
      <c r="C315" s="609">
        <v>45107</v>
      </c>
      <c r="D315" s="609">
        <v>45107</v>
      </c>
      <c r="E315">
        <v>0</v>
      </c>
      <c r="F315">
        <v>6</v>
      </c>
      <c r="G315" t="s">
        <v>302</v>
      </c>
      <c r="H315" t="s">
        <v>691</v>
      </c>
      <c r="I315" t="s">
        <v>393</v>
      </c>
      <c r="J315">
        <v>295714</v>
      </c>
      <c r="K315" t="s">
        <v>394</v>
      </c>
      <c r="L315">
        <v>2801.6</v>
      </c>
      <c r="M315">
        <v>105.55182752712736</v>
      </c>
      <c r="N315" t="s">
        <v>395</v>
      </c>
      <c r="O315">
        <v>0</v>
      </c>
    </row>
    <row r="316" spans="1:15" x14ac:dyDescent="0.25">
      <c r="A316" t="s">
        <v>692</v>
      </c>
      <c r="B316">
        <v>7</v>
      </c>
      <c r="C316" s="609">
        <v>45107</v>
      </c>
      <c r="D316" s="609">
        <v>45107</v>
      </c>
      <c r="E316">
        <v>0</v>
      </c>
      <c r="F316">
        <v>6</v>
      </c>
      <c r="G316" t="s">
        <v>325</v>
      </c>
      <c r="H316" t="s">
        <v>693</v>
      </c>
      <c r="I316" t="s">
        <v>393</v>
      </c>
      <c r="J316">
        <v>96000</v>
      </c>
      <c r="K316" t="s">
        <v>394</v>
      </c>
      <c r="L316">
        <v>2801.6</v>
      </c>
      <c r="M316">
        <v>34.266133637921186</v>
      </c>
      <c r="N316" t="s">
        <v>395</v>
      </c>
      <c r="O316">
        <v>0</v>
      </c>
    </row>
    <row r="317" spans="1:15" x14ac:dyDescent="0.25">
      <c r="A317" t="s">
        <v>694</v>
      </c>
      <c r="B317">
        <v>8</v>
      </c>
      <c r="C317" s="609">
        <v>45107</v>
      </c>
      <c r="D317" s="609">
        <v>45107</v>
      </c>
      <c r="E317">
        <v>0</v>
      </c>
      <c r="F317">
        <v>6</v>
      </c>
      <c r="G317" t="s">
        <v>324</v>
      </c>
      <c r="H317" t="s">
        <v>816</v>
      </c>
      <c r="I317" t="s">
        <v>393</v>
      </c>
      <c r="J317">
        <v>117000</v>
      </c>
      <c r="K317" t="s">
        <v>394</v>
      </c>
      <c r="L317">
        <v>2801.6</v>
      </c>
      <c r="M317">
        <v>41.761850371216447</v>
      </c>
      <c r="N317" t="s">
        <v>395</v>
      </c>
      <c r="O317">
        <v>0</v>
      </c>
    </row>
    <row r="318" spans="1:15" x14ac:dyDescent="0.25">
      <c r="A318" t="s">
        <v>696</v>
      </c>
      <c r="B318">
        <v>9</v>
      </c>
      <c r="C318" s="609">
        <v>45107</v>
      </c>
      <c r="D318" s="609">
        <v>45107</v>
      </c>
      <c r="E318">
        <v>0</v>
      </c>
      <c r="F318">
        <v>6</v>
      </c>
      <c r="G318" t="s">
        <v>328</v>
      </c>
      <c r="H318" t="s">
        <v>815</v>
      </c>
      <c r="I318" t="s">
        <v>393</v>
      </c>
      <c r="J318">
        <v>135000</v>
      </c>
      <c r="K318" t="s">
        <v>394</v>
      </c>
      <c r="L318">
        <v>2801.6</v>
      </c>
      <c r="M318">
        <v>48.186750428326675</v>
      </c>
      <c r="N318" t="s">
        <v>395</v>
      </c>
      <c r="O318">
        <v>0</v>
      </c>
    </row>
    <row r="319" spans="1:15" x14ac:dyDescent="0.25">
      <c r="A319" t="s">
        <v>692</v>
      </c>
      <c r="B319">
        <v>10</v>
      </c>
      <c r="C319" s="609">
        <v>45107</v>
      </c>
      <c r="D319" s="609">
        <v>45107</v>
      </c>
      <c r="E319">
        <v>0</v>
      </c>
      <c r="F319">
        <v>6</v>
      </c>
      <c r="G319" t="s">
        <v>325</v>
      </c>
      <c r="H319" t="s">
        <v>697</v>
      </c>
      <c r="I319" t="s">
        <v>393</v>
      </c>
      <c r="J319">
        <v>96000</v>
      </c>
      <c r="K319" t="s">
        <v>394</v>
      </c>
      <c r="L319">
        <v>2801.6</v>
      </c>
      <c r="M319">
        <v>34.266133637921186</v>
      </c>
      <c r="N319" t="s">
        <v>395</v>
      </c>
      <c r="O319">
        <v>0</v>
      </c>
    </row>
    <row r="320" spans="1:15" x14ac:dyDescent="0.25">
      <c r="A320" t="s">
        <v>698</v>
      </c>
      <c r="B320">
        <v>11</v>
      </c>
      <c r="C320" s="609">
        <v>45107</v>
      </c>
      <c r="D320" s="609">
        <v>45107</v>
      </c>
      <c r="E320">
        <v>0</v>
      </c>
      <c r="F320">
        <v>6</v>
      </c>
      <c r="G320" t="s">
        <v>324</v>
      </c>
      <c r="H320" t="s">
        <v>695</v>
      </c>
      <c r="I320" t="s">
        <v>393</v>
      </c>
      <c r="J320">
        <v>450000</v>
      </c>
      <c r="K320" t="s">
        <v>394</v>
      </c>
      <c r="L320">
        <v>2801.6</v>
      </c>
      <c r="M320">
        <v>160.62250142775557</v>
      </c>
      <c r="N320" t="s">
        <v>395</v>
      </c>
      <c r="O320">
        <v>0</v>
      </c>
    </row>
    <row r="321" spans="1:15" x14ac:dyDescent="0.25">
      <c r="A321" t="s">
        <v>699</v>
      </c>
      <c r="B321">
        <v>12</v>
      </c>
      <c r="C321" s="609">
        <v>45107</v>
      </c>
      <c r="D321" s="609">
        <v>45107</v>
      </c>
      <c r="E321">
        <v>0</v>
      </c>
      <c r="F321">
        <v>6</v>
      </c>
      <c r="G321" t="s">
        <v>318</v>
      </c>
      <c r="H321" t="s">
        <v>330</v>
      </c>
      <c r="I321" t="s">
        <v>393</v>
      </c>
      <c r="J321">
        <v>2800000</v>
      </c>
      <c r="K321" t="s">
        <v>394</v>
      </c>
      <c r="L321">
        <v>2801.6</v>
      </c>
      <c r="M321">
        <v>999.42889777270136</v>
      </c>
      <c r="N321" t="s">
        <v>395</v>
      </c>
      <c r="O321">
        <v>0</v>
      </c>
    </row>
    <row r="322" spans="1:15" x14ac:dyDescent="0.25">
      <c r="A322" t="s">
        <v>700</v>
      </c>
      <c r="B322">
        <v>13</v>
      </c>
      <c r="C322" s="609">
        <v>45107</v>
      </c>
      <c r="D322" s="609">
        <v>45107</v>
      </c>
      <c r="E322">
        <v>0</v>
      </c>
      <c r="F322">
        <v>6</v>
      </c>
      <c r="G322" t="s">
        <v>319</v>
      </c>
      <c r="H322" t="s">
        <v>320</v>
      </c>
      <c r="I322" t="s">
        <v>393</v>
      </c>
      <c r="J322">
        <v>950000</v>
      </c>
      <c r="K322" t="s">
        <v>394</v>
      </c>
      <c r="L322">
        <v>2801.6</v>
      </c>
      <c r="M322">
        <v>339.09194745859509</v>
      </c>
      <c r="N322" t="s">
        <v>395</v>
      </c>
      <c r="O322">
        <v>0</v>
      </c>
    </row>
    <row r="323" spans="1:15" x14ac:dyDescent="0.25">
      <c r="A323" t="s">
        <v>701</v>
      </c>
      <c r="B323">
        <v>14</v>
      </c>
      <c r="C323" s="609">
        <v>45107</v>
      </c>
      <c r="D323" s="609">
        <v>45107</v>
      </c>
      <c r="E323">
        <v>0</v>
      </c>
      <c r="F323">
        <v>6</v>
      </c>
      <c r="G323" t="s">
        <v>322</v>
      </c>
      <c r="H323" t="s">
        <v>702</v>
      </c>
      <c r="I323" t="s">
        <v>393</v>
      </c>
      <c r="J323">
        <v>450000</v>
      </c>
      <c r="K323" t="s">
        <v>394</v>
      </c>
      <c r="L323">
        <v>2801.6</v>
      </c>
      <c r="M323">
        <v>160.62250142775557</v>
      </c>
      <c r="N323" t="s">
        <v>395</v>
      </c>
      <c r="O323">
        <v>0</v>
      </c>
    </row>
    <row r="324" spans="1:15" x14ac:dyDescent="0.25">
      <c r="A324" t="s">
        <v>703</v>
      </c>
      <c r="B324">
        <v>15</v>
      </c>
      <c r="C324" s="609">
        <v>45107</v>
      </c>
      <c r="D324" s="609">
        <v>45107</v>
      </c>
      <c r="E324">
        <v>0</v>
      </c>
      <c r="F324">
        <v>6</v>
      </c>
      <c r="G324" t="s">
        <v>322</v>
      </c>
      <c r="H324" t="s">
        <v>704</v>
      </c>
      <c r="I324" t="s">
        <v>393</v>
      </c>
      <c r="J324">
        <v>150000</v>
      </c>
      <c r="K324" t="s">
        <v>394</v>
      </c>
      <c r="L324">
        <v>2801.6</v>
      </c>
      <c r="M324">
        <v>53.540833809251858</v>
      </c>
      <c r="N324" t="s">
        <v>395</v>
      </c>
      <c r="O324">
        <v>0</v>
      </c>
    </row>
    <row r="325" spans="1:15" x14ac:dyDescent="0.25">
      <c r="A325" t="s">
        <v>705</v>
      </c>
      <c r="B325">
        <v>16</v>
      </c>
      <c r="C325" s="609">
        <v>45107</v>
      </c>
      <c r="D325" s="609">
        <v>45107</v>
      </c>
      <c r="E325">
        <v>0</v>
      </c>
      <c r="F325">
        <v>6</v>
      </c>
      <c r="G325" t="s">
        <v>327</v>
      </c>
      <c r="H325" t="s">
        <v>333</v>
      </c>
      <c r="I325" t="s">
        <v>393</v>
      </c>
      <c r="J325">
        <v>45000</v>
      </c>
      <c r="K325" t="s">
        <v>394</v>
      </c>
      <c r="L325">
        <v>2801.6</v>
      </c>
      <c r="M325">
        <v>16.062250142775557</v>
      </c>
      <c r="N325" t="s">
        <v>395</v>
      </c>
      <c r="O325">
        <v>0</v>
      </c>
    </row>
    <row r="326" spans="1:15" x14ac:dyDescent="0.25">
      <c r="A326" t="s">
        <v>706</v>
      </c>
      <c r="B326">
        <v>17</v>
      </c>
      <c r="C326" s="609">
        <v>45107</v>
      </c>
      <c r="D326" s="609">
        <v>45107</v>
      </c>
      <c r="E326">
        <v>0</v>
      </c>
      <c r="F326">
        <v>6</v>
      </c>
      <c r="G326" t="s">
        <v>321</v>
      </c>
      <c r="H326" t="s">
        <v>707</v>
      </c>
      <c r="I326" t="s">
        <v>393</v>
      </c>
      <c r="J326">
        <v>8000</v>
      </c>
      <c r="K326" t="s">
        <v>394</v>
      </c>
      <c r="L326">
        <v>2801.6</v>
      </c>
      <c r="M326">
        <v>2.8555111364934325</v>
      </c>
      <c r="N326" t="s">
        <v>395</v>
      </c>
      <c r="O326">
        <v>0</v>
      </c>
    </row>
    <row r="327" spans="1:15" x14ac:dyDescent="0.25">
      <c r="A327" t="s">
        <v>819</v>
      </c>
      <c r="B327">
        <v>18</v>
      </c>
      <c r="C327" s="609">
        <v>45107</v>
      </c>
      <c r="D327" s="609">
        <v>45107</v>
      </c>
      <c r="E327">
        <v>0</v>
      </c>
      <c r="F327">
        <v>6</v>
      </c>
      <c r="G327" t="s">
        <v>325</v>
      </c>
      <c r="H327" t="s">
        <v>818</v>
      </c>
      <c r="I327" t="s">
        <v>393</v>
      </c>
      <c r="J327">
        <v>10700</v>
      </c>
      <c r="K327" t="s">
        <v>394</v>
      </c>
      <c r="L327">
        <v>2801.6</v>
      </c>
      <c r="M327">
        <v>3.819246145059966</v>
      </c>
      <c r="N327" t="s">
        <v>395</v>
      </c>
      <c r="O327">
        <v>0</v>
      </c>
    </row>
    <row r="328" spans="1:15" x14ac:dyDescent="0.25">
      <c r="A328" t="s">
        <v>820</v>
      </c>
      <c r="B328">
        <v>19</v>
      </c>
      <c r="C328" s="609">
        <v>45100</v>
      </c>
      <c r="D328" s="609">
        <v>45107</v>
      </c>
      <c r="E328">
        <v>0</v>
      </c>
      <c r="F328">
        <v>6</v>
      </c>
      <c r="G328" t="s">
        <v>325</v>
      </c>
      <c r="H328" t="s">
        <v>821</v>
      </c>
      <c r="I328" t="s">
        <v>393</v>
      </c>
      <c r="J328">
        <v>199993.55539999995</v>
      </c>
      <c r="K328" t="s">
        <v>394</v>
      </c>
      <c r="L328">
        <v>2823.97</v>
      </c>
      <c r="M328">
        <v>70.819999999999993</v>
      </c>
      <c r="N328" t="s">
        <v>395</v>
      </c>
      <c r="O328">
        <v>0</v>
      </c>
    </row>
    <row r="329" spans="1:15" x14ac:dyDescent="0.25">
      <c r="A329" t="s">
        <v>712</v>
      </c>
      <c r="B329">
        <v>27</v>
      </c>
      <c r="C329" s="609">
        <v>45107</v>
      </c>
      <c r="D329" s="609">
        <v>45103</v>
      </c>
      <c r="E329">
        <v>0</v>
      </c>
      <c r="F329">
        <v>6</v>
      </c>
      <c r="G329" t="s">
        <v>312</v>
      </c>
      <c r="H329" t="s">
        <v>714</v>
      </c>
      <c r="I329" t="s">
        <v>393</v>
      </c>
      <c r="J329">
        <v>382766.2</v>
      </c>
      <c r="K329" t="s">
        <v>394</v>
      </c>
      <c r="L329">
        <v>2802.3999950000002</v>
      </c>
      <c r="M329">
        <v>136.58514155114392</v>
      </c>
      <c r="N329" t="s">
        <v>395</v>
      </c>
      <c r="O329">
        <v>0</v>
      </c>
    </row>
    <row r="330" spans="1:15" x14ac:dyDescent="0.25">
      <c r="A330" t="s">
        <v>712</v>
      </c>
      <c r="B330">
        <v>27</v>
      </c>
      <c r="C330" s="609">
        <v>45107</v>
      </c>
      <c r="D330" s="609">
        <v>45103</v>
      </c>
      <c r="E330">
        <v>0</v>
      </c>
      <c r="F330">
        <v>6</v>
      </c>
      <c r="G330" t="s">
        <v>313</v>
      </c>
      <c r="H330" t="s">
        <v>715</v>
      </c>
      <c r="I330" t="s">
        <v>393</v>
      </c>
      <c r="J330">
        <v>113992.3</v>
      </c>
      <c r="K330" t="s">
        <v>394</v>
      </c>
      <c r="L330">
        <v>2802.3999950000002</v>
      </c>
      <c r="M330">
        <v>40.676670069720004</v>
      </c>
      <c r="N330" t="s">
        <v>395</v>
      </c>
      <c r="O330">
        <v>0</v>
      </c>
    </row>
    <row r="331" spans="1:15" x14ac:dyDescent="0.25">
      <c r="A331" t="s">
        <v>712</v>
      </c>
      <c r="B331">
        <v>27</v>
      </c>
      <c r="C331" s="609">
        <v>45107</v>
      </c>
      <c r="D331" s="609">
        <v>45103</v>
      </c>
      <c r="E331">
        <v>0</v>
      </c>
      <c r="F331">
        <v>6</v>
      </c>
      <c r="G331" t="s">
        <v>314</v>
      </c>
      <c r="H331" t="s">
        <v>716</v>
      </c>
      <c r="I331" t="s">
        <v>393</v>
      </c>
      <c r="J331">
        <v>183146.6</v>
      </c>
      <c r="K331" t="s">
        <v>394</v>
      </c>
      <c r="L331">
        <v>2802.3999950000002</v>
      </c>
      <c r="M331">
        <v>65.353482845692056</v>
      </c>
      <c r="N331" t="s">
        <v>395</v>
      </c>
      <c r="O331">
        <v>0</v>
      </c>
    </row>
    <row r="332" spans="1:15" x14ac:dyDescent="0.25">
      <c r="A332" t="s">
        <v>712</v>
      </c>
      <c r="B332">
        <v>27</v>
      </c>
      <c r="C332" s="609">
        <v>45107</v>
      </c>
      <c r="D332" s="609">
        <v>45103</v>
      </c>
      <c r="E332">
        <v>0</v>
      </c>
      <c r="F332">
        <v>6</v>
      </c>
      <c r="G332" t="s">
        <v>315</v>
      </c>
      <c r="H332" t="s">
        <v>717</v>
      </c>
      <c r="I332" t="s">
        <v>393</v>
      </c>
      <c r="J332">
        <v>133403.6</v>
      </c>
      <c r="K332" t="s">
        <v>394</v>
      </c>
      <c r="L332">
        <v>2802.3999950000002</v>
      </c>
      <c r="M332">
        <v>47.60334007922377</v>
      </c>
      <c r="N332" t="s">
        <v>395</v>
      </c>
      <c r="O332">
        <v>0</v>
      </c>
    </row>
    <row r="333" spans="1:15" x14ac:dyDescent="0.25">
      <c r="A333" t="s">
        <v>712</v>
      </c>
      <c r="B333">
        <v>27</v>
      </c>
      <c r="C333" s="609">
        <v>45107</v>
      </c>
      <c r="D333" s="609">
        <v>45103</v>
      </c>
      <c r="E333">
        <v>0</v>
      </c>
      <c r="F333">
        <v>6</v>
      </c>
      <c r="G333" t="s">
        <v>316</v>
      </c>
      <c r="H333" t="s">
        <v>718</v>
      </c>
      <c r="I333" t="s">
        <v>393</v>
      </c>
      <c r="J333">
        <v>345468.5</v>
      </c>
      <c r="K333" t="s">
        <v>394</v>
      </c>
      <c r="L333">
        <v>2802.3999950000002</v>
      </c>
      <c r="M333">
        <v>123.27594226961878</v>
      </c>
      <c r="N333" t="s">
        <v>395</v>
      </c>
      <c r="O333">
        <v>0</v>
      </c>
    </row>
    <row r="334" spans="1:15" x14ac:dyDescent="0.25">
      <c r="A334" t="s">
        <v>712</v>
      </c>
      <c r="B334">
        <v>27</v>
      </c>
      <c r="C334" s="609">
        <v>45107</v>
      </c>
      <c r="D334" s="609">
        <v>45103</v>
      </c>
      <c r="E334">
        <v>0</v>
      </c>
      <c r="F334">
        <v>6</v>
      </c>
      <c r="G334" t="s">
        <v>317</v>
      </c>
      <c r="H334" t="s">
        <v>719</v>
      </c>
      <c r="I334" t="s">
        <v>393</v>
      </c>
      <c r="J334">
        <v>1509204</v>
      </c>
      <c r="K334" t="s">
        <v>394</v>
      </c>
      <c r="L334">
        <v>2802.3999950000002</v>
      </c>
      <c r="M334">
        <v>538.53982396970423</v>
      </c>
      <c r="N334" t="s">
        <v>395</v>
      </c>
      <c r="O334">
        <v>0</v>
      </c>
    </row>
    <row r="335" spans="1:15" x14ac:dyDescent="0.25">
      <c r="A335" t="s">
        <v>720</v>
      </c>
      <c r="B335">
        <v>28</v>
      </c>
      <c r="C335" s="609">
        <v>45107</v>
      </c>
      <c r="D335" s="609">
        <v>45089</v>
      </c>
      <c r="E335">
        <v>0</v>
      </c>
      <c r="F335">
        <v>6</v>
      </c>
      <c r="G335" t="s">
        <v>337</v>
      </c>
      <c r="H335" t="s">
        <v>721</v>
      </c>
      <c r="I335" t="s">
        <v>393</v>
      </c>
      <c r="J335">
        <v>30000</v>
      </c>
      <c r="K335" t="s">
        <v>394</v>
      </c>
      <c r="L335">
        <v>2802.3999950000002</v>
      </c>
      <c r="M335">
        <v>10.705109924894929</v>
      </c>
      <c r="N335" t="s">
        <v>395</v>
      </c>
      <c r="O335">
        <v>0</v>
      </c>
    </row>
    <row r="336" spans="1:15" x14ac:dyDescent="0.25">
      <c r="A336" t="s">
        <v>722</v>
      </c>
      <c r="B336">
        <v>29</v>
      </c>
      <c r="C336" s="609">
        <v>45107</v>
      </c>
      <c r="D336" s="609">
        <v>45103</v>
      </c>
      <c r="E336">
        <v>0</v>
      </c>
      <c r="F336">
        <v>6</v>
      </c>
      <c r="G336" t="s">
        <v>336</v>
      </c>
      <c r="H336" t="s">
        <v>723</v>
      </c>
      <c r="I336" t="s">
        <v>393</v>
      </c>
      <c r="J336">
        <v>600000</v>
      </c>
      <c r="K336" t="s">
        <v>394</v>
      </c>
      <c r="L336">
        <v>2802.3999950000002</v>
      </c>
      <c r="M336">
        <v>214.10219849789857</v>
      </c>
      <c r="N336" t="s">
        <v>395</v>
      </c>
      <c r="O336">
        <v>0</v>
      </c>
    </row>
    <row r="337" spans="1:15" x14ac:dyDescent="0.25">
      <c r="A337" t="s">
        <v>724</v>
      </c>
      <c r="B337">
        <v>30</v>
      </c>
      <c r="C337" s="609">
        <v>45107</v>
      </c>
      <c r="D337" s="609">
        <v>45107</v>
      </c>
      <c r="E337">
        <v>0</v>
      </c>
      <c r="F337">
        <v>6</v>
      </c>
      <c r="G337" t="s">
        <v>335</v>
      </c>
      <c r="H337" t="s">
        <v>725</v>
      </c>
      <c r="I337" t="s">
        <v>393</v>
      </c>
      <c r="J337">
        <v>200000</v>
      </c>
      <c r="K337" t="s">
        <v>394</v>
      </c>
      <c r="L337">
        <v>2802.3999950000002</v>
      </c>
      <c r="M337">
        <v>71.367399499299523</v>
      </c>
      <c r="N337" t="s">
        <v>395</v>
      </c>
      <c r="O337">
        <v>0</v>
      </c>
    </row>
    <row r="338" spans="1:15" x14ac:dyDescent="0.25">
      <c r="A338" t="s">
        <v>724</v>
      </c>
      <c r="B338">
        <v>31</v>
      </c>
      <c r="C338" s="609">
        <v>45107</v>
      </c>
      <c r="D338" s="609">
        <v>45107</v>
      </c>
      <c r="E338">
        <v>0</v>
      </c>
      <c r="F338">
        <v>6</v>
      </c>
      <c r="G338" t="s">
        <v>338</v>
      </c>
      <c r="H338" t="s">
        <v>726</v>
      </c>
      <c r="I338" t="s">
        <v>393</v>
      </c>
      <c r="J338">
        <v>70000</v>
      </c>
      <c r="K338" t="s">
        <v>394</v>
      </c>
      <c r="L338">
        <v>2802.3999950000002</v>
      </c>
      <c r="M338">
        <v>24.978589824754835</v>
      </c>
      <c r="N338" t="s">
        <v>395</v>
      </c>
      <c r="O338">
        <v>0</v>
      </c>
    </row>
    <row r="339" spans="1:15" x14ac:dyDescent="0.25">
      <c r="A339" t="s">
        <v>724</v>
      </c>
      <c r="B339">
        <v>32</v>
      </c>
      <c r="C339" s="609">
        <v>45107</v>
      </c>
      <c r="D339" s="609">
        <v>45107</v>
      </c>
      <c r="E339">
        <v>0</v>
      </c>
      <c r="F339">
        <v>6</v>
      </c>
      <c r="G339" t="s">
        <v>339</v>
      </c>
      <c r="H339" t="s">
        <v>727</v>
      </c>
      <c r="I339" t="s">
        <v>393</v>
      </c>
      <c r="J339">
        <v>60000</v>
      </c>
      <c r="K339" t="s">
        <v>394</v>
      </c>
      <c r="L339">
        <v>2802.3999950000002</v>
      </c>
      <c r="M339">
        <v>21.410219849789858</v>
      </c>
      <c r="N339" t="s">
        <v>395</v>
      </c>
      <c r="O339">
        <v>0</v>
      </c>
    </row>
    <row r="340" spans="1:15" x14ac:dyDescent="0.25">
      <c r="A340" t="s">
        <v>724</v>
      </c>
      <c r="B340">
        <v>33</v>
      </c>
      <c r="C340" s="609">
        <v>45107</v>
      </c>
      <c r="D340" s="609">
        <v>45107</v>
      </c>
      <c r="E340">
        <v>0</v>
      </c>
      <c r="F340">
        <v>6</v>
      </c>
      <c r="G340" t="s">
        <v>340</v>
      </c>
      <c r="H340" t="s">
        <v>728</v>
      </c>
      <c r="I340" t="s">
        <v>393</v>
      </c>
      <c r="J340">
        <v>29495</v>
      </c>
      <c r="K340" t="s">
        <v>394</v>
      </c>
      <c r="L340">
        <v>2802.3999950000002</v>
      </c>
      <c r="M340">
        <v>10.524907241159196</v>
      </c>
      <c r="N340" t="s">
        <v>395</v>
      </c>
      <c r="O340">
        <v>0</v>
      </c>
    </row>
    <row r="341" spans="1:15" x14ac:dyDescent="0.25">
      <c r="A341" t="s">
        <v>729</v>
      </c>
      <c r="B341">
        <v>34</v>
      </c>
      <c r="C341" s="609">
        <v>45107</v>
      </c>
      <c r="D341" s="609">
        <v>45084</v>
      </c>
      <c r="E341">
        <v>0</v>
      </c>
      <c r="F341">
        <v>6</v>
      </c>
      <c r="G341" t="s">
        <v>339</v>
      </c>
      <c r="H341" t="s">
        <v>730</v>
      </c>
      <c r="I341" t="s">
        <v>393</v>
      </c>
      <c r="J341">
        <v>60000</v>
      </c>
      <c r="K341" t="s">
        <v>394</v>
      </c>
      <c r="L341">
        <v>2802.3999950000002</v>
      </c>
      <c r="M341">
        <v>21.410219849789858</v>
      </c>
      <c r="N341" t="s">
        <v>395</v>
      </c>
      <c r="O341">
        <v>0</v>
      </c>
    </row>
    <row r="342" spans="1:15" x14ac:dyDescent="0.25">
      <c r="A342" t="s">
        <v>731</v>
      </c>
      <c r="B342">
        <v>35</v>
      </c>
      <c r="C342" s="609">
        <v>45107</v>
      </c>
      <c r="D342" s="609">
        <v>45107</v>
      </c>
      <c r="E342">
        <v>0</v>
      </c>
      <c r="F342">
        <v>6</v>
      </c>
      <c r="G342" t="s">
        <v>340</v>
      </c>
      <c r="H342" t="s">
        <v>732</v>
      </c>
      <c r="I342" t="s">
        <v>393</v>
      </c>
      <c r="J342">
        <v>29495</v>
      </c>
      <c r="K342" t="s">
        <v>394</v>
      </c>
      <c r="L342">
        <v>2802.3999950000002</v>
      </c>
      <c r="M342">
        <v>10.524907241159196</v>
      </c>
      <c r="N342" t="s">
        <v>395</v>
      </c>
      <c r="O342">
        <v>0</v>
      </c>
    </row>
    <row r="343" spans="1:15" x14ac:dyDescent="0.25">
      <c r="A343" t="s">
        <v>733</v>
      </c>
      <c r="B343">
        <v>36</v>
      </c>
      <c r="C343" s="609">
        <v>45107</v>
      </c>
      <c r="D343" s="609">
        <v>45107</v>
      </c>
      <c r="E343">
        <v>0</v>
      </c>
      <c r="F343">
        <v>6</v>
      </c>
      <c r="G343" t="s">
        <v>340</v>
      </c>
      <c r="H343" t="s">
        <v>734</v>
      </c>
      <c r="I343" t="s">
        <v>393</v>
      </c>
      <c r="J343">
        <v>29495</v>
      </c>
      <c r="K343" t="s">
        <v>394</v>
      </c>
      <c r="L343">
        <v>2802.3999950000002</v>
      </c>
      <c r="M343">
        <v>10.524907241159196</v>
      </c>
      <c r="N343" t="s">
        <v>395</v>
      </c>
      <c r="O343">
        <v>0</v>
      </c>
    </row>
    <row r="344" spans="1:15" x14ac:dyDescent="0.25">
      <c r="A344" t="s">
        <v>735</v>
      </c>
      <c r="B344">
        <v>37</v>
      </c>
      <c r="C344" s="609">
        <v>45107</v>
      </c>
      <c r="D344" s="609">
        <v>45107</v>
      </c>
      <c r="E344">
        <v>0</v>
      </c>
      <c r="F344">
        <v>6</v>
      </c>
      <c r="G344" t="s">
        <v>341</v>
      </c>
      <c r="H344" t="s">
        <v>736</v>
      </c>
      <c r="I344" t="s">
        <v>393</v>
      </c>
      <c r="J344">
        <v>88500</v>
      </c>
      <c r="K344" t="s">
        <v>394</v>
      </c>
      <c r="L344">
        <v>2802.3999950000002</v>
      </c>
      <c r="M344">
        <v>31.580074278440037</v>
      </c>
      <c r="N344" t="s">
        <v>395</v>
      </c>
      <c r="O344">
        <v>0</v>
      </c>
    </row>
    <row r="345" spans="1:15" x14ac:dyDescent="0.25">
      <c r="A345" t="s">
        <v>737</v>
      </c>
      <c r="B345">
        <v>38</v>
      </c>
      <c r="C345" s="609">
        <v>45107</v>
      </c>
      <c r="D345" s="609">
        <v>45089</v>
      </c>
      <c r="E345">
        <v>0</v>
      </c>
      <c r="F345">
        <v>6</v>
      </c>
      <c r="G345" t="s">
        <v>342</v>
      </c>
      <c r="H345" t="s">
        <v>738</v>
      </c>
      <c r="I345" t="s">
        <v>393</v>
      </c>
      <c r="J345">
        <v>199993.55539999995</v>
      </c>
      <c r="K345" t="s">
        <v>394</v>
      </c>
      <c r="L345">
        <v>2823.97</v>
      </c>
      <c r="M345">
        <v>70.819999999999993</v>
      </c>
      <c r="N345" t="s">
        <v>395</v>
      </c>
      <c r="O345">
        <v>0</v>
      </c>
    </row>
    <row r="346" spans="1:15" x14ac:dyDescent="0.25">
      <c r="A346" t="s">
        <v>737</v>
      </c>
      <c r="B346">
        <v>38</v>
      </c>
      <c r="C346" s="609">
        <v>45107</v>
      </c>
      <c r="D346" s="609">
        <v>45107</v>
      </c>
      <c r="E346">
        <v>0</v>
      </c>
      <c r="F346">
        <v>6</v>
      </c>
      <c r="G346" t="s">
        <v>342</v>
      </c>
      <c r="H346" t="s">
        <v>739</v>
      </c>
      <c r="I346" t="s">
        <v>393</v>
      </c>
      <c r="J346">
        <v>31075</v>
      </c>
      <c r="K346" t="s">
        <v>394</v>
      </c>
      <c r="L346">
        <v>2802.3999950000002</v>
      </c>
      <c r="M346">
        <v>11.088709697203663</v>
      </c>
      <c r="N346" t="s">
        <v>395</v>
      </c>
      <c r="O346">
        <v>0</v>
      </c>
    </row>
    <row r="347" spans="1:15" x14ac:dyDescent="0.25">
      <c r="A347" t="s">
        <v>752</v>
      </c>
      <c r="B347">
        <v>4</v>
      </c>
      <c r="C347" s="609">
        <v>45078</v>
      </c>
      <c r="D347" s="609">
        <v>45107</v>
      </c>
      <c r="E347">
        <v>0</v>
      </c>
      <c r="F347">
        <v>6</v>
      </c>
      <c r="G347" t="s">
        <v>331</v>
      </c>
      <c r="H347" t="s">
        <v>753</v>
      </c>
      <c r="I347" t="s">
        <v>393</v>
      </c>
      <c r="J347">
        <v>155855</v>
      </c>
      <c r="K347" t="s">
        <v>394</v>
      </c>
      <c r="L347">
        <v>2803.6597999999999</v>
      </c>
      <c r="M347">
        <v>55.589840108275624</v>
      </c>
      <c r="N347" t="s">
        <v>395</v>
      </c>
      <c r="O347">
        <v>0</v>
      </c>
    </row>
    <row r="348" spans="1:15" x14ac:dyDescent="0.25">
      <c r="A348" t="s">
        <v>754</v>
      </c>
      <c r="B348">
        <v>5</v>
      </c>
      <c r="C348" s="609">
        <v>45078</v>
      </c>
      <c r="D348" s="609">
        <v>45107</v>
      </c>
      <c r="E348">
        <v>0</v>
      </c>
      <c r="F348">
        <v>6</v>
      </c>
      <c r="G348" t="s">
        <v>334</v>
      </c>
      <c r="H348" t="s">
        <v>326</v>
      </c>
      <c r="I348" t="s">
        <v>393</v>
      </c>
      <c r="J348">
        <v>747500</v>
      </c>
      <c r="K348" t="s">
        <v>394</v>
      </c>
      <c r="L348">
        <v>2803.6597999999999</v>
      </c>
      <c r="M348">
        <v>266.61579981993538</v>
      </c>
      <c r="N348" t="s">
        <v>395</v>
      </c>
      <c r="O348">
        <v>0</v>
      </c>
    </row>
    <row r="349" spans="1:15" x14ac:dyDescent="0.25">
      <c r="A349" t="s">
        <v>755</v>
      </c>
      <c r="B349">
        <v>6</v>
      </c>
      <c r="C349" s="609">
        <v>45078</v>
      </c>
      <c r="D349" s="609">
        <v>45107</v>
      </c>
      <c r="E349">
        <v>0</v>
      </c>
      <c r="F349">
        <v>6</v>
      </c>
      <c r="G349" t="s">
        <v>332</v>
      </c>
      <c r="H349" t="s">
        <v>756</v>
      </c>
      <c r="I349" t="s">
        <v>393</v>
      </c>
      <c r="J349">
        <v>870000</v>
      </c>
      <c r="K349" t="s">
        <v>394</v>
      </c>
      <c r="L349">
        <v>2803.6597999999999</v>
      </c>
      <c r="M349">
        <v>310.30869009142981</v>
      </c>
      <c r="N349" t="s">
        <v>395</v>
      </c>
      <c r="O349">
        <v>0</v>
      </c>
    </row>
    <row r="350" spans="1:15" x14ac:dyDescent="0.25">
      <c r="A350" t="s">
        <v>757</v>
      </c>
      <c r="B350">
        <v>7</v>
      </c>
      <c r="C350" s="609">
        <v>45078</v>
      </c>
      <c r="D350" s="609">
        <v>45107</v>
      </c>
      <c r="E350">
        <v>0</v>
      </c>
      <c r="F350">
        <v>6</v>
      </c>
      <c r="G350" t="s">
        <v>329</v>
      </c>
      <c r="H350" t="s">
        <v>758</v>
      </c>
      <c r="I350" t="s">
        <v>393</v>
      </c>
      <c r="J350">
        <v>4050000</v>
      </c>
      <c r="K350" t="s">
        <v>394</v>
      </c>
      <c r="L350">
        <v>2803.6597999999999</v>
      </c>
      <c r="M350">
        <v>1444.5404538738974</v>
      </c>
      <c r="N350" t="s">
        <v>395</v>
      </c>
      <c r="O350">
        <v>0</v>
      </c>
    </row>
    <row r="351" spans="1:15" x14ac:dyDescent="0.25">
      <c r="A351" t="s">
        <v>759</v>
      </c>
      <c r="B351">
        <v>8</v>
      </c>
      <c r="C351" s="609">
        <v>45078</v>
      </c>
      <c r="D351" s="609">
        <v>45107</v>
      </c>
      <c r="E351">
        <v>0</v>
      </c>
      <c r="F351">
        <v>6</v>
      </c>
      <c r="G351" t="s">
        <v>306</v>
      </c>
      <c r="H351" t="s">
        <v>760</v>
      </c>
      <c r="I351" t="s">
        <v>393</v>
      </c>
      <c r="J351">
        <v>280972</v>
      </c>
      <c r="K351" t="s">
        <v>394</v>
      </c>
      <c r="L351">
        <v>2803.6597999999999</v>
      </c>
      <c r="M351">
        <v>100.21615318663127</v>
      </c>
      <c r="N351" t="s">
        <v>395</v>
      </c>
      <c r="O351">
        <v>0</v>
      </c>
    </row>
    <row r="352" spans="1:15" x14ac:dyDescent="0.25">
      <c r="A352" t="s">
        <v>761</v>
      </c>
      <c r="B352">
        <v>8</v>
      </c>
      <c r="C352" s="609">
        <v>45078</v>
      </c>
      <c r="D352" s="609">
        <v>45107</v>
      </c>
      <c r="E352">
        <v>0</v>
      </c>
      <c r="F352">
        <v>6</v>
      </c>
      <c r="G352" t="s">
        <v>306</v>
      </c>
      <c r="H352" t="s">
        <v>762</v>
      </c>
      <c r="I352" t="s">
        <v>393</v>
      </c>
      <c r="J352">
        <v>280972</v>
      </c>
      <c r="K352" t="s">
        <v>394</v>
      </c>
      <c r="L352">
        <v>2803.6597999999999</v>
      </c>
      <c r="M352">
        <v>100.21615318663127</v>
      </c>
      <c r="N352" t="s">
        <v>395</v>
      </c>
      <c r="O352">
        <v>0</v>
      </c>
    </row>
    <row r="353" spans="1:15" x14ac:dyDescent="0.25">
      <c r="A353" t="s">
        <v>763</v>
      </c>
      <c r="B353">
        <v>8</v>
      </c>
      <c r="C353" s="609">
        <v>45078</v>
      </c>
      <c r="D353" s="609">
        <v>45107</v>
      </c>
      <c r="E353">
        <v>0</v>
      </c>
      <c r="F353">
        <v>6</v>
      </c>
      <c r="G353" t="s">
        <v>306</v>
      </c>
      <c r="H353" t="s">
        <v>764</v>
      </c>
      <c r="I353" t="s">
        <v>393</v>
      </c>
      <c r="J353">
        <v>280972</v>
      </c>
      <c r="K353" t="s">
        <v>394</v>
      </c>
      <c r="L353">
        <v>2803.6597999999999</v>
      </c>
      <c r="M353">
        <v>100.21615318663127</v>
      </c>
      <c r="N353" t="s">
        <v>395</v>
      </c>
      <c r="O353">
        <v>0</v>
      </c>
    </row>
    <row r="354" spans="1:15" x14ac:dyDescent="0.25">
      <c r="A354" t="s">
        <v>765</v>
      </c>
      <c r="B354">
        <v>8</v>
      </c>
      <c r="C354" s="609">
        <v>45078</v>
      </c>
      <c r="D354" s="609">
        <v>45107</v>
      </c>
      <c r="E354">
        <v>0</v>
      </c>
      <c r="F354">
        <v>6</v>
      </c>
      <c r="G354" t="s">
        <v>306</v>
      </c>
      <c r="H354" t="s">
        <v>766</v>
      </c>
      <c r="I354" t="s">
        <v>393</v>
      </c>
      <c r="J354">
        <v>280972</v>
      </c>
      <c r="K354" t="s">
        <v>394</v>
      </c>
      <c r="L354">
        <v>2803.6597999999999</v>
      </c>
      <c r="M354">
        <v>100.21615318663127</v>
      </c>
      <c r="N354" t="s">
        <v>395</v>
      </c>
      <c r="O354">
        <v>0</v>
      </c>
    </row>
    <row r="355" spans="1:15" x14ac:dyDescent="0.25">
      <c r="A355" t="s">
        <v>767</v>
      </c>
      <c r="B355">
        <v>8</v>
      </c>
      <c r="C355" s="609">
        <v>45078</v>
      </c>
      <c r="D355" s="609">
        <v>45107</v>
      </c>
      <c r="E355">
        <v>0</v>
      </c>
      <c r="F355">
        <v>6</v>
      </c>
      <c r="G355" t="s">
        <v>306</v>
      </c>
      <c r="H355" t="s">
        <v>768</v>
      </c>
      <c r="I355" t="s">
        <v>393</v>
      </c>
      <c r="J355">
        <v>280972</v>
      </c>
      <c r="K355" t="s">
        <v>394</v>
      </c>
      <c r="L355">
        <v>2803.6597999999999</v>
      </c>
      <c r="M355">
        <v>100.21615318663127</v>
      </c>
      <c r="N355" t="s">
        <v>395</v>
      </c>
      <c r="O355">
        <v>0</v>
      </c>
    </row>
    <row r="356" spans="1:15" x14ac:dyDescent="0.25">
      <c r="A356" t="s">
        <v>769</v>
      </c>
      <c r="B356">
        <v>8</v>
      </c>
      <c r="C356" s="609">
        <v>45078</v>
      </c>
      <c r="D356" s="609">
        <v>45107</v>
      </c>
      <c r="E356">
        <v>0</v>
      </c>
      <c r="F356">
        <v>6</v>
      </c>
      <c r="G356" t="s">
        <v>306</v>
      </c>
      <c r="H356" t="s">
        <v>770</v>
      </c>
      <c r="I356" t="s">
        <v>393</v>
      </c>
      <c r="J356">
        <v>280972</v>
      </c>
      <c r="K356" t="s">
        <v>394</v>
      </c>
      <c r="L356">
        <v>2803.6597999999999</v>
      </c>
      <c r="M356">
        <v>100.21615318663127</v>
      </c>
      <c r="N356" t="s">
        <v>395</v>
      </c>
      <c r="O356">
        <v>0</v>
      </c>
    </row>
    <row r="357" spans="1:15" x14ac:dyDescent="0.25">
      <c r="A357" t="s">
        <v>759</v>
      </c>
      <c r="B357">
        <v>8</v>
      </c>
      <c r="C357" s="609">
        <v>45078</v>
      </c>
      <c r="D357" s="609">
        <v>45107</v>
      </c>
      <c r="E357">
        <v>0</v>
      </c>
      <c r="F357">
        <v>6</v>
      </c>
      <c r="G357" t="s">
        <v>307</v>
      </c>
      <c r="H357" t="s">
        <v>771</v>
      </c>
      <c r="I357" t="s">
        <v>393</v>
      </c>
      <c r="J357">
        <v>152000</v>
      </c>
      <c r="K357" t="s">
        <v>394</v>
      </c>
      <c r="L357">
        <v>2803.6597999999999</v>
      </c>
      <c r="M357">
        <v>54.214851602180836</v>
      </c>
      <c r="N357" t="s">
        <v>395</v>
      </c>
      <c r="O357">
        <v>0</v>
      </c>
    </row>
    <row r="358" spans="1:15" x14ac:dyDescent="0.25">
      <c r="A358" t="s">
        <v>761</v>
      </c>
      <c r="B358">
        <v>8</v>
      </c>
      <c r="C358" s="609">
        <v>45078</v>
      </c>
      <c r="D358" s="609">
        <v>45107</v>
      </c>
      <c r="E358">
        <v>0</v>
      </c>
      <c r="F358">
        <v>6</v>
      </c>
      <c r="G358" t="s">
        <v>307</v>
      </c>
      <c r="H358" t="s">
        <v>772</v>
      </c>
      <c r="I358" t="s">
        <v>393</v>
      </c>
      <c r="J358">
        <v>152000</v>
      </c>
      <c r="K358" t="s">
        <v>394</v>
      </c>
      <c r="L358">
        <v>2803.6597999999999</v>
      </c>
      <c r="M358">
        <v>54.214851602180836</v>
      </c>
      <c r="N358" t="s">
        <v>395</v>
      </c>
      <c r="O358">
        <v>0</v>
      </c>
    </row>
    <row r="359" spans="1:15" x14ac:dyDescent="0.25">
      <c r="A359" t="s">
        <v>763</v>
      </c>
      <c r="B359">
        <v>8</v>
      </c>
      <c r="C359" s="609">
        <v>45078</v>
      </c>
      <c r="D359" s="609">
        <v>45107</v>
      </c>
      <c r="E359">
        <v>0</v>
      </c>
      <c r="F359">
        <v>6</v>
      </c>
      <c r="G359" t="s">
        <v>307</v>
      </c>
      <c r="H359" t="s">
        <v>773</v>
      </c>
      <c r="I359" t="s">
        <v>393</v>
      </c>
      <c r="J359">
        <v>152000</v>
      </c>
      <c r="K359" t="s">
        <v>394</v>
      </c>
      <c r="L359">
        <v>2803.6597999999999</v>
      </c>
      <c r="M359">
        <v>54.214851602180836</v>
      </c>
      <c r="N359" t="s">
        <v>395</v>
      </c>
      <c r="O359">
        <v>0</v>
      </c>
    </row>
    <row r="360" spans="1:15" x14ac:dyDescent="0.25">
      <c r="A360" t="s">
        <v>765</v>
      </c>
      <c r="B360">
        <v>8</v>
      </c>
      <c r="C360" s="609">
        <v>45078</v>
      </c>
      <c r="D360" s="609">
        <v>45107</v>
      </c>
      <c r="E360">
        <v>0</v>
      </c>
      <c r="F360">
        <v>6</v>
      </c>
      <c r="G360" t="s">
        <v>307</v>
      </c>
      <c r="H360" t="s">
        <v>774</v>
      </c>
      <c r="I360" t="s">
        <v>393</v>
      </c>
      <c r="J360">
        <v>152000</v>
      </c>
      <c r="K360" t="s">
        <v>394</v>
      </c>
      <c r="L360">
        <v>2803.6597999999999</v>
      </c>
      <c r="M360">
        <v>54.214851602180836</v>
      </c>
      <c r="N360" t="s">
        <v>395</v>
      </c>
      <c r="O360">
        <v>0</v>
      </c>
    </row>
    <row r="361" spans="1:15" x14ac:dyDescent="0.25">
      <c r="A361" t="s">
        <v>767</v>
      </c>
      <c r="B361">
        <v>8</v>
      </c>
      <c r="C361" s="609">
        <v>45078</v>
      </c>
      <c r="D361" s="609">
        <v>45107</v>
      </c>
      <c r="E361">
        <v>0</v>
      </c>
      <c r="F361">
        <v>6</v>
      </c>
      <c r="G361" t="s">
        <v>307</v>
      </c>
      <c r="H361" t="s">
        <v>775</v>
      </c>
      <c r="I361" t="s">
        <v>393</v>
      </c>
      <c r="J361">
        <v>152000</v>
      </c>
      <c r="K361" t="s">
        <v>394</v>
      </c>
      <c r="L361">
        <v>2803.6597999999999</v>
      </c>
      <c r="M361">
        <v>54.214851602180836</v>
      </c>
      <c r="N361" t="s">
        <v>395</v>
      </c>
      <c r="O361">
        <v>0</v>
      </c>
    </row>
    <row r="362" spans="1:15" x14ac:dyDescent="0.25">
      <c r="A362" t="s">
        <v>769</v>
      </c>
      <c r="B362">
        <v>8</v>
      </c>
      <c r="C362" s="609">
        <v>45078</v>
      </c>
      <c r="D362" s="609">
        <v>45107</v>
      </c>
      <c r="E362">
        <v>0</v>
      </c>
      <c r="F362">
        <v>6</v>
      </c>
      <c r="G362" t="s">
        <v>307</v>
      </c>
      <c r="H362" t="s">
        <v>776</v>
      </c>
      <c r="I362" t="s">
        <v>393</v>
      </c>
      <c r="J362">
        <v>152000</v>
      </c>
      <c r="K362" t="s">
        <v>394</v>
      </c>
      <c r="L362">
        <v>2803.6597999999999</v>
      </c>
      <c r="M362">
        <v>54.214851602180836</v>
      </c>
      <c r="N362" t="s">
        <v>395</v>
      </c>
      <c r="O362">
        <v>0</v>
      </c>
    </row>
    <row r="363" spans="1:15" x14ac:dyDescent="0.25">
      <c r="A363" t="s">
        <v>759</v>
      </c>
      <c r="B363">
        <v>8</v>
      </c>
      <c r="C363" s="609">
        <v>45078</v>
      </c>
      <c r="D363" s="609">
        <v>45107</v>
      </c>
      <c r="E363">
        <v>0</v>
      </c>
      <c r="F363">
        <v>6</v>
      </c>
      <c r="G363" t="s">
        <v>308</v>
      </c>
      <c r="H363" t="s">
        <v>777</v>
      </c>
      <c r="I363" t="s">
        <v>393</v>
      </c>
      <c r="J363">
        <v>281314</v>
      </c>
      <c r="K363" t="s">
        <v>394</v>
      </c>
      <c r="L363">
        <v>2803.6597999999999</v>
      </c>
      <c r="M363">
        <v>100.33813660273618</v>
      </c>
      <c r="N363" t="s">
        <v>395</v>
      </c>
      <c r="O363">
        <v>0</v>
      </c>
    </row>
    <row r="364" spans="1:15" x14ac:dyDescent="0.25">
      <c r="A364" t="s">
        <v>761</v>
      </c>
      <c r="B364">
        <v>8</v>
      </c>
      <c r="C364" s="609">
        <v>45078</v>
      </c>
      <c r="D364" s="609">
        <v>45107</v>
      </c>
      <c r="E364">
        <v>0</v>
      </c>
      <c r="F364">
        <v>6</v>
      </c>
      <c r="G364" t="s">
        <v>308</v>
      </c>
      <c r="H364" t="s">
        <v>778</v>
      </c>
      <c r="I364" t="s">
        <v>393</v>
      </c>
      <c r="J364">
        <v>281314</v>
      </c>
      <c r="K364" t="s">
        <v>394</v>
      </c>
      <c r="L364">
        <v>2803.6597999999999</v>
      </c>
      <c r="M364">
        <v>100.33813660273618</v>
      </c>
      <c r="N364" t="s">
        <v>395</v>
      </c>
      <c r="O364">
        <v>0</v>
      </c>
    </row>
    <row r="365" spans="1:15" x14ac:dyDescent="0.25">
      <c r="A365" t="s">
        <v>763</v>
      </c>
      <c r="B365">
        <v>8</v>
      </c>
      <c r="C365" s="609">
        <v>45078</v>
      </c>
      <c r="D365" s="609">
        <v>45107</v>
      </c>
      <c r="E365">
        <v>0</v>
      </c>
      <c r="F365">
        <v>6</v>
      </c>
      <c r="G365" t="s">
        <v>308</v>
      </c>
      <c r="H365" t="s">
        <v>779</v>
      </c>
      <c r="I365" t="s">
        <v>393</v>
      </c>
      <c r="J365">
        <v>281314</v>
      </c>
      <c r="K365" t="s">
        <v>394</v>
      </c>
      <c r="L365">
        <v>2803.6597999999999</v>
      </c>
      <c r="M365">
        <v>100.33813660273618</v>
      </c>
      <c r="N365" t="s">
        <v>395</v>
      </c>
      <c r="O365">
        <v>0</v>
      </c>
    </row>
    <row r="366" spans="1:15" x14ac:dyDescent="0.25">
      <c r="A366" t="s">
        <v>765</v>
      </c>
      <c r="B366">
        <v>8</v>
      </c>
      <c r="C366" s="609">
        <v>45078</v>
      </c>
      <c r="D366" s="609">
        <v>45107</v>
      </c>
      <c r="E366">
        <v>0</v>
      </c>
      <c r="F366">
        <v>6</v>
      </c>
      <c r="G366" t="s">
        <v>308</v>
      </c>
      <c r="H366" t="s">
        <v>780</v>
      </c>
      <c r="I366" t="s">
        <v>393</v>
      </c>
      <c r="J366">
        <v>281314</v>
      </c>
      <c r="K366" t="s">
        <v>394</v>
      </c>
      <c r="L366">
        <v>2803.6597999999999</v>
      </c>
      <c r="M366">
        <v>100.33813660273618</v>
      </c>
      <c r="N366" t="s">
        <v>395</v>
      </c>
      <c r="O366">
        <v>0</v>
      </c>
    </row>
    <row r="367" spans="1:15" x14ac:dyDescent="0.25">
      <c r="A367" t="s">
        <v>767</v>
      </c>
      <c r="B367">
        <v>8</v>
      </c>
      <c r="C367" s="609">
        <v>45078</v>
      </c>
      <c r="D367" s="609">
        <v>45107</v>
      </c>
      <c r="E367">
        <v>0</v>
      </c>
      <c r="F367">
        <v>6</v>
      </c>
      <c r="G367" t="s">
        <v>308</v>
      </c>
      <c r="H367" t="s">
        <v>781</v>
      </c>
      <c r="I367" t="s">
        <v>393</v>
      </c>
      <c r="J367">
        <v>281314</v>
      </c>
      <c r="K367" t="s">
        <v>394</v>
      </c>
      <c r="L367">
        <v>2803.6597999999999</v>
      </c>
      <c r="M367">
        <v>100.33813660273618</v>
      </c>
      <c r="N367" t="s">
        <v>395</v>
      </c>
      <c r="O367">
        <v>0</v>
      </c>
    </row>
    <row r="368" spans="1:15" x14ac:dyDescent="0.25">
      <c r="A368" t="s">
        <v>769</v>
      </c>
      <c r="B368">
        <v>8</v>
      </c>
      <c r="C368" s="609">
        <v>45078</v>
      </c>
      <c r="D368" s="609">
        <v>45107</v>
      </c>
      <c r="E368">
        <v>0</v>
      </c>
      <c r="F368">
        <v>6</v>
      </c>
      <c r="G368" t="s">
        <v>308</v>
      </c>
      <c r="H368" t="s">
        <v>782</v>
      </c>
      <c r="I368" t="s">
        <v>393</v>
      </c>
      <c r="J368">
        <v>281314</v>
      </c>
      <c r="K368" t="s">
        <v>394</v>
      </c>
      <c r="L368">
        <v>2803.6597999999999</v>
      </c>
      <c r="M368">
        <v>100.33813660273618</v>
      </c>
      <c r="N368" t="s">
        <v>395</v>
      </c>
      <c r="O368">
        <v>0</v>
      </c>
    </row>
    <row r="369" spans="1:15" x14ac:dyDescent="0.25">
      <c r="A369" t="s">
        <v>759</v>
      </c>
      <c r="B369">
        <v>8</v>
      </c>
      <c r="C369" s="609">
        <v>45078</v>
      </c>
      <c r="D369" s="609">
        <v>45107</v>
      </c>
      <c r="E369">
        <v>0</v>
      </c>
      <c r="F369">
        <v>6</v>
      </c>
      <c r="G369" t="s">
        <v>309</v>
      </c>
      <c r="H369" t="s">
        <v>783</v>
      </c>
      <c r="I369" t="s">
        <v>393</v>
      </c>
      <c r="J369">
        <v>590902</v>
      </c>
      <c r="K369" t="s">
        <v>394</v>
      </c>
      <c r="L369">
        <v>2803.6597999999999</v>
      </c>
      <c r="M369">
        <v>210.76094895678855</v>
      </c>
      <c r="N369" t="s">
        <v>395</v>
      </c>
      <c r="O369">
        <v>0</v>
      </c>
    </row>
    <row r="370" spans="1:15" x14ac:dyDescent="0.25">
      <c r="A370" t="s">
        <v>761</v>
      </c>
      <c r="B370">
        <v>8</v>
      </c>
      <c r="C370" s="609">
        <v>45078</v>
      </c>
      <c r="D370" s="609">
        <v>45107</v>
      </c>
      <c r="E370">
        <v>0</v>
      </c>
      <c r="F370">
        <v>6</v>
      </c>
      <c r="G370" t="s">
        <v>309</v>
      </c>
      <c r="H370" t="s">
        <v>784</v>
      </c>
      <c r="I370" t="s">
        <v>393</v>
      </c>
      <c r="J370">
        <v>945443</v>
      </c>
      <c r="K370" t="s">
        <v>394</v>
      </c>
      <c r="L370">
        <v>2803.6597999999999</v>
      </c>
      <c r="M370">
        <v>337.21744699553062</v>
      </c>
      <c r="N370" t="s">
        <v>395</v>
      </c>
      <c r="O370">
        <v>0</v>
      </c>
    </row>
    <row r="371" spans="1:15" x14ac:dyDescent="0.25">
      <c r="A371" t="s">
        <v>763</v>
      </c>
      <c r="B371">
        <v>8</v>
      </c>
      <c r="C371" s="609">
        <v>45078</v>
      </c>
      <c r="D371" s="609">
        <v>45107</v>
      </c>
      <c r="E371">
        <v>0</v>
      </c>
      <c r="F371">
        <v>6</v>
      </c>
      <c r="G371" t="s">
        <v>309</v>
      </c>
      <c r="H371" t="s">
        <v>785</v>
      </c>
      <c r="I371" t="s">
        <v>393</v>
      </c>
      <c r="J371">
        <v>945443</v>
      </c>
      <c r="K371" t="s">
        <v>394</v>
      </c>
      <c r="L371">
        <v>2803.6597999999999</v>
      </c>
      <c r="M371">
        <v>337.21744699553062</v>
      </c>
      <c r="N371" t="s">
        <v>395</v>
      </c>
      <c r="O371">
        <v>0</v>
      </c>
    </row>
    <row r="372" spans="1:15" x14ac:dyDescent="0.25">
      <c r="A372" t="s">
        <v>765</v>
      </c>
      <c r="B372">
        <v>8</v>
      </c>
      <c r="C372" s="609">
        <v>45078</v>
      </c>
      <c r="D372" s="609">
        <v>45107</v>
      </c>
      <c r="E372">
        <v>0</v>
      </c>
      <c r="F372">
        <v>6</v>
      </c>
      <c r="G372" t="s">
        <v>309</v>
      </c>
      <c r="H372" t="s">
        <v>786</v>
      </c>
      <c r="I372" t="s">
        <v>393</v>
      </c>
      <c r="J372">
        <v>945443</v>
      </c>
      <c r="K372" t="s">
        <v>394</v>
      </c>
      <c r="L372">
        <v>2803.6597999999999</v>
      </c>
      <c r="M372">
        <v>337.21744699553062</v>
      </c>
      <c r="N372" t="s">
        <v>395</v>
      </c>
      <c r="O372">
        <v>0</v>
      </c>
    </row>
    <row r="373" spans="1:15" x14ac:dyDescent="0.25">
      <c r="A373" t="s">
        <v>767</v>
      </c>
      <c r="B373">
        <v>8</v>
      </c>
      <c r="C373" s="609">
        <v>45078</v>
      </c>
      <c r="D373" s="609">
        <v>45107</v>
      </c>
      <c r="E373">
        <v>0</v>
      </c>
      <c r="F373">
        <v>6</v>
      </c>
      <c r="G373" t="s">
        <v>309</v>
      </c>
      <c r="H373" t="s">
        <v>787</v>
      </c>
      <c r="I373" t="s">
        <v>393</v>
      </c>
      <c r="J373">
        <v>945443</v>
      </c>
      <c r="K373" t="s">
        <v>394</v>
      </c>
      <c r="L373">
        <v>2803.6597999999999</v>
      </c>
      <c r="M373">
        <v>337.21744699553062</v>
      </c>
      <c r="N373" t="s">
        <v>395</v>
      </c>
      <c r="O373">
        <v>0</v>
      </c>
    </row>
    <row r="374" spans="1:15" x14ac:dyDescent="0.25">
      <c r="A374" t="s">
        <v>769</v>
      </c>
      <c r="B374">
        <v>8</v>
      </c>
      <c r="C374" s="609">
        <v>45078</v>
      </c>
      <c r="D374" s="609">
        <v>45107</v>
      </c>
      <c r="E374">
        <v>0</v>
      </c>
      <c r="F374">
        <v>6</v>
      </c>
      <c r="G374" t="s">
        <v>309</v>
      </c>
      <c r="H374" t="s">
        <v>788</v>
      </c>
      <c r="I374" t="s">
        <v>393</v>
      </c>
      <c r="J374">
        <v>945443</v>
      </c>
      <c r="K374" t="s">
        <v>394</v>
      </c>
      <c r="L374">
        <v>2803.6597999999999</v>
      </c>
      <c r="M374">
        <v>337.21744699553062</v>
      </c>
      <c r="N374" t="s">
        <v>395</v>
      </c>
      <c r="O374">
        <v>0</v>
      </c>
    </row>
    <row r="375" spans="1:15" x14ac:dyDescent="0.25">
      <c r="A375" t="s">
        <v>759</v>
      </c>
      <c r="B375">
        <v>8</v>
      </c>
      <c r="C375" s="609">
        <v>45078</v>
      </c>
      <c r="D375" s="609">
        <v>45107</v>
      </c>
      <c r="E375">
        <v>0</v>
      </c>
      <c r="F375">
        <v>6</v>
      </c>
      <c r="G375" t="s">
        <v>310</v>
      </c>
      <c r="H375" t="s">
        <v>789</v>
      </c>
      <c r="I375" t="s">
        <v>393</v>
      </c>
      <c r="J375">
        <v>369886</v>
      </c>
      <c r="K375" t="s">
        <v>394</v>
      </c>
      <c r="L375">
        <v>2803.6597999999999</v>
      </c>
      <c r="M375">
        <v>131.92970131397541</v>
      </c>
      <c r="N375" t="s">
        <v>395</v>
      </c>
      <c r="O375">
        <v>0</v>
      </c>
    </row>
    <row r="376" spans="1:15" x14ac:dyDescent="0.25">
      <c r="A376" t="s">
        <v>761</v>
      </c>
      <c r="B376">
        <v>8</v>
      </c>
      <c r="C376" s="609">
        <v>45078</v>
      </c>
      <c r="D376" s="609">
        <v>45107</v>
      </c>
      <c r="E376">
        <v>0</v>
      </c>
      <c r="F376">
        <v>6</v>
      </c>
      <c r="G376" t="s">
        <v>310</v>
      </c>
      <c r="H376" t="s">
        <v>790</v>
      </c>
      <c r="I376" t="s">
        <v>393</v>
      </c>
      <c r="J376">
        <v>369886</v>
      </c>
      <c r="K376" t="s">
        <v>394</v>
      </c>
      <c r="L376">
        <v>2803.6597999999999</v>
      </c>
      <c r="M376">
        <v>131.92970131397541</v>
      </c>
      <c r="N376" t="s">
        <v>395</v>
      </c>
      <c r="O376">
        <v>0</v>
      </c>
    </row>
    <row r="377" spans="1:15" x14ac:dyDescent="0.25">
      <c r="A377" t="s">
        <v>763</v>
      </c>
      <c r="B377">
        <v>8</v>
      </c>
      <c r="C377" s="609">
        <v>45078</v>
      </c>
      <c r="D377" s="609">
        <v>45107</v>
      </c>
      <c r="E377">
        <v>0</v>
      </c>
      <c r="F377">
        <v>6</v>
      </c>
      <c r="G377" t="s">
        <v>310</v>
      </c>
      <c r="H377" t="s">
        <v>791</v>
      </c>
      <c r="I377" t="s">
        <v>393</v>
      </c>
      <c r="J377">
        <v>369886</v>
      </c>
      <c r="K377" t="s">
        <v>394</v>
      </c>
      <c r="L377">
        <v>2803.6597999999999</v>
      </c>
      <c r="M377">
        <v>131.92970131397541</v>
      </c>
      <c r="N377" t="s">
        <v>395</v>
      </c>
      <c r="O377">
        <v>0</v>
      </c>
    </row>
    <row r="378" spans="1:15" x14ac:dyDescent="0.25">
      <c r="A378" t="s">
        <v>765</v>
      </c>
      <c r="B378">
        <v>8</v>
      </c>
      <c r="C378" s="609">
        <v>45078</v>
      </c>
      <c r="D378" s="609">
        <v>45107</v>
      </c>
      <c r="E378">
        <v>0</v>
      </c>
      <c r="F378">
        <v>6</v>
      </c>
      <c r="G378" t="s">
        <v>310</v>
      </c>
      <c r="H378" t="s">
        <v>792</v>
      </c>
      <c r="I378" t="s">
        <v>393</v>
      </c>
      <c r="J378">
        <v>369886</v>
      </c>
      <c r="K378" t="s">
        <v>394</v>
      </c>
      <c r="L378">
        <v>2803.6597999999999</v>
      </c>
      <c r="M378">
        <v>131.92970131397541</v>
      </c>
      <c r="N378" t="s">
        <v>395</v>
      </c>
      <c r="O378">
        <v>0</v>
      </c>
    </row>
    <row r="379" spans="1:15" x14ac:dyDescent="0.25">
      <c r="A379" t="s">
        <v>767</v>
      </c>
      <c r="B379">
        <v>8</v>
      </c>
      <c r="C379" s="609">
        <v>45078</v>
      </c>
      <c r="D379" s="609">
        <v>45107</v>
      </c>
      <c r="E379">
        <v>0</v>
      </c>
      <c r="F379">
        <v>6</v>
      </c>
      <c r="G379" t="s">
        <v>310</v>
      </c>
      <c r="H379" t="s">
        <v>793</v>
      </c>
      <c r="I379" t="s">
        <v>393</v>
      </c>
      <c r="J379">
        <v>369886</v>
      </c>
      <c r="K379" t="s">
        <v>394</v>
      </c>
      <c r="L379">
        <v>2803.6597999999999</v>
      </c>
      <c r="M379">
        <v>131.92970131397541</v>
      </c>
      <c r="N379" t="s">
        <v>395</v>
      </c>
      <c r="O379">
        <v>0</v>
      </c>
    </row>
    <row r="380" spans="1:15" x14ac:dyDescent="0.25">
      <c r="A380" t="s">
        <v>769</v>
      </c>
      <c r="B380">
        <v>8</v>
      </c>
      <c r="C380" s="609">
        <v>45078</v>
      </c>
      <c r="D380" s="609">
        <v>45107</v>
      </c>
      <c r="E380">
        <v>0</v>
      </c>
      <c r="F380">
        <v>6</v>
      </c>
      <c r="G380" t="s">
        <v>310</v>
      </c>
      <c r="H380" t="s">
        <v>794</v>
      </c>
      <c r="I380" t="s">
        <v>393</v>
      </c>
      <c r="J380">
        <v>369886</v>
      </c>
      <c r="K380" t="s">
        <v>394</v>
      </c>
      <c r="L380">
        <v>2803.6597999999999</v>
      </c>
      <c r="M380">
        <v>131.92970131397541</v>
      </c>
      <c r="N380" t="s">
        <v>395</v>
      </c>
      <c r="O380">
        <v>0</v>
      </c>
    </row>
    <row r="381" spans="1:15" x14ac:dyDescent="0.25">
      <c r="A381" t="s">
        <v>759</v>
      </c>
      <c r="B381">
        <v>8</v>
      </c>
      <c r="C381" s="609">
        <v>45078</v>
      </c>
      <c r="D381" s="609">
        <v>45107</v>
      </c>
      <c r="E381">
        <v>0</v>
      </c>
      <c r="F381">
        <v>6</v>
      </c>
      <c r="G381" t="s">
        <v>311</v>
      </c>
      <c r="H381" t="s">
        <v>795</v>
      </c>
      <c r="I381" t="s">
        <v>393</v>
      </c>
      <c r="J381">
        <v>102000</v>
      </c>
      <c r="K381" t="s">
        <v>394</v>
      </c>
      <c r="L381">
        <v>2803.6597999999999</v>
      </c>
      <c r="M381">
        <v>36.381018838305565</v>
      </c>
      <c r="N381" t="s">
        <v>395</v>
      </c>
      <c r="O381">
        <v>0</v>
      </c>
    </row>
    <row r="382" spans="1:15" x14ac:dyDescent="0.25">
      <c r="A382" t="s">
        <v>761</v>
      </c>
      <c r="B382">
        <v>8</v>
      </c>
      <c r="C382" s="609">
        <v>45078</v>
      </c>
      <c r="D382" s="609">
        <v>45107</v>
      </c>
      <c r="E382">
        <v>0</v>
      </c>
      <c r="F382">
        <v>6</v>
      </c>
      <c r="G382" t="s">
        <v>311</v>
      </c>
      <c r="H382" t="s">
        <v>796</v>
      </c>
      <c r="I382" t="s">
        <v>393</v>
      </c>
      <c r="J382">
        <v>102000</v>
      </c>
      <c r="K382" t="s">
        <v>394</v>
      </c>
      <c r="L382">
        <v>2803.6597999999999</v>
      </c>
      <c r="M382">
        <v>36.381018838305565</v>
      </c>
      <c r="N382" t="s">
        <v>395</v>
      </c>
      <c r="O382">
        <v>0</v>
      </c>
    </row>
    <row r="383" spans="1:15" x14ac:dyDescent="0.25">
      <c r="A383" t="s">
        <v>763</v>
      </c>
      <c r="B383">
        <v>8</v>
      </c>
      <c r="C383" s="609">
        <v>45078</v>
      </c>
      <c r="D383" s="609">
        <v>45107</v>
      </c>
      <c r="E383">
        <v>0</v>
      </c>
      <c r="F383">
        <v>6</v>
      </c>
      <c r="G383" t="s">
        <v>311</v>
      </c>
      <c r="H383" t="s">
        <v>797</v>
      </c>
      <c r="I383" t="s">
        <v>393</v>
      </c>
      <c r="J383">
        <v>102000</v>
      </c>
      <c r="K383" t="s">
        <v>394</v>
      </c>
      <c r="L383">
        <v>2803.6597999999999</v>
      </c>
      <c r="M383">
        <v>36.381018838305565</v>
      </c>
      <c r="N383" t="s">
        <v>395</v>
      </c>
      <c r="O383">
        <v>0</v>
      </c>
    </row>
    <row r="384" spans="1:15" x14ac:dyDescent="0.25">
      <c r="A384" t="s">
        <v>765</v>
      </c>
      <c r="B384">
        <v>8</v>
      </c>
      <c r="C384" s="609">
        <v>45078</v>
      </c>
      <c r="D384" s="609">
        <v>45107</v>
      </c>
      <c r="E384">
        <v>0</v>
      </c>
      <c r="F384">
        <v>6</v>
      </c>
      <c r="G384" t="s">
        <v>311</v>
      </c>
      <c r="H384" t="s">
        <v>798</v>
      </c>
      <c r="I384" t="s">
        <v>393</v>
      </c>
      <c r="J384">
        <v>102000</v>
      </c>
      <c r="K384" t="s">
        <v>394</v>
      </c>
      <c r="L384">
        <v>2803.6597999999999</v>
      </c>
      <c r="M384">
        <v>36.381018838305565</v>
      </c>
      <c r="N384" t="s">
        <v>395</v>
      </c>
      <c r="O384">
        <v>0</v>
      </c>
    </row>
    <row r="385" spans="1:15" x14ac:dyDescent="0.25">
      <c r="A385" t="s">
        <v>767</v>
      </c>
      <c r="B385">
        <v>8</v>
      </c>
      <c r="C385" s="609">
        <v>45078</v>
      </c>
      <c r="D385" s="609">
        <v>45107</v>
      </c>
      <c r="E385">
        <v>0</v>
      </c>
      <c r="F385">
        <v>6</v>
      </c>
      <c r="G385" t="s">
        <v>311</v>
      </c>
      <c r="H385" t="s">
        <v>799</v>
      </c>
      <c r="I385" t="s">
        <v>393</v>
      </c>
      <c r="J385">
        <v>102000</v>
      </c>
      <c r="K385" t="s">
        <v>394</v>
      </c>
      <c r="L385">
        <v>2803.6597999999999</v>
      </c>
      <c r="M385">
        <v>36.381018838305565</v>
      </c>
      <c r="N385" t="s">
        <v>395</v>
      </c>
      <c r="O385">
        <v>0</v>
      </c>
    </row>
    <row r="386" spans="1:15" x14ac:dyDescent="0.25">
      <c r="A386" t="s">
        <v>769</v>
      </c>
      <c r="B386">
        <v>8</v>
      </c>
      <c r="C386" s="609">
        <v>45078</v>
      </c>
      <c r="D386" s="609">
        <v>45107</v>
      </c>
      <c r="E386">
        <v>0</v>
      </c>
      <c r="F386">
        <v>6</v>
      </c>
      <c r="G386" t="s">
        <v>311</v>
      </c>
      <c r="H386" t="s">
        <v>800</v>
      </c>
      <c r="I386" t="s">
        <v>393</v>
      </c>
      <c r="J386">
        <v>102000</v>
      </c>
      <c r="K386" t="s">
        <v>394</v>
      </c>
      <c r="L386">
        <v>2803.6597999999999</v>
      </c>
      <c r="M386">
        <v>36.381018838305565</v>
      </c>
      <c r="N386" t="s">
        <v>395</v>
      </c>
      <c r="O386">
        <v>0</v>
      </c>
    </row>
    <row r="387" spans="1:15" x14ac:dyDescent="0.25">
      <c r="A387" t="s">
        <v>820</v>
      </c>
      <c r="B387">
        <v>9</v>
      </c>
      <c r="C387" s="609">
        <v>45078</v>
      </c>
      <c r="D387" s="609">
        <v>45089</v>
      </c>
      <c r="E387">
        <v>0</v>
      </c>
      <c r="F387">
        <v>6</v>
      </c>
      <c r="G387" t="s">
        <v>334</v>
      </c>
      <c r="H387" t="s">
        <v>821</v>
      </c>
      <c r="I387" t="s">
        <v>393</v>
      </c>
      <c r="J387">
        <v>199993.55539999995</v>
      </c>
      <c r="K387" t="s">
        <v>394</v>
      </c>
      <c r="L387">
        <v>2823.97</v>
      </c>
      <c r="M387">
        <v>70.819999999999993</v>
      </c>
      <c r="N387" t="s">
        <v>395</v>
      </c>
      <c r="O387">
        <v>0</v>
      </c>
    </row>
    <row r="388" spans="1:15" x14ac:dyDescent="0.25">
      <c r="A388" t="s">
        <v>822</v>
      </c>
      <c r="B388" t="s">
        <v>823</v>
      </c>
      <c r="C388" s="609">
        <v>45108</v>
      </c>
      <c r="D388" s="609">
        <v>45126</v>
      </c>
      <c r="E388">
        <v>0</v>
      </c>
      <c r="F388">
        <v>6</v>
      </c>
      <c r="G388" t="s">
        <v>824</v>
      </c>
      <c r="H388" t="s">
        <v>825</v>
      </c>
      <c r="I388" t="s">
        <v>393</v>
      </c>
      <c r="J388">
        <v>200000</v>
      </c>
      <c r="K388" t="s">
        <v>394</v>
      </c>
      <c r="L388">
        <v>2830.26</v>
      </c>
      <c r="M388">
        <v>70.664885911541688</v>
      </c>
      <c r="N388" t="s">
        <v>395</v>
      </c>
      <c r="O388">
        <v>0</v>
      </c>
    </row>
    <row r="389" spans="1:15" x14ac:dyDescent="0.25">
      <c r="A389" t="s">
        <v>826</v>
      </c>
      <c r="B389">
        <v>3</v>
      </c>
      <c r="C389" t="s">
        <v>827</v>
      </c>
      <c r="D389" s="609">
        <v>45167</v>
      </c>
      <c r="E389">
        <v>0</v>
      </c>
      <c r="F389">
        <v>6</v>
      </c>
      <c r="G389" t="s">
        <v>828</v>
      </c>
      <c r="H389" t="s">
        <v>829</v>
      </c>
      <c r="I389" t="s">
        <v>393</v>
      </c>
      <c r="J389">
        <v>189000</v>
      </c>
      <c r="K389" t="s">
        <v>394</v>
      </c>
      <c r="L389">
        <v>2830.26</v>
      </c>
      <c r="M389">
        <v>66.778317186406895</v>
      </c>
      <c r="N389" t="s">
        <v>395</v>
      </c>
      <c r="O389">
        <v>0</v>
      </c>
    </row>
    <row r="390" spans="1:15" x14ac:dyDescent="0.25">
      <c r="A390" t="s">
        <v>830</v>
      </c>
      <c r="B390">
        <v>6</v>
      </c>
      <c r="C390" s="609">
        <v>45170</v>
      </c>
      <c r="D390" s="609">
        <v>45175</v>
      </c>
      <c r="E390">
        <v>0</v>
      </c>
      <c r="F390">
        <v>6</v>
      </c>
      <c r="G390" t="s">
        <v>343</v>
      </c>
      <c r="H390" t="s">
        <v>831</v>
      </c>
      <c r="I390" t="s">
        <v>393</v>
      </c>
      <c r="J390">
        <v>865800</v>
      </c>
      <c r="K390" t="s">
        <v>394</v>
      </c>
      <c r="L390">
        <v>2830.26</v>
      </c>
      <c r="M390">
        <v>305.90829111106399</v>
      </c>
      <c r="N390" t="s">
        <v>395</v>
      </c>
      <c r="O390">
        <v>0</v>
      </c>
    </row>
    <row r="391" spans="1:15" x14ac:dyDescent="0.25">
      <c r="A391" t="s">
        <v>832</v>
      </c>
      <c r="B391">
        <v>7</v>
      </c>
      <c r="C391" s="609">
        <v>45170</v>
      </c>
      <c r="D391" s="609">
        <v>45175</v>
      </c>
      <c r="E391">
        <v>0</v>
      </c>
      <c r="F391">
        <v>6</v>
      </c>
      <c r="G391" t="s">
        <v>833</v>
      </c>
      <c r="H391" t="s">
        <v>834</v>
      </c>
      <c r="I391" t="s">
        <v>393</v>
      </c>
      <c r="J391">
        <v>241900</v>
      </c>
      <c r="K391" t="s">
        <v>394</v>
      </c>
      <c r="L391">
        <v>2830.26</v>
      </c>
      <c r="M391">
        <v>85.469179510009681</v>
      </c>
      <c r="N391" t="s">
        <v>395</v>
      </c>
      <c r="O391">
        <v>0</v>
      </c>
    </row>
    <row r="392" spans="1:15" x14ac:dyDescent="0.25">
      <c r="A392" t="s">
        <v>835</v>
      </c>
      <c r="B392">
        <v>2</v>
      </c>
      <c r="C392" s="609">
        <v>45139</v>
      </c>
      <c r="D392" s="609">
        <v>45163</v>
      </c>
      <c r="E392">
        <v>0</v>
      </c>
      <c r="F392">
        <v>6</v>
      </c>
      <c r="G392" t="s">
        <v>836</v>
      </c>
      <c r="H392" t="s">
        <v>837</v>
      </c>
      <c r="I392" t="s">
        <v>393</v>
      </c>
      <c r="J392">
        <v>750000</v>
      </c>
      <c r="K392" t="s">
        <v>394</v>
      </c>
      <c r="L392">
        <v>2830.26</v>
      </c>
      <c r="M392">
        <v>264.99332216828134</v>
      </c>
      <c r="N392" t="s">
        <v>395</v>
      </c>
      <c r="O392">
        <v>0</v>
      </c>
    </row>
    <row r="393" spans="1:15" x14ac:dyDescent="0.25">
      <c r="A393" t="s">
        <v>849</v>
      </c>
      <c r="B393">
        <v>13</v>
      </c>
      <c r="C393" t="s">
        <v>850</v>
      </c>
      <c r="D393" s="609">
        <v>44964</v>
      </c>
      <c r="E393">
        <v>0</v>
      </c>
      <c r="F393">
        <v>6</v>
      </c>
      <c r="G393" t="s">
        <v>851</v>
      </c>
      <c r="H393" t="s">
        <v>852</v>
      </c>
      <c r="I393" t="s">
        <v>393</v>
      </c>
      <c r="J393">
        <v>3.18</v>
      </c>
      <c r="L393">
        <v>1</v>
      </c>
      <c r="M393">
        <v>3.18</v>
      </c>
      <c r="N393" t="s">
        <v>395</v>
      </c>
      <c r="O393">
        <v>0</v>
      </c>
    </row>
    <row r="394" spans="1:15" x14ac:dyDescent="0.25">
      <c r="A394" t="s">
        <v>849</v>
      </c>
      <c r="B394">
        <v>13</v>
      </c>
      <c r="C394" t="s">
        <v>853</v>
      </c>
      <c r="D394" s="609">
        <v>44964</v>
      </c>
      <c r="E394">
        <v>0</v>
      </c>
      <c r="F394">
        <v>6</v>
      </c>
      <c r="G394" t="s">
        <v>851</v>
      </c>
      <c r="H394" t="s">
        <v>852</v>
      </c>
      <c r="I394" t="s">
        <v>393</v>
      </c>
      <c r="J394">
        <v>3.54</v>
      </c>
      <c r="K394" t="s">
        <v>394</v>
      </c>
      <c r="L394">
        <v>1</v>
      </c>
      <c r="M394">
        <v>3.54</v>
      </c>
      <c r="N394" t="s">
        <v>395</v>
      </c>
      <c r="O394">
        <v>0</v>
      </c>
    </row>
    <row r="395" spans="1:15" x14ac:dyDescent="0.25">
      <c r="A395" t="s">
        <v>854</v>
      </c>
      <c r="B395">
        <v>14</v>
      </c>
      <c r="C395" t="s">
        <v>855</v>
      </c>
      <c r="D395" s="609">
        <v>44964</v>
      </c>
      <c r="E395">
        <v>0</v>
      </c>
      <c r="F395">
        <v>6</v>
      </c>
      <c r="G395" t="s">
        <v>851</v>
      </c>
      <c r="H395" t="s">
        <v>856</v>
      </c>
      <c r="I395" t="s">
        <v>393</v>
      </c>
      <c r="J395">
        <v>15074</v>
      </c>
      <c r="K395" t="s">
        <v>394</v>
      </c>
      <c r="L395">
        <v>2803.6597999999999</v>
      </c>
      <c r="M395">
        <v>5.3765439016531182</v>
      </c>
      <c r="N395" t="s">
        <v>395</v>
      </c>
      <c r="O395">
        <v>0</v>
      </c>
    </row>
    <row r="396" spans="1:15" x14ac:dyDescent="0.25">
      <c r="A396" t="s">
        <v>857</v>
      </c>
      <c r="B396">
        <v>18</v>
      </c>
      <c r="C396" t="s">
        <v>853</v>
      </c>
      <c r="D396">
        <v>45138</v>
      </c>
      <c r="E396">
        <v>0</v>
      </c>
      <c r="F396">
        <v>6</v>
      </c>
      <c r="G396" t="s">
        <v>332</v>
      </c>
      <c r="H396" t="s">
        <v>858</v>
      </c>
      <c r="I396" t="s">
        <v>393</v>
      </c>
      <c r="J396">
        <v>145000</v>
      </c>
      <c r="K396" t="s">
        <v>394</v>
      </c>
      <c r="L396">
        <v>2803.6597999999999</v>
      </c>
      <c r="M396">
        <v>51.718115015238297</v>
      </c>
      <c r="N396" t="s">
        <v>395</v>
      </c>
      <c r="O396">
        <v>0</v>
      </c>
    </row>
    <row r="397" spans="1:15" x14ac:dyDescent="0.25">
      <c r="A397" t="s">
        <v>859</v>
      </c>
      <c r="B397">
        <v>15</v>
      </c>
      <c r="C397" t="s">
        <v>855</v>
      </c>
      <c r="D397" s="609">
        <v>45122</v>
      </c>
      <c r="E397">
        <v>0</v>
      </c>
      <c r="F397">
        <v>6</v>
      </c>
      <c r="G397" t="s">
        <v>306</v>
      </c>
      <c r="H397" t="s">
        <v>860</v>
      </c>
      <c r="I397" t="s">
        <v>393</v>
      </c>
      <c r="J397">
        <v>1029</v>
      </c>
      <c r="K397" t="s">
        <v>394</v>
      </c>
      <c r="L397">
        <v>2803.6597999999999</v>
      </c>
      <c r="M397">
        <v>0.36702027828055317</v>
      </c>
      <c r="N397" t="s">
        <v>395</v>
      </c>
      <c r="O397">
        <v>0</v>
      </c>
    </row>
    <row r="398" spans="1:15" x14ac:dyDescent="0.25">
      <c r="A398" t="s">
        <v>859</v>
      </c>
      <c r="B398">
        <v>15</v>
      </c>
      <c r="C398" t="s">
        <v>855</v>
      </c>
      <c r="D398" s="609">
        <v>45122</v>
      </c>
      <c r="E398">
        <v>0</v>
      </c>
      <c r="F398">
        <v>6</v>
      </c>
      <c r="G398" t="s">
        <v>308</v>
      </c>
      <c r="H398" t="s">
        <v>861</v>
      </c>
      <c r="I398" t="s">
        <v>393</v>
      </c>
      <c r="J398">
        <v>686</v>
      </c>
      <c r="K398" t="s">
        <v>394</v>
      </c>
      <c r="L398">
        <v>2803.6597999999999</v>
      </c>
      <c r="M398">
        <v>0.24468018552036877</v>
      </c>
      <c r="N398" t="s">
        <v>395</v>
      </c>
      <c r="O398">
        <v>0</v>
      </c>
    </row>
    <row r="399" spans="1:15" x14ac:dyDescent="0.25">
      <c r="A399" t="s">
        <v>859</v>
      </c>
      <c r="B399">
        <v>15</v>
      </c>
      <c r="C399" t="s">
        <v>855</v>
      </c>
      <c r="D399" s="609">
        <v>45122</v>
      </c>
      <c r="E399">
        <v>0</v>
      </c>
      <c r="F399">
        <v>6</v>
      </c>
      <c r="G399" t="s">
        <v>309</v>
      </c>
      <c r="H399" t="s">
        <v>862</v>
      </c>
      <c r="I399" t="s">
        <v>393</v>
      </c>
      <c r="J399">
        <v>89700</v>
      </c>
      <c r="K399" t="s">
        <v>394</v>
      </c>
      <c r="L399">
        <v>2803.6597999999999</v>
      </c>
      <c r="M399">
        <v>31.993895978392246</v>
      </c>
      <c r="N399" t="s">
        <v>395</v>
      </c>
      <c r="O399">
        <v>0</v>
      </c>
    </row>
    <row r="400" spans="1:15" x14ac:dyDescent="0.25">
      <c r="A400" t="s">
        <v>859</v>
      </c>
      <c r="B400">
        <v>15</v>
      </c>
      <c r="C400" t="s">
        <v>853</v>
      </c>
      <c r="D400" s="609">
        <v>45122</v>
      </c>
      <c r="E400">
        <v>0</v>
      </c>
      <c r="F400">
        <v>6</v>
      </c>
      <c r="G400" t="s">
        <v>310</v>
      </c>
      <c r="H400" t="s">
        <v>863</v>
      </c>
      <c r="I400" t="s">
        <v>393</v>
      </c>
      <c r="J400">
        <v>12114</v>
      </c>
      <c r="K400" t="s">
        <v>394</v>
      </c>
      <c r="L400">
        <v>2803.6597999999999</v>
      </c>
      <c r="M400">
        <v>4.3207810020317021</v>
      </c>
      <c r="N400" t="s">
        <v>395</v>
      </c>
      <c r="O400">
        <v>0</v>
      </c>
    </row>
    <row r="401" spans="1:15" x14ac:dyDescent="0.25">
      <c r="A401" t="s">
        <v>864</v>
      </c>
      <c r="B401">
        <v>16</v>
      </c>
      <c r="C401" t="s">
        <v>855</v>
      </c>
      <c r="D401" s="609">
        <v>45134</v>
      </c>
      <c r="E401">
        <v>0</v>
      </c>
      <c r="F401">
        <v>6</v>
      </c>
      <c r="G401" t="s">
        <v>306</v>
      </c>
      <c r="H401" t="s">
        <v>865</v>
      </c>
      <c r="I401" t="s">
        <v>393</v>
      </c>
      <c r="J401">
        <v>382454</v>
      </c>
      <c r="K401" t="s">
        <v>394</v>
      </c>
      <c r="L401">
        <v>2803.6597999999999</v>
      </c>
      <c r="M401">
        <v>136.4124135175031</v>
      </c>
      <c r="N401" t="s">
        <v>395</v>
      </c>
      <c r="O401">
        <v>0</v>
      </c>
    </row>
    <row r="402" spans="1:15" x14ac:dyDescent="0.25">
      <c r="A402" t="s">
        <v>864</v>
      </c>
      <c r="B402">
        <v>16</v>
      </c>
      <c r="C402" t="s">
        <v>855</v>
      </c>
      <c r="D402" s="609">
        <v>45134</v>
      </c>
      <c r="E402">
        <v>0</v>
      </c>
      <c r="F402">
        <v>6</v>
      </c>
      <c r="G402" t="s">
        <v>307</v>
      </c>
      <c r="H402" t="s">
        <v>866</v>
      </c>
      <c r="I402" t="s">
        <v>393</v>
      </c>
      <c r="J402">
        <v>216919</v>
      </c>
      <c r="K402" t="s">
        <v>394</v>
      </c>
      <c r="L402">
        <v>2803.6597999999999</v>
      </c>
      <c r="M402">
        <v>77.369943386141216</v>
      </c>
      <c r="N402" t="s">
        <v>395</v>
      </c>
      <c r="O402">
        <v>0</v>
      </c>
    </row>
    <row r="403" spans="1:15" x14ac:dyDescent="0.25">
      <c r="A403" t="s">
        <v>864</v>
      </c>
      <c r="B403">
        <v>16</v>
      </c>
      <c r="C403" t="s">
        <v>855</v>
      </c>
      <c r="D403" s="609">
        <v>45134</v>
      </c>
      <c r="E403">
        <v>0</v>
      </c>
      <c r="F403">
        <v>6</v>
      </c>
      <c r="G403" t="s">
        <v>308</v>
      </c>
      <c r="H403" t="s">
        <v>867</v>
      </c>
      <c r="I403" t="s">
        <v>393</v>
      </c>
      <c r="J403">
        <v>382797</v>
      </c>
      <c r="K403" t="s">
        <v>394</v>
      </c>
      <c r="L403">
        <v>2803.6597999999999</v>
      </c>
      <c r="M403">
        <v>136.53475361026327</v>
      </c>
      <c r="N403" t="s">
        <v>395</v>
      </c>
      <c r="O403">
        <v>0</v>
      </c>
    </row>
    <row r="404" spans="1:15" x14ac:dyDescent="0.25">
      <c r="A404" t="s">
        <v>864</v>
      </c>
      <c r="B404">
        <v>16</v>
      </c>
      <c r="C404" t="s">
        <v>855</v>
      </c>
      <c r="D404" s="609">
        <v>45134</v>
      </c>
      <c r="E404">
        <v>0</v>
      </c>
      <c r="F404">
        <v>6</v>
      </c>
      <c r="G404" t="s">
        <v>309</v>
      </c>
      <c r="H404" t="s">
        <v>868</v>
      </c>
      <c r="I404" t="s">
        <v>393</v>
      </c>
      <c r="J404">
        <v>1288541</v>
      </c>
      <c r="K404" t="s">
        <v>394</v>
      </c>
      <c r="L404">
        <v>2803.6597999999999</v>
      </c>
      <c r="M404">
        <v>459.59249406793225</v>
      </c>
      <c r="N404" t="s">
        <v>395</v>
      </c>
      <c r="O404">
        <v>0</v>
      </c>
    </row>
    <row r="405" spans="1:15" x14ac:dyDescent="0.25">
      <c r="A405" t="s">
        <v>864</v>
      </c>
      <c r="B405">
        <v>16</v>
      </c>
      <c r="C405" t="s">
        <v>855</v>
      </c>
      <c r="D405" s="609">
        <v>45134</v>
      </c>
      <c r="E405">
        <v>0</v>
      </c>
      <c r="F405">
        <v>6</v>
      </c>
      <c r="G405" t="s">
        <v>310</v>
      </c>
      <c r="H405" t="s">
        <v>869</v>
      </c>
      <c r="I405" t="s">
        <v>393</v>
      </c>
      <c r="J405">
        <v>505196</v>
      </c>
      <c r="K405" t="s">
        <v>394</v>
      </c>
      <c r="L405">
        <v>2803.6597999999999</v>
      </c>
      <c r="M405">
        <v>180.19161953957467</v>
      </c>
      <c r="N405" t="s">
        <v>395</v>
      </c>
      <c r="O405">
        <v>0</v>
      </c>
    </row>
    <row r="406" spans="1:15" x14ac:dyDescent="0.25">
      <c r="A406" t="s">
        <v>864</v>
      </c>
      <c r="B406">
        <v>16</v>
      </c>
      <c r="C406" t="s">
        <v>855</v>
      </c>
      <c r="D406" s="609">
        <v>45134</v>
      </c>
      <c r="E406">
        <v>0</v>
      </c>
      <c r="F406">
        <v>6</v>
      </c>
      <c r="G406" t="s">
        <v>311</v>
      </c>
      <c r="H406" t="s">
        <v>870</v>
      </c>
      <c r="I406" t="s">
        <v>393</v>
      </c>
      <c r="J406">
        <v>147836</v>
      </c>
      <c r="K406" t="s">
        <v>394</v>
      </c>
      <c r="L406">
        <v>2803.6597999999999</v>
      </c>
      <c r="M406">
        <v>52.729650009605301</v>
      </c>
      <c r="N406" t="s">
        <v>395</v>
      </c>
      <c r="O406">
        <v>0</v>
      </c>
    </row>
    <row r="407" spans="1:15" x14ac:dyDescent="0.25">
      <c r="A407" t="s">
        <v>871</v>
      </c>
      <c r="B407">
        <v>17</v>
      </c>
      <c r="C407" t="s">
        <v>853</v>
      </c>
      <c r="D407" s="609">
        <v>45134</v>
      </c>
      <c r="E407">
        <v>0</v>
      </c>
      <c r="F407">
        <v>6</v>
      </c>
      <c r="G407" t="s">
        <v>306</v>
      </c>
      <c r="H407" t="s">
        <v>872</v>
      </c>
      <c r="I407" t="s">
        <v>393</v>
      </c>
      <c r="J407">
        <v>101482</v>
      </c>
      <c r="K407" t="s">
        <v>394</v>
      </c>
      <c r="L407">
        <v>2803.6597999999999</v>
      </c>
      <c r="M407">
        <v>36.196260330871816</v>
      </c>
      <c r="N407" t="s">
        <v>395</v>
      </c>
      <c r="O407">
        <v>0</v>
      </c>
    </row>
    <row r="408" spans="1:15" x14ac:dyDescent="0.25">
      <c r="A408" t="s">
        <v>871</v>
      </c>
      <c r="B408">
        <v>17</v>
      </c>
      <c r="C408" t="s">
        <v>853</v>
      </c>
      <c r="D408" s="609">
        <v>45134</v>
      </c>
      <c r="E408">
        <v>0</v>
      </c>
      <c r="F408">
        <v>6</v>
      </c>
      <c r="G408" t="s">
        <v>306</v>
      </c>
      <c r="H408" t="s">
        <v>873</v>
      </c>
      <c r="I408" t="s">
        <v>393</v>
      </c>
      <c r="J408">
        <v>101482</v>
      </c>
      <c r="K408" t="s">
        <v>394</v>
      </c>
      <c r="L408">
        <v>2803.6597999999999</v>
      </c>
      <c r="M408">
        <v>36.196260330871816</v>
      </c>
      <c r="N408" t="s">
        <v>395</v>
      </c>
      <c r="O408">
        <v>0</v>
      </c>
    </row>
    <row r="409" spans="1:15" x14ac:dyDescent="0.25">
      <c r="A409" t="s">
        <v>871</v>
      </c>
      <c r="B409">
        <v>17</v>
      </c>
      <c r="C409" t="s">
        <v>853</v>
      </c>
      <c r="D409" s="609">
        <v>45134</v>
      </c>
      <c r="E409">
        <v>0</v>
      </c>
      <c r="F409">
        <v>6</v>
      </c>
      <c r="G409" t="s">
        <v>306</v>
      </c>
      <c r="H409" t="s">
        <v>874</v>
      </c>
      <c r="I409" t="s">
        <v>393</v>
      </c>
      <c r="J409">
        <v>101482</v>
      </c>
      <c r="K409" t="s">
        <v>394</v>
      </c>
      <c r="L409">
        <v>2803.6597999999999</v>
      </c>
      <c r="M409">
        <v>36.196260330871816</v>
      </c>
      <c r="N409" t="s">
        <v>395</v>
      </c>
      <c r="O409">
        <v>0</v>
      </c>
    </row>
    <row r="410" spans="1:15" x14ac:dyDescent="0.25">
      <c r="A410" t="s">
        <v>871</v>
      </c>
      <c r="B410">
        <v>17</v>
      </c>
      <c r="C410" t="s">
        <v>853</v>
      </c>
      <c r="D410" s="609">
        <v>45134</v>
      </c>
      <c r="E410">
        <v>0</v>
      </c>
      <c r="F410">
        <v>6</v>
      </c>
      <c r="G410" t="s">
        <v>306</v>
      </c>
      <c r="H410" t="s">
        <v>875</v>
      </c>
      <c r="I410" t="s">
        <v>393</v>
      </c>
      <c r="J410">
        <v>101482</v>
      </c>
      <c r="K410" t="s">
        <v>394</v>
      </c>
      <c r="L410">
        <v>2803.6597999999999</v>
      </c>
      <c r="M410">
        <v>36.196260330871816</v>
      </c>
      <c r="N410" t="s">
        <v>395</v>
      </c>
      <c r="O410">
        <v>0</v>
      </c>
    </row>
    <row r="411" spans="1:15" x14ac:dyDescent="0.25">
      <c r="A411" t="s">
        <v>871</v>
      </c>
      <c r="B411">
        <v>17</v>
      </c>
      <c r="C411" t="s">
        <v>853</v>
      </c>
      <c r="D411" s="609">
        <v>45134</v>
      </c>
      <c r="E411">
        <v>0</v>
      </c>
      <c r="F411">
        <v>6</v>
      </c>
      <c r="G411" t="s">
        <v>306</v>
      </c>
      <c r="H411" t="s">
        <v>876</v>
      </c>
      <c r="I411" t="s">
        <v>393</v>
      </c>
      <c r="J411">
        <v>101482</v>
      </c>
      <c r="K411" t="s">
        <v>394</v>
      </c>
      <c r="L411">
        <v>2803.6597999999999</v>
      </c>
      <c r="M411">
        <v>36.196260330871816</v>
      </c>
      <c r="N411" t="s">
        <v>395</v>
      </c>
      <c r="O411">
        <v>0</v>
      </c>
    </row>
    <row r="412" spans="1:15" x14ac:dyDescent="0.25">
      <c r="A412" t="s">
        <v>871</v>
      </c>
      <c r="B412">
        <v>17</v>
      </c>
      <c r="C412" t="s">
        <v>853</v>
      </c>
      <c r="D412" s="609">
        <v>45134</v>
      </c>
      <c r="E412">
        <v>0</v>
      </c>
      <c r="F412">
        <v>6</v>
      </c>
      <c r="G412" t="s">
        <v>306</v>
      </c>
      <c r="H412" t="s">
        <v>877</v>
      </c>
      <c r="I412" t="s">
        <v>393</v>
      </c>
      <c r="J412">
        <v>101482</v>
      </c>
      <c r="K412" t="s">
        <v>394</v>
      </c>
      <c r="L412">
        <v>2803.6597999999999</v>
      </c>
      <c r="M412">
        <v>36.196260330871816</v>
      </c>
      <c r="N412" t="s">
        <v>395</v>
      </c>
      <c r="O412">
        <v>0</v>
      </c>
    </row>
    <row r="413" spans="1:15" x14ac:dyDescent="0.25">
      <c r="A413" t="s">
        <v>871</v>
      </c>
      <c r="B413">
        <v>17</v>
      </c>
      <c r="C413" t="s">
        <v>853</v>
      </c>
      <c r="D413" s="609">
        <v>45134</v>
      </c>
      <c r="E413">
        <v>0</v>
      </c>
      <c r="F413">
        <v>6</v>
      </c>
      <c r="G413" t="s">
        <v>307</v>
      </c>
      <c r="H413" t="s">
        <v>878</v>
      </c>
      <c r="I413" t="s">
        <v>393</v>
      </c>
      <c r="J413">
        <v>64919</v>
      </c>
      <c r="K413" t="s">
        <v>394</v>
      </c>
      <c r="L413">
        <v>2803.6597999999999</v>
      </c>
      <c r="M413">
        <v>23.15509178396038</v>
      </c>
      <c r="N413" t="s">
        <v>395</v>
      </c>
      <c r="O413">
        <v>0</v>
      </c>
    </row>
    <row r="414" spans="1:15" x14ac:dyDescent="0.25">
      <c r="A414" t="s">
        <v>871</v>
      </c>
      <c r="B414">
        <v>17</v>
      </c>
      <c r="C414" t="s">
        <v>853</v>
      </c>
      <c r="D414" s="609">
        <v>45134</v>
      </c>
      <c r="E414">
        <v>0</v>
      </c>
      <c r="F414">
        <v>6</v>
      </c>
      <c r="G414" t="s">
        <v>307</v>
      </c>
      <c r="H414" t="s">
        <v>879</v>
      </c>
      <c r="I414" t="s">
        <v>393</v>
      </c>
      <c r="J414">
        <v>64919</v>
      </c>
      <c r="K414" t="s">
        <v>394</v>
      </c>
      <c r="L414">
        <v>2803.6597999999999</v>
      </c>
      <c r="M414">
        <v>23.15509178396038</v>
      </c>
      <c r="N414" t="s">
        <v>395</v>
      </c>
      <c r="O414">
        <v>0</v>
      </c>
    </row>
    <row r="415" spans="1:15" x14ac:dyDescent="0.25">
      <c r="A415" t="s">
        <v>871</v>
      </c>
      <c r="B415">
        <v>17</v>
      </c>
      <c r="C415" t="s">
        <v>853</v>
      </c>
      <c r="D415" s="609">
        <v>45134</v>
      </c>
      <c r="E415">
        <v>0</v>
      </c>
      <c r="F415">
        <v>6</v>
      </c>
      <c r="G415" t="s">
        <v>307</v>
      </c>
      <c r="H415" t="s">
        <v>880</v>
      </c>
      <c r="I415" t="s">
        <v>393</v>
      </c>
      <c r="J415">
        <v>64919</v>
      </c>
      <c r="K415" t="s">
        <v>394</v>
      </c>
      <c r="L415">
        <v>2803.6597999999999</v>
      </c>
      <c r="M415">
        <v>23.15509178396038</v>
      </c>
      <c r="N415" t="s">
        <v>395</v>
      </c>
      <c r="O415">
        <v>0</v>
      </c>
    </row>
    <row r="416" spans="1:15" x14ac:dyDescent="0.25">
      <c r="A416" t="s">
        <v>871</v>
      </c>
      <c r="B416">
        <v>17</v>
      </c>
      <c r="C416" t="s">
        <v>853</v>
      </c>
      <c r="D416" s="609">
        <v>45134</v>
      </c>
      <c r="E416">
        <v>0</v>
      </c>
      <c r="F416">
        <v>6</v>
      </c>
      <c r="G416" t="s">
        <v>307</v>
      </c>
      <c r="H416" t="s">
        <v>881</v>
      </c>
      <c r="I416" t="s">
        <v>393</v>
      </c>
      <c r="J416">
        <v>64919</v>
      </c>
      <c r="K416" t="s">
        <v>394</v>
      </c>
      <c r="L416">
        <v>2803.6597999999999</v>
      </c>
      <c r="M416">
        <v>23.15509178396038</v>
      </c>
      <c r="N416" t="s">
        <v>395</v>
      </c>
      <c r="O416">
        <v>0</v>
      </c>
    </row>
    <row r="417" spans="1:15" x14ac:dyDescent="0.25">
      <c r="A417" t="s">
        <v>871</v>
      </c>
      <c r="B417">
        <v>17</v>
      </c>
      <c r="C417" t="s">
        <v>853</v>
      </c>
      <c r="D417" s="609">
        <v>45134</v>
      </c>
      <c r="E417">
        <v>0</v>
      </c>
      <c r="F417">
        <v>6</v>
      </c>
      <c r="G417" t="s">
        <v>307</v>
      </c>
      <c r="H417" t="s">
        <v>882</v>
      </c>
      <c r="I417" t="s">
        <v>393</v>
      </c>
      <c r="J417">
        <v>64919</v>
      </c>
      <c r="K417" t="s">
        <v>394</v>
      </c>
      <c r="L417">
        <v>2803.6597999999999</v>
      </c>
      <c r="M417">
        <v>23.15509178396038</v>
      </c>
      <c r="N417" t="s">
        <v>395</v>
      </c>
      <c r="O417">
        <v>0</v>
      </c>
    </row>
    <row r="418" spans="1:15" x14ac:dyDescent="0.25">
      <c r="A418" t="s">
        <v>871</v>
      </c>
      <c r="B418">
        <v>17</v>
      </c>
      <c r="C418" t="s">
        <v>853</v>
      </c>
      <c r="D418" s="609">
        <v>45134</v>
      </c>
      <c r="E418">
        <v>0</v>
      </c>
      <c r="F418">
        <v>6</v>
      </c>
      <c r="G418" t="s">
        <v>307</v>
      </c>
      <c r="H418" t="s">
        <v>883</v>
      </c>
      <c r="I418" t="s">
        <v>393</v>
      </c>
      <c r="J418">
        <v>64919</v>
      </c>
      <c r="K418" t="s">
        <v>394</v>
      </c>
      <c r="L418">
        <v>2803.6597999999999</v>
      </c>
      <c r="M418">
        <v>23.15509178396038</v>
      </c>
      <c r="N418" t="s">
        <v>395</v>
      </c>
      <c r="O418">
        <v>0</v>
      </c>
    </row>
    <row r="419" spans="1:15" x14ac:dyDescent="0.25">
      <c r="A419" t="s">
        <v>871</v>
      </c>
      <c r="B419">
        <v>17</v>
      </c>
      <c r="C419" t="s">
        <v>853</v>
      </c>
      <c r="D419" s="609">
        <v>45134</v>
      </c>
      <c r="E419">
        <v>0</v>
      </c>
      <c r="F419">
        <v>6</v>
      </c>
      <c r="G419" t="s">
        <v>308</v>
      </c>
      <c r="H419" t="s">
        <v>884</v>
      </c>
      <c r="I419" t="s">
        <v>393</v>
      </c>
      <c r="J419">
        <v>101483</v>
      </c>
      <c r="K419" t="s">
        <v>394</v>
      </c>
      <c r="L419">
        <v>2803.6597999999999</v>
      </c>
      <c r="M419">
        <v>36.196617007527088</v>
      </c>
      <c r="N419" t="s">
        <v>395</v>
      </c>
      <c r="O419">
        <v>0</v>
      </c>
    </row>
    <row r="420" spans="1:15" x14ac:dyDescent="0.25">
      <c r="A420" t="s">
        <v>871</v>
      </c>
      <c r="B420">
        <v>17</v>
      </c>
      <c r="C420" t="s">
        <v>853</v>
      </c>
      <c r="D420" s="609">
        <v>45134</v>
      </c>
      <c r="E420">
        <v>0</v>
      </c>
      <c r="F420">
        <v>6</v>
      </c>
      <c r="G420" t="s">
        <v>308</v>
      </c>
      <c r="H420" t="s">
        <v>885</v>
      </c>
      <c r="I420" t="s">
        <v>393</v>
      </c>
      <c r="J420">
        <v>101483</v>
      </c>
      <c r="K420" t="s">
        <v>394</v>
      </c>
      <c r="L420">
        <v>2803.6597999999999</v>
      </c>
      <c r="M420">
        <v>36.196617007527088</v>
      </c>
      <c r="N420" t="s">
        <v>395</v>
      </c>
      <c r="O420">
        <v>0</v>
      </c>
    </row>
    <row r="421" spans="1:15" x14ac:dyDescent="0.25">
      <c r="A421" t="s">
        <v>871</v>
      </c>
      <c r="B421">
        <v>17</v>
      </c>
      <c r="C421" t="s">
        <v>853</v>
      </c>
      <c r="D421" s="609">
        <v>45134</v>
      </c>
      <c r="E421">
        <v>0</v>
      </c>
      <c r="F421">
        <v>6</v>
      </c>
      <c r="G421" t="s">
        <v>307</v>
      </c>
      <c r="H421" t="s">
        <v>886</v>
      </c>
      <c r="I421" t="s">
        <v>393</v>
      </c>
      <c r="J421">
        <v>101483</v>
      </c>
      <c r="K421" t="s">
        <v>394</v>
      </c>
      <c r="L421">
        <v>2803.6597999999999</v>
      </c>
      <c r="M421">
        <v>36.196617007527088</v>
      </c>
      <c r="N421" t="s">
        <v>395</v>
      </c>
      <c r="O421">
        <v>0</v>
      </c>
    </row>
    <row r="422" spans="1:15" x14ac:dyDescent="0.25">
      <c r="A422" t="s">
        <v>871</v>
      </c>
      <c r="B422">
        <v>17</v>
      </c>
      <c r="C422" t="s">
        <v>853</v>
      </c>
      <c r="D422" s="609">
        <v>45134</v>
      </c>
      <c r="E422">
        <v>0</v>
      </c>
      <c r="F422">
        <v>6</v>
      </c>
      <c r="G422" t="s">
        <v>308</v>
      </c>
      <c r="H422" t="s">
        <v>887</v>
      </c>
      <c r="I422" t="s">
        <v>393</v>
      </c>
      <c r="J422">
        <v>101483</v>
      </c>
      <c r="K422" t="s">
        <v>394</v>
      </c>
      <c r="L422">
        <v>2803.6597999999999</v>
      </c>
      <c r="M422">
        <v>36.196617007527088</v>
      </c>
      <c r="N422" t="s">
        <v>395</v>
      </c>
      <c r="O422">
        <v>0</v>
      </c>
    </row>
    <row r="423" spans="1:15" x14ac:dyDescent="0.25">
      <c r="A423" t="s">
        <v>871</v>
      </c>
      <c r="B423">
        <v>17</v>
      </c>
      <c r="C423" t="s">
        <v>853</v>
      </c>
      <c r="D423" s="609">
        <v>45134</v>
      </c>
      <c r="E423">
        <v>0</v>
      </c>
      <c r="F423">
        <v>6</v>
      </c>
      <c r="G423" t="s">
        <v>308</v>
      </c>
      <c r="H423" t="s">
        <v>888</v>
      </c>
      <c r="I423" t="s">
        <v>393</v>
      </c>
      <c r="J423">
        <v>101483</v>
      </c>
      <c r="K423" t="s">
        <v>394</v>
      </c>
      <c r="L423">
        <v>2803.6597999999999</v>
      </c>
      <c r="M423">
        <v>36.196617007527088</v>
      </c>
      <c r="N423" t="s">
        <v>395</v>
      </c>
      <c r="O423">
        <v>0</v>
      </c>
    </row>
    <row r="424" spans="1:15" x14ac:dyDescent="0.25">
      <c r="A424" t="s">
        <v>871</v>
      </c>
      <c r="B424">
        <v>17</v>
      </c>
      <c r="C424" t="s">
        <v>853</v>
      </c>
      <c r="D424" s="609">
        <v>45134</v>
      </c>
      <c r="E424">
        <v>0</v>
      </c>
      <c r="F424">
        <v>6</v>
      </c>
      <c r="G424" t="s">
        <v>308</v>
      </c>
      <c r="H424" t="s">
        <v>889</v>
      </c>
      <c r="I424" t="s">
        <v>393</v>
      </c>
      <c r="J424">
        <v>101483</v>
      </c>
      <c r="K424" t="s">
        <v>394</v>
      </c>
      <c r="L424">
        <v>2803.6597999999999</v>
      </c>
      <c r="M424">
        <v>36.196617007527088</v>
      </c>
      <c r="N424" t="s">
        <v>395</v>
      </c>
      <c r="O424">
        <v>0</v>
      </c>
    </row>
    <row r="425" spans="1:15" x14ac:dyDescent="0.25">
      <c r="A425" t="s">
        <v>871</v>
      </c>
      <c r="B425">
        <v>17</v>
      </c>
      <c r="C425" t="s">
        <v>853</v>
      </c>
      <c r="D425" s="609">
        <v>45134</v>
      </c>
      <c r="E425">
        <v>0</v>
      </c>
      <c r="F425">
        <v>6</v>
      </c>
      <c r="G425" t="s">
        <v>309</v>
      </c>
      <c r="H425" t="s">
        <v>890</v>
      </c>
      <c r="I425" t="s">
        <v>393</v>
      </c>
      <c r="J425">
        <v>321654.33333333331</v>
      </c>
      <c r="K425" t="s">
        <v>394</v>
      </c>
      <c r="L425">
        <v>2803.6597999999999</v>
      </c>
      <c r="M425">
        <v>114.72659176884918</v>
      </c>
      <c r="N425" t="s">
        <v>395</v>
      </c>
      <c r="O425">
        <v>0</v>
      </c>
    </row>
    <row r="426" spans="1:15" x14ac:dyDescent="0.25">
      <c r="A426" t="s">
        <v>871</v>
      </c>
      <c r="B426">
        <v>17</v>
      </c>
      <c r="C426" t="s">
        <v>853</v>
      </c>
      <c r="D426" s="609">
        <v>45134</v>
      </c>
      <c r="E426">
        <v>0</v>
      </c>
      <c r="F426">
        <v>6</v>
      </c>
      <c r="G426" t="s">
        <v>309</v>
      </c>
      <c r="H426" t="s">
        <v>891</v>
      </c>
      <c r="I426" t="s">
        <v>393</v>
      </c>
      <c r="J426">
        <v>321654.33333333331</v>
      </c>
      <c r="K426" t="s">
        <v>394</v>
      </c>
      <c r="L426">
        <v>2803.6597999999999</v>
      </c>
      <c r="M426">
        <v>114.72659176884918</v>
      </c>
      <c r="N426" t="s">
        <v>395</v>
      </c>
      <c r="O426">
        <v>0</v>
      </c>
    </row>
    <row r="427" spans="1:15" x14ac:dyDescent="0.25">
      <c r="A427" t="s">
        <v>871</v>
      </c>
      <c r="B427">
        <v>17</v>
      </c>
      <c r="C427" t="s">
        <v>853</v>
      </c>
      <c r="D427" s="609">
        <v>45134</v>
      </c>
      <c r="E427">
        <v>0</v>
      </c>
      <c r="F427">
        <v>6</v>
      </c>
      <c r="G427" t="s">
        <v>309</v>
      </c>
      <c r="H427" t="s">
        <v>892</v>
      </c>
      <c r="I427" t="s">
        <v>393</v>
      </c>
      <c r="J427">
        <v>321654.33333333331</v>
      </c>
      <c r="K427" t="s">
        <v>394</v>
      </c>
      <c r="L427">
        <v>2803.6597999999999</v>
      </c>
      <c r="M427">
        <v>114.72659176884918</v>
      </c>
      <c r="N427" t="s">
        <v>395</v>
      </c>
      <c r="O427">
        <v>0</v>
      </c>
    </row>
    <row r="428" spans="1:15" x14ac:dyDescent="0.25">
      <c r="A428" t="s">
        <v>871</v>
      </c>
      <c r="B428">
        <v>17</v>
      </c>
      <c r="C428" t="s">
        <v>853</v>
      </c>
      <c r="D428" s="609">
        <v>45134</v>
      </c>
      <c r="E428">
        <v>0</v>
      </c>
      <c r="F428">
        <v>6</v>
      </c>
      <c r="G428" t="s">
        <v>309</v>
      </c>
      <c r="H428" t="s">
        <v>893</v>
      </c>
      <c r="I428" t="s">
        <v>393</v>
      </c>
      <c r="J428">
        <v>321654.33333333331</v>
      </c>
      <c r="K428" t="s">
        <v>394</v>
      </c>
      <c r="L428">
        <v>2803.6597999999999</v>
      </c>
      <c r="M428">
        <v>114.72659176884918</v>
      </c>
      <c r="N428" t="s">
        <v>395</v>
      </c>
      <c r="O428">
        <v>0</v>
      </c>
    </row>
    <row r="429" spans="1:15" x14ac:dyDescent="0.25">
      <c r="A429" t="s">
        <v>871</v>
      </c>
      <c r="B429">
        <v>17</v>
      </c>
      <c r="C429" t="s">
        <v>853</v>
      </c>
      <c r="D429" s="609">
        <v>45134</v>
      </c>
      <c r="E429">
        <v>0</v>
      </c>
      <c r="F429">
        <v>6</v>
      </c>
      <c r="G429" t="s">
        <v>309</v>
      </c>
      <c r="H429" t="s">
        <v>894</v>
      </c>
      <c r="I429" t="s">
        <v>393</v>
      </c>
      <c r="J429">
        <v>321654.33333333331</v>
      </c>
      <c r="K429" t="s">
        <v>394</v>
      </c>
      <c r="L429">
        <v>2803.6597999999999</v>
      </c>
      <c r="M429">
        <v>114.72659176884918</v>
      </c>
      <c r="N429" t="s">
        <v>395</v>
      </c>
      <c r="O429">
        <v>0</v>
      </c>
    </row>
    <row r="430" spans="1:15" x14ac:dyDescent="0.25">
      <c r="A430" t="s">
        <v>871</v>
      </c>
      <c r="B430">
        <v>17</v>
      </c>
      <c r="C430" t="s">
        <v>853</v>
      </c>
      <c r="D430" s="609">
        <v>45134</v>
      </c>
      <c r="E430">
        <v>0</v>
      </c>
      <c r="F430">
        <v>6</v>
      </c>
      <c r="G430" t="s">
        <v>309</v>
      </c>
      <c r="H430" t="s">
        <v>895</v>
      </c>
      <c r="I430" t="s">
        <v>393</v>
      </c>
      <c r="J430">
        <v>321654.33333333331</v>
      </c>
      <c r="K430" t="s">
        <v>394</v>
      </c>
      <c r="L430">
        <v>2803.6597999999999</v>
      </c>
      <c r="M430">
        <v>114.72659176884918</v>
      </c>
      <c r="N430" t="s">
        <v>395</v>
      </c>
      <c r="O430">
        <v>0</v>
      </c>
    </row>
    <row r="431" spans="1:15" x14ac:dyDescent="0.25">
      <c r="A431" t="s">
        <v>871</v>
      </c>
      <c r="B431">
        <v>17</v>
      </c>
      <c r="C431" t="s">
        <v>853</v>
      </c>
      <c r="D431" s="609">
        <v>45134</v>
      </c>
      <c r="E431">
        <v>0</v>
      </c>
      <c r="F431">
        <v>6</v>
      </c>
      <c r="G431" t="s">
        <v>310</v>
      </c>
      <c r="H431" t="s">
        <v>896</v>
      </c>
      <c r="I431" t="s">
        <v>393</v>
      </c>
      <c r="J431">
        <v>135310</v>
      </c>
      <c r="K431" t="s">
        <v>394</v>
      </c>
      <c r="L431">
        <v>2803.6597999999999</v>
      </c>
      <c r="M431">
        <v>48.261918225599267</v>
      </c>
      <c r="N431" t="s">
        <v>395</v>
      </c>
      <c r="O431">
        <v>0</v>
      </c>
    </row>
    <row r="432" spans="1:15" x14ac:dyDescent="0.25">
      <c r="A432" t="s">
        <v>871</v>
      </c>
      <c r="B432">
        <v>17</v>
      </c>
      <c r="C432" t="s">
        <v>853</v>
      </c>
      <c r="D432" s="609">
        <v>45134</v>
      </c>
      <c r="E432">
        <v>0</v>
      </c>
      <c r="F432">
        <v>6</v>
      </c>
      <c r="G432" t="s">
        <v>310</v>
      </c>
      <c r="H432" t="s">
        <v>897</v>
      </c>
      <c r="I432" t="s">
        <v>393</v>
      </c>
      <c r="J432">
        <v>135310</v>
      </c>
      <c r="K432" t="s">
        <v>394</v>
      </c>
      <c r="L432">
        <v>2803.6597999999999</v>
      </c>
      <c r="M432">
        <v>48.261918225599267</v>
      </c>
      <c r="N432" t="s">
        <v>395</v>
      </c>
      <c r="O432">
        <v>0</v>
      </c>
    </row>
    <row r="433" spans="1:15" x14ac:dyDescent="0.25">
      <c r="A433" t="s">
        <v>871</v>
      </c>
      <c r="B433">
        <v>17</v>
      </c>
      <c r="C433" t="s">
        <v>853</v>
      </c>
      <c r="D433" s="609">
        <v>45134</v>
      </c>
      <c r="E433">
        <v>0</v>
      </c>
      <c r="F433">
        <v>6</v>
      </c>
      <c r="G433" t="s">
        <v>310</v>
      </c>
      <c r="H433" t="s">
        <v>898</v>
      </c>
      <c r="I433" t="s">
        <v>393</v>
      </c>
      <c r="J433">
        <v>135310</v>
      </c>
      <c r="K433" t="s">
        <v>394</v>
      </c>
      <c r="L433">
        <v>2803.6597999999999</v>
      </c>
      <c r="M433">
        <v>48.261918225599267</v>
      </c>
      <c r="N433" t="s">
        <v>395</v>
      </c>
      <c r="O433">
        <v>0</v>
      </c>
    </row>
    <row r="434" spans="1:15" x14ac:dyDescent="0.25">
      <c r="A434" t="s">
        <v>871</v>
      </c>
      <c r="B434">
        <v>17</v>
      </c>
      <c r="C434" t="s">
        <v>853</v>
      </c>
      <c r="D434" s="609">
        <v>45134</v>
      </c>
      <c r="E434">
        <v>0</v>
      </c>
      <c r="F434">
        <v>6</v>
      </c>
      <c r="G434" t="s">
        <v>310</v>
      </c>
      <c r="H434" t="s">
        <v>899</v>
      </c>
      <c r="I434" t="s">
        <v>393</v>
      </c>
      <c r="J434">
        <v>135310</v>
      </c>
      <c r="K434" t="s">
        <v>394</v>
      </c>
      <c r="L434">
        <v>2803.6597999999999</v>
      </c>
      <c r="M434">
        <v>48.261918225599267</v>
      </c>
      <c r="N434" t="s">
        <v>395</v>
      </c>
      <c r="O434">
        <v>0</v>
      </c>
    </row>
    <row r="435" spans="1:15" x14ac:dyDescent="0.25">
      <c r="A435" t="s">
        <v>871</v>
      </c>
      <c r="B435">
        <v>17</v>
      </c>
      <c r="C435" t="s">
        <v>853</v>
      </c>
      <c r="D435" s="609">
        <v>45134</v>
      </c>
      <c r="E435">
        <v>0</v>
      </c>
      <c r="F435">
        <v>6</v>
      </c>
      <c r="G435" t="s">
        <v>310</v>
      </c>
      <c r="H435" t="s">
        <v>900</v>
      </c>
      <c r="I435" t="s">
        <v>393</v>
      </c>
      <c r="J435">
        <v>135310</v>
      </c>
      <c r="K435" t="s">
        <v>394</v>
      </c>
      <c r="L435">
        <v>2803.6597999999999</v>
      </c>
      <c r="M435">
        <v>48.261918225599267</v>
      </c>
      <c r="N435" t="s">
        <v>395</v>
      </c>
      <c r="O435">
        <v>0</v>
      </c>
    </row>
    <row r="436" spans="1:15" x14ac:dyDescent="0.25">
      <c r="A436" t="s">
        <v>871</v>
      </c>
      <c r="B436">
        <v>17</v>
      </c>
      <c r="C436" t="s">
        <v>853</v>
      </c>
      <c r="D436" s="609">
        <v>45134</v>
      </c>
      <c r="E436">
        <v>0</v>
      </c>
      <c r="F436">
        <v>6</v>
      </c>
      <c r="G436" t="s">
        <v>310</v>
      </c>
      <c r="H436" t="s">
        <v>896</v>
      </c>
      <c r="I436" t="s">
        <v>393</v>
      </c>
      <c r="J436">
        <v>135310</v>
      </c>
      <c r="K436" t="s">
        <v>394</v>
      </c>
      <c r="L436">
        <v>2803.6597999999999</v>
      </c>
      <c r="M436">
        <v>48.261918225599267</v>
      </c>
      <c r="N436" t="s">
        <v>395</v>
      </c>
      <c r="O436">
        <v>0</v>
      </c>
    </row>
    <row r="437" spans="1:15" x14ac:dyDescent="0.25">
      <c r="A437" t="s">
        <v>871</v>
      </c>
      <c r="B437">
        <v>17</v>
      </c>
      <c r="C437" t="s">
        <v>853</v>
      </c>
      <c r="D437" s="609">
        <v>45134</v>
      </c>
      <c r="E437">
        <v>0</v>
      </c>
      <c r="F437">
        <v>6</v>
      </c>
      <c r="G437" t="s">
        <v>311</v>
      </c>
      <c r="H437" t="s">
        <v>901</v>
      </c>
      <c r="I437" t="s">
        <v>393</v>
      </c>
      <c r="J437">
        <v>45836</v>
      </c>
      <c r="K437" t="s">
        <v>394</v>
      </c>
      <c r="L437">
        <v>2803.6597999999999</v>
      </c>
      <c r="M437">
        <v>16.348631171299743</v>
      </c>
      <c r="N437" t="s">
        <v>395</v>
      </c>
      <c r="O437">
        <v>0</v>
      </c>
    </row>
    <row r="438" spans="1:15" x14ac:dyDescent="0.25">
      <c r="A438" t="s">
        <v>871</v>
      </c>
      <c r="B438">
        <v>17</v>
      </c>
      <c r="C438" t="s">
        <v>853</v>
      </c>
      <c r="D438" s="609">
        <v>45134</v>
      </c>
      <c r="E438">
        <v>0</v>
      </c>
      <c r="F438">
        <v>6</v>
      </c>
      <c r="G438" t="s">
        <v>311</v>
      </c>
      <c r="H438" t="s">
        <v>902</v>
      </c>
      <c r="I438" t="s">
        <v>393</v>
      </c>
      <c r="J438">
        <v>45836</v>
      </c>
      <c r="K438" t="s">
        <v>394</v>
      </c>
      <c r="L438">
        <v>2803.6597999999999</v>
      </c>
      <c r="M438">
        <v>16.348631171299743</v>
      </c>
      <c r="N438" t="s">
        <v>395</v>
      </c>
      <c r="O438">
        <v>0</v>
      </c>
    </row>
    <row r="439" spans="1:15" x14ac:dyDescent="0.25">
      <c r="A439" t="s">
        <v>871</v>
      </c>
      <c r="B439">
        <v>17</v>
      </c>
      <c r="C439" t="s">
        <v>853</v>
      </c>
      <c r="D439" s="609">
        <v>45134</v>
      </c>
      <c r="E439">
        <v>0</v>
      </c>
      <c r="F439">
        <v>6</v>
      </c>
      <c r="G439" t="s">
        <v>311</v>
      </c>
      <c r="H439" t="s">
        <v>903</v>
      </c>
      <c r="I439" t="s">
        <v>393</v>
      </c>
      <c r="J439">
        <v>45836</v>
      </c>
      <c r="K439" t="s">
        <v>394</v>
      </c>
      <c r="L439">
        <v>2803.6597999999999</v>
      </c>
      <c r="M439">
        <v>16.348631171299743</v>
      </c>
      <c r="N439" t="s">
        <v>395</v>
      </c>
      <c r="O439">
        <v>0</v>
      </c>
    </row>
    <row r="440" spans="1:15" x14ac:dyDescent="0.25">
      <c r="A440" t="s">
        <v>871</v>
      </c>
      <c r="B440">
        <v>17</v>
      </c>
      <c r="C440" t="s">
        <v>853</v>
      </c>
      <c r="D440" s="609">
        <v>45134</v>
      </c>
      <c r="E440">
        <v>0</v>
      </c>
      <c r="F440">
        <v>6</v>
      </c>
      <c r="G440" t="s">
        <v>311</v>
      </c>
      <c r="H440" t="s">
        <v>904</v>
      </c>
      <c r="I440" t="s">
        <v>393</v>
      </c>
      <c r="J440">
        <v>45836</v>
      </c>
      <c r="K440" t="s">
        <v>394</v>
      </c>
      <c r="L440">
        <v>2803.6597999999999</v>
      </c>
      <c r="M440">
        <v>16.348631171299743</v>
      </c>
      <c r="N440" t="s">
        <v>395</v>
      </c>
      <c r="O440">
        <v>0</v>
      </c>
    </row>
    <row r="441" spans="1:15" x14ac:dyDescent="0.25">
      <c r="A441" t="s">
        <v>871</v>
      </c>
      <c r="B441">
        <v>17</v>
      </c>
      <c r="C441" t="s">
        <v>853</v>
      </c>
      <c r="D441" s="609">
        <v>45134</v>
      </c>
      <c r="E441">
        <v>0</v>
      </c>
      <c r="F441">
        <v>6</v>
      </c>
      <c r="G441" t="s">
        <v>310</v>
      </c>
      <c r="H441" t="s">
        <v>905</v>
      </c>
      <c r="I441" t="s">
        <v>393</v>
      </c>
      <c r="J441">
        <v>45836</v>
      </c>
      <c r="K441" t="s">
        <v>394</v>
      </c>
      <c r="L441">
        <v>2803.6597999999999</v>
      </c>
      <c r="M441">
        <v>16.348631171299743</v>
      </c>
      <c r="N441" t="s">
        <v>395</v>
      </c>
      <c r="O441">
        <v>0</v>
      </c>
    </row>
    <row r="442" spans="1:15" x14ac:dyDescent="0.25">
      <c r="A442" t="s">
        <v>871</v>
      </c>
      <c r="B442">
        <v>17</v>
      </c>
      <c r="C442" t="s">
        <v>853</v>
      </c>
      <c r="D442" s="609">
        <v>45134</v>
      </c>
      <c r="E442">
        <v>0</v>
      </c>
      <c r="F442">
        <v>6</v>
      </c>
      <c r="G442" t="s">
        <v>310</v>
      </c>
      <c r="H442" t="s">
        <v>906</v>
      </c>
      <c r="I442" t="s">
        <v>393</v>
      </c>
      <c r="J442">
        <v>45836</v>
      </c>
      <c r="K442" t="s">
        <v>394</v>
      </c>
      <c r="L442">
        <v>2803.6597999999999</v>
      </c>
      <c r="M442">
        <v>16.348631171299743</v>
      </c>
      <c r="N442" t="s">
        <v>395</v>
      </c>
      <c r="O442">
        <v>0</v>
      </c>
    </row>
    <row r="443" spans="1:15" x14ac:dyDescent="0.25">
      <c r="A443" t="s">
        <v>907</v>
      </c>
      <c r="B443">
        <v>18</v>
      </c>
      <c r="C443" t="s">
        <v>853</v>
      </c>
      <c r="D443" s="609">
        <v>45138</v>
      </c>
      <c r="E443">
        <v>0</v>
      </c>
      <c r="F443">
        <v>6</v>
      </c>
      <c r="G443" t="s">
        <v>306</v>
      </c>
      <c r="H443" t="s">
        <v>908</v>
      </c>
      <c r="I443" t="s">
        <v>393</v>
      </c>
      <c r="J443">
        <v>1028.5999999999999</v>
      </c>
      <c r="K443" t="s">
        <v>394</v>
      </c>
      <c r="L443">
        <v>2803.6597999999999</v>
      </c>
      <c r="M443">
        <v>0.36687760761844213</v>
      </c>
      <c r="N443" t="s">
        <v>395</v>
      </c>
      <c r="O443">
        <v>0</v>
      </c>
    </row>
    <row r="444" spans="1:15" x14ac:dyDescent="0.25">
      <c r="A444" t="s">
        <v>907</v>
      </c>
      <c r="B444">
        <v>18</v>
      </c>
      <c r="C444" t="s">
        <v>853</v>
      </c>
      <c r="D444" s="609">
        <v>45138</v>
      </c>
      <c r="E444">
        <v>0</v>
      </c>
      <c r="F444">
        <v>6</v>
      </c>
      <c r="G444" t="s">
        <v>306</v>
      </c>
      <c r="H444" t="s">
        <v>909</v>
      </c>
      <c r="I444" t="s">
        <v>393</v>
      </c>
      <c r="J444">
        <v>1028.5999999999999</v>
      </c>
      <c r="K444" t="s">
        <v>394</v>
      </c>
      <c r="L444">
        <v>2803.6597999999999</v>
      </c>
      <c r="M444">
        <v>0.36687760761844213</v>
      </c>
      <c r="N444" t="s">
        <v>395</v>
      </c>
      <c r="O444">
        <v>0</v>
      </c>
    </row>
    <row r="445" spans="1:15" x14ac:dyDescent="0.25">
      <c r="A445" t="s">
        <v>907</v>
      </c>
      <c r="B445">
        <v>18</v>
      </c>
      <c r="C445" t="s">
        <v>853</v>
      </c>
      <c r="D445" s="609">
        <v>45138</v>
      </c>
      <c r="E445">
        <v>0</v>
      </c>
      <c r="F445">
        <v>6</v>
      </c>
      <c r="G445" t="s">
        <v>306</v>
      </c>
      <c r="H445" t="s">
        <v>910</v>
      </c>
      <c r="I445" t="s">
        <v>393</v>
      </c>
      <c r="J445">
        <v>1028.5999999999999</v>
      </c>
      <c r="K445" t="s">
        <v>394</v>
      </c>
      <c r="L445">
        <v>2803.6597999999999</v>
      </c>
      <c r="M445">
        <v>0.36687760761844213</v>
      </c>
      <c r="N445" t="s">
        <v>395</v>
      </c>
      <c r="O445">
        <v>0</v>
      </c>
    </row>
    <row r="446" spans="1:15" x14ac:dyDescent="0.25">
      <c r="A446" t="s">
        <v>907</v>
      </c>
      <c r="B446">
        <v>18</v>
      </c>
      <c r="C446" t="s">
        <v>853</v>
      </c>
      <c r="D446" s="609">
        <v>45138</v>
      </c>
      <c r="E446">
        <v>0</v>
      </c>
      <c r="F446">
        <v>6</v>
      </c>
      <c r="G446" t="s">
        <v>306</v>
      </c>
      <c r="H446" t="s">
        <v>911</v>
      </c>
      <c r="I446" t="s">
        <v>393</v>
      </c>
      <c r="J446">
        <v>1028.5999999999999</v>
      </c>
      <c r="K446" t="s">
        <v>394</v>
      </c>
      <c r="L446">
        <v>2803.6597999999999</v>
      </c>
      <c r="M446">
        <v>0.36687760761844213</v>
      </c>
      <c r="N446" t="s">
        <v>395</v>
      </c>
      <c r="O446">
        <v>0</v>
      </c>
    </row>
    <row r="447" spans="1:15" x14ac:dyDescent="0.25">
      <c r="A447" t="s">
        <v>907</v>
      </c>
      <c r="B447">
        <v>18</v>
      </c>
      <c r="C447" t="s">
        <v>853</v>
      </c>
      <c r="D447" s="609">
        <v>45138</v>
      </c>
      <c r="E447">
        <v>0</v>
      </c>
      <c r="F447">
        <v>6</v>
      </c>
      <c r="G447" t="s">
        <v>306</v>
      </c>
      <c r="H447" t="s">
        <v>912</v>
      </c>
      <c r="I447" t="s">
        <v>393</v>
      </c>
      <c r="J447">
        <v>1028.5999999999999</v>
      </c>
      <c r="K447" t="s">
        <v>394</v>
      </c>
      <c r="L447">
        <v>2803.6597999999999</v>
      </c>
      <c r="M447">
        <v>0.36687760761844213</v>
      </c>
      <c r="N447" t="s">
        <v>395</v>
      </c>
      <c r="O447">
        <v>0</v>
      </c>
    </row>
    <row r="448" spans="1:15" x14ac:dyDescent="0.25">
      <c r="A448" t="s">
        <v>907</v>
      </c>
      <c r="B448">
        <v>18</v>
      </c>
      <c r="C448" t="s">
        <v>853</v>
      </c>
      <c r="D448" s="609">
        <v>45138</v>
      </c>
      <c r="E448">
        <v>0</v>
      </c>
      <c r="F448">
        <v>6</v>
      </c>
      <c r="G448" t="s">
        <v>308</v>
      </c>
      <c r="H448" t="s">
        <v>913</v>
      </c>
      <c r="I448" t="s">
        <v>393</v>
      </c>
      <c r="J448">
        <v>685.8</v>
      </c>
      <c r="K448" t="s">
        <v>394</v>
      </c>
      <c r="L448">
        <v>2803.6597999999999</v>
      </c>
      <c r="M448">
        <v>0.24460885018931325</v>
      </c>
      <c r="N448" t="s">
        <v>395</v>
      </c>
      <c r="O448">
        <v>0</v>
      </c>
    </row>
    <row r="449" spans="1:15" x14ac:dyDescent="0.25">
      <c r="A449" t="s">
        <v>907</v>
      </c>
      <c r="B449">
        <v>18</v>
      </c>
      <c r="C449" t="s">
        <v>853</v>
      </c>
      <c r="D449" s="609">
        <v>45138</v>
      </c>
      <c r="E449">
        <v>0</v>
      </c>
      <c r="F449">
        <v>6</v>
      </c>
      <c r="G449" t="s">
        <v>308</v>
      </c>
      <c r="H449" t="s">
        <v>914</v>
      </c>
      <c r="I449" t="s">
        <v>393</v>
      </c>
      <c r="J449">
        <v>685.8</v>
      </c>
      <c r="K449" t="s">
        <v>394</v>
      </c>
      <c r="L449">
        <v>2803.6597999999999</v>
      </c>
      <c r="M449">
        <v>0.24460885018931325</v>
      </c>
      <c r="N449" t="s">
        <v>395</v>
      </c>
      <c r="O449">
        <v>0</v>
      </c>
    </row>
    <row r="450" spans="1:15" x14ac:dyDescent="0.25">
      <c r="A450" t="s">
        <v>907</v>
      </c>
      <c r="B450">
        <v>18</v>
      </c>
      <c r="C450" t="s">
        <v>853</v>
      </c>
      <c r="D450" s="609">
        <v>45138</v>
      </c>
      <c r="E450">
        <v>0</v>
      </c>
      <c r="F450">
        <v>6</v>
      </c>
      <c r="G450" t="s">
        <v>308</v>
      </c>
      <c r="H450" t="s">
        <v>915</v>
      </c>
      <c r="I450" t="s">
        <v>393</v>
      </c>
      <c r="J450">
        <v>685.8</v>
      </c>
      <c r="K450" t="s">
        <v>394</v>
      </c>
      <c r="L450">
        <v>2803.6597999999999</v>
      </c>
      <c r="M450">
        <v>0.24460885018931325</v>
      </c>
      <c r="N450" t="s">
        <v>395</v>
      </c>
      <c r="O450">
        <v>0</v>
      </c>
    </row>
    <row r="451" spans="1:15" x14ac:dyDescent="0.25">
      <c r="A451" t="s">
        <v>907</v>
      </c>
      <c r="B451">
        <v>18</v>
      </c>
      <c r="C451" t="s">
        <v>853</v>
      </c>
      <c r="D451" s="609">
        <v>45138</v>
      </c>
      <c r="E451">
        <v>0</v>
      </c>
      <c r="F451">
        <v>6</v>
      </c>
      <c r="G451" t="s">
        <v>308</v>
      </c>
      <c r="H451" t="s">
        <v>916</v>
      </c>
      <c r="I451" t="s">
        <v>393</v>
      </c>
      <c r="J451">
        <v>685.8</v>
      </c>
      <c r="K451" t="s">
        <v>394</v>
      </c>
      <c r="L451">
        <v>2803.6597999999999</v>
      </c>
      <c r="M451">
        <v>0.24460885018931325</v>
      </c>
      <c r="N451" t="s">
        <v>395</v>
      </c>
      <c r="O451">
        <v>0</v>
      </c>
    </row>
    <row r="452" spans="1:15" x14ac:dyDescent="0.25">
      <c r="A452" t="s">
        <v>907</v>
      </c>
      <c r="B452">
        <v>18</v>
      </c>
      <c r="C452" t="s">
        <v>853</v>
      </c>
      <c r="D452" s="609">
        <v>45138</v>
      </c>
      <c r="E452">
        <v>0</v>
      </c>
      <c r="F452">
        <v>6</v>
      </c>
      <c r="G452" t="s">
        <v>308</v>
      </c>
      <c r="H452" t="s">
        <v>917</v>
      </c>
      <c r="I452" t="s">
        <v>393</v>
      </c>
      <c r="J452">
        <v>685.8</v>
      </c>
      <c r="K452" t="s">
        <v>394</v>
      </c>
      <c r="L452">
        <v>2803.6597999999999</v>
      </c>
      <c r="M452">
        <v>0.24460885018931325</v>
      </c>
      <c r="N452" t="s">
        <v>395</v>
      </c>
      <c r="O452">
        <v>0</v>
      </c>
    </row>
    <row r="453" spans="1:15" x14ac:dyDescent="0.25">
      <c r="A453" t="s">
        <v>907</v>
      </c>
      <c r="B453">
        <v>18</v>
      </c>
      <c r="C453" t="s">
        <v>853</v>
      </c>
      <c r="D453" s="609">
        <v>45138</v>
      </c>
      <c r="E453">
        <v>0</v>
      </c>
      <c r="F453">
        <v>6</v>
      </c>
      <c r="G453" t="s">
        <v>309</v>
      </c>
      <c r="H453" t="s">
        <v>918</v>
      </c>
      <c r="I453" t="s">
        <v>393</v>
      </c>
      <c r="J453">
        <v>99985.8</v>
      </c>
      <c r="K453" t="s">
        <v>394</v>
      </c>
      <c r="L453">
        <v>2803.6597999999999</v>
      </c>
      <c r="M453">
        <v>35.66260071924561</v>
      </c>
      <c r="N453" t="s">
        <v>395</v>
      </c>
      <c r="O453">
        <v>0</v>
      </c>
    </row>
    <row r="454" spans="1:15" x14ac:dyDescent="0.25">
      <c r="A454" t="s">
        <v>907</v>
      </c>
      <c r="B454">
        <v>18</v>
      </c>
      <c r="C454" t="s">
        <v>853</v>
      </c>
      <c r="D454" s="609">
        <v>45138</v>
      </c>
      <c r="E454">
        <v>0</v>
      </c>
      <c r="F454">
        <v>6</v>
      </c>
      <c r="G454" t="s">
        <v>309</v>
      </c>
      <c r="H454" t="s">
        <v>919</v>
      </c>
      <c r="I454" t="s">
        <v>393</v>
      </c>
      <c r="J454">
        <v>99985.8</v>
      </c>
      <c r="K454" t="s">
        <v>394</v>
      </c>
      <c r="L454">
        <v>2803.6597999999999</v>
      </c>
      <c r="M454">
        <v>35.66260071924561</v>
      </c>
      <c r="N454" t="s">
        <v>395</v>
      </c>
      <c r="O454">
        <v>0</v>
      </c>
    </row>
    <row r="455" spans="1:15" x14ac:dyDescent="0.25">
      <c r="A455" t="s">
        <v>907</v>
      </c>
      <c r="B455">
        <v>18</v>
      </c>
      <c r="C455" t="s">
        <v>853</v>
      </c>
      <c r="D455" s="609">
        <v>45138</v>
      </c>
      <c r="E455">
        <v>0</v>
      </c>
      <c r="F455">
        <v>6</v>
      </c>
      <c r="G455" t="s">
        <v>309</v>
      </c>
      <c r="H455" t="s">
        <v>920</v>
      </c>
      <c r="I455" t="s">
        <v>393</v>
      </c>
      <c r="J455">
        <v>99985.8</v>
      </c>
      <c r="K455" t="s">
        <v>394</v>
      </c>
      <c r="L455">
        <v>2803.6597999999999</v>
      </c>
      <c r="M455">
        <v>35.66260071924561</v>
      </c>
      <c r="N455" t="s">
        <v>395</v>
      </c>
      <c r="O455">
        <v>0</v>
      </c>
    </row>
    <row r="456" spans="1:15" x14ac:dyDescent="0.25">
      <c r="A456" t="s">
        <v>907</v>
      </c>
      <c r="B456">
        <v>18</v>
      </c>
      <c r="C456" t="s">
        <v>853</v>
      </c>
      <c r="D456" s="609">
        <v>45138</v>
      </c>
      <c r="E456">
        <v>0</v>
      </c>
      <c r="F456">
        <v>6</v>
      </c>
      <c r="G456" t="s">
        <v>309</v>
      </c>
      <c r="H456" t="s">
        <v>921</v>
      </c>
      <c r="I456" t="s">
        <v>393</v>
      </c>
      <c r="J456">
        <v>99985.8</v>
      </c>
      <c r="K456" t="s">
        <v>394</v>
      </c>
      <c r="L456">
        <v>2803.6597999999999</v>
      </c>
      <c r="M456">
        <v>35.66260071924561</v>
      </c>
      <c r="N456" t="s">
        <v>395</v>
      </c>
      <c r="O456">
        <v>0</v>
      </c>
    </row>
    <row r="457" spans="1:15" x14ac:dyDescent="0.25">
      <c r="A457" t="s">
        <v>907</v>
      </c>
      <c r="B457">
        <v>18</v>
      </c>
      <c r="C457" t="s">
        <v>853</v>
      </c>
      <c r="D457" s="609">
        <v>45138</v>
      </c>
      <c r="E457">
        <v>0</v>
      </c>
      <c r="F457">
        <v>6</v>
      </c>
      <c r="G457" t="s">
        <v>309</v>
      </c>
      <c r="H457" t="s">
        <v>922</v>
      </c>
      <c r="I457" t="s">
        <v>393</v>
      </c>
      <c r="J457">
        <v>99985.8</v>
      </c>
      <c r="K457" t="s">
        <v>394</v>
      </c>
      <c r="L457">
        <v>2803.6597999999999</v>
      </c>
      <c r="M457">
        <v>35.66260071924561</v>
      </c>
      <c r="N457" t="s">
        <v>395</v>
      </c>
      <c r="O457">
        <v>0</v>
      </c>
    </row>
    <row r="458" spans="1:15" x14ac:dyDescent="0.25">
      <c r="A458" t="s">
        <v>907</v>
      </c>
      <c r="B458">
        <v>18</v>
      </c>
      <c r="C458" t="s">
        <v>853</v>
      </c>
      <c r="D458" s="609">
        <v>45138</v>
      </c>
      <c r="E458">
        <v>0</v>
      </c>
      <c r="F458">
        <v>6</v>
      </c>
      <c r="G458" t="s">
        <v>310</v>
      </c>
      <c r="H458" t="s">
        <v>923</v>
      </c>
      <c r="I458" t="s">
        <v>393</v>
      </c>
      <c r="J458">
        <v>12114</v>
      </c>
      <c r="K458" t="s">
        <v>394</v>
      </c>
      <c r="L458">
        <v>2803.6597999999999</v>
      </c>
      <c r="M458">
        <v>4.3207810020317021</v>
      </c>
      <c r="N458" t="s">
        <v>395</v>
      </c>
      <c r="O458">
        <v>0</v>
      </c>
    </row>
    <row r="459" spans="1:15" x14ac:dyDescent="0.25">
      <c r="A459" t="s">
        <v>907</v>
      </c>
      <c r="B459">
        <v>18</v>
      </c>
      <c r="C459" t="s">
        <v>853</v>
      </c>
      <c r="D459" s="609">
        <v>45138</v>
      </c>
      <c r="E459">
        <v>0</v>
      </c>
      <c r="F459">
        <v>6</v>
      </c>
      <c r="G459" t="s">
        <v>310</v>
      </c>
      <c r="H459" t="s">
        <v>924</v>
      </c>
      <c r="I459" t="s">
        <v>393</v>
      </c>
      <c r="J459">
        <v>12114</v>
      </c>
      <c r="K459" t="s">
        <v>394</v>
      </c>
      <c r="L459">
        <v>2803.6597999999999</v>
      </c>
      <c r="M459">
        <v>4.3207810020317021</v>
      </c>
      <c r="N459" t="s">
        <v>395</v>
      </c>
      <c r="O459">
        <v>0</v>
      </c>
    </row>
    <row r="460" spans="1:15" x14ac:dyDescent="0.25">
      <c r="A460" t="s">
        <v>907</v>
      </c>
      <c r="B460">
        <v>18</v>
      </c>
      <c r="C460" t="s">
        <v>853</v>
      </c>
      <c r="D460" s="609">
        <v>45138</v>
      </c>
      <c r="E460">
        <v>0</v>
      </c>
      <c r="F460">
        <v>6</v>
      </c>
      <c r="G460" t="s">
        <v>310</v>
      </c>
      <c r="H460" t="s">
        <v>925</v>
      </c>
      <c r="I460" t="s">
        <v>393</v>
      </c>
      <c r="J460">
        <v>12114</v>
      </c>
      <c r="K460" t="s">
        <v>394</v>
      </c>
      <c r="L460">
        <v>2803.6597999999999</v>
      </c>
      <c r="M460">
        <v>4.3207810020317021</v>
      </c>
      <c r="N460" t="s">
        <v>395</v>
      </c>
      <c r="O460">
        <v>0</v>
      </c>
    </row>
    <row r="461" spans="1:15" x14ac:dyDescent="0.25">
      <c r="A461" t="s">
        <v>907</v>
      </c>
      <c r="B461">
        <v>18</v>
      </c>
      <c r="C461" t="s">
        <v>853</v>
      </c>
      <c r="D461" s="609">
        <v>45138</v>
      </c>
      <c r="E461">
        <v>0</v>
      </c>
      <c r="F461">
        <v>6</v>
      </c>
      <c r="G461" t="s">
        <v>310</v>
      </c>
      <c r="H461" t="s">
        <v>926</v>
      </c>
      <c r="I461" t="s">
        <v>393</v>
      </c>
      <c r="J461">
        <v>12114</v>
      </c>
      <c r="K461" t="s">
        <v>394</v>
      </c>
      <c r="L461">
        <v>2803.6597999999999</v>
      </c>
      <c r="M461">
        <v>4.3207810020317021</v>
      </c>
      <c r="N461" t="s">
        <v>395</v>
      </c>
      <c r="O461">
        <v>0</v>
      </c>
    </row>
    <row r="462" spans="1:15" x14ac:dyDescent="0.25">
      <c r="A462" t="s">
        <v>907</v>
      </c>
      <c r="B462">
        <v>18</v>
      </c>
      <c r="C462" t="s">
        <v>853</v>
      </c>
      <c r="D462" s="609">
        <v>45138</v>
      </c>
      <c r="E462">
        <v>0</v>
      </c>
      <c r="F462">
        <v>6</v>
      </c>
      <c r="G462" t="s">
        <v>310</v>
      </c>
      <c r="H462" t="s">
        <v>927</v>
      </c>
      <c r="I462" t="s">
        <v>393</v>
      </c>
      <c r="J462">
        <v>12114</v>
      </c>
      <c r="K462" t="s">
        <v>394</v>
      </c>
      <c r="L462">
        <v>2803.6597999999999</v>
      </c>
      <c r="M462">
        <v>4.3207810020317021</v>
      </c>
      <c r="N462" t="s">
        <v>395</v>
      </c>
      <c r="O462">
        <v>0</v>
      </c>
    </row>
    <row r="463" spans="1:15" x14ac:dyDescent="0.25">
      <c r="A463" t="s">
        <v>928</v>
      </c>
      <c r="B463">
        <v>19</v>
      </c>
      <c r="C463" t="s">
        <v>853</v>
      </c>
      <c r="D463" s="609">
        <v>45138</v>
      </c>
      <c r="E463">
        <v>0</v>
      </c>
      <c r="F463">
        <v>6</v>
      </c>
      <c r="G463" t="s">
        <v>306</v>
      </c>
      <c r="H463" t="s">
        <v>929</v>
      </c>
      <c r="I463" t="s">
        <v>393</v>
      </c>
      <c r="J463">
        <v>13094</v>
      </c>
      <c r="K463" t="s">
        <v>394</v>
      </c>
      <c r="L463">
        <v>2803.6597999999999</v>
      </c>
      <c r="M463">
        <v>4.6703241242036571</v>
      </c>
      <c r="N463" t="s">
        <v>395</v>
      </c>
      <c r="O463">
        <v>0</v>
      </c>
    </row>
    <row r="464" spans="1:15" x14ac:dyDescent="0.25">
      <c r="A464" t="s">
        <v>928</v>
      </c>
      <c r="B464">
        <v>19</v>
      </c>
      <c r="C464" t="s">
        <v>853</v>
      </c>
      <c r="D464" s="609">
        <v>45138</v>
      </c>
      <c r="E464">
        <v>0</v>
      </c>
      <c r="F464">
        <v>6</v>
      </c>
      <c r="G464" t="s">
        <v>306</v>
      </c>
      <c r="H464" t="s">
        <v>930</v>
      </c>
      <c r="I464" t="s">
        <v>393</v>
      </c>
      <c r="J464">
        <v>13094</v>
      </c>
      <c r="K464" t="s">
        <v>394</v>
      </c>
      <c r="L464">
        <v>2803.6597999999999</v>
      </c>
      <c r="M464">
        <v>4.6703241242036571</v>
      </c>
      <c r="N464" t="s">
        <v>395</v>
      </c>
      <c r="O464">
        <v>0</v>
      </c>
    </row>
    <row r="465" spans="1:15" x14ac:dyDescent="0.25">
      <c r="A465" t="s">
        <v>928</v>
      </c>
      <c r="B465">
        <v>19</v>
      </c>
      <c r="C465" t="s">
        <v>853</v>
      </c>
      <c r="D465" s="609">
        <v>45138</v>
      </c>
      <c r="E465">
        <v>0</v>
      </c>
      <c r="F465">
        <v>6</v>
      </c>
      <c r="G465" t="s">
        <v>306</v>
      </c>
      <c r="H465" t="s">
        <v>931</v>
      </c>
      <c r="I465" t="s">
        <v>393</v>
      </c>
      <c r="J465">
        <v>13094</v>
      </c>
      <c r="K465" t="s">
        <v>394</v>
      </c>
      <c r="L465">
        <v>2803.6597999999999</v>
      </c>
      <c r="M465">
        <v>4.6703241242036571</v>
      </c>
      <c r="N465" t="s">
        <v>395</v>
      </c>
      <c r="O465">
        <v>0</v>
      </c>
    </row>
    <row r="466" spans="1:15" x14ac:dyDescent="0.25">
      <c r="A466" t="s">
        <v>928</v>
      </c>
      <c r="B466">
        <v>19</v>
      </c>
      <c r="C466" t="s">
        <v>853</v>
      </c>
      <c r="D466" s="609">
        <v>45138</v>
      </c>
      <c r="E466">
        <v>0</v>
      </c>
      <c r="F466">
        <v>6</v>
      </c>
      <c r="G466" t="s">
        <v>306</v>
      </c>
      <c r="H466" t="s">
        <v>932</v>
      </c>
      <c r="I466" t="s">
        <v>393</v>
      </c>
      <c r="J466">
        <v>13094</v>
      </c>
      <c r="K466" t="s">
        <v>394</v>
      </c>
      <c r="L466">
        <v>2803.6597999999999</v>
      </c>
      <c r="M466">
        <v>4.6703241242036571</v>
      </c>
      <c r="N466" t="s">
        <v>395</v>
      </c>
      <c r="O466">
        <v>0</v>
      </c>
    </row>
    <row r="467" spans="1:15" x14ac:dyDescent="0.25">
      <c r="A467" t="s">
        <v>928</v>
      </c>
      <c r="B467">
        <v>19</v>
      </c>
      <c r="C467" t="s">
        <v>853</v>
      </c>
      <c r="D467" s="609">
        <v>45138</v>
      </c>
      <c r="E467">
        <v>0</v>
      </c>
      <c r="F467">
        <v>6</v>
      </c>
      <c r="G467" t="s">
        <v>306</v>
      </c>
      <c r="H467" t="s">
        <v>933</v>
      </c>
      <c r="I467" t="s">
        <v>393</v>
      </c>
      <c r="J467">
        <v>13094</v>
      </c>
      <c r="K467" t="s">
        <v>394</v>
      </c>
      <c r="L467">
        <v>2803.6597999999999</v>
      </c>
      <c r="M467">
        <v>4.6703241242036571</v>
      </c>
      <c r="N467" t="s">
        <v>395</v>
      </c>
      <c r="O467">
        <v>0</v>
      </c>
    </row>
    <row r="468" spans="1:15" x14ac:dyDescent="0.25">
      <c r="A468" t="s">
        <v>928</v>
      </c>
      <c r="B468">
        <v>19</v>
      </c>
      <c r="C468" t="s">
        <v>853</v>
      </c>
      <c r="D468" s="609">
        <v>45138</v>
      </c>
      <c r="E468">
        <v>0</v>
      </c>
      <c r="F468">
        <v>6</v>
      </c>
      <c r="G468" t="s">
        <v>308</v>
      </c>
      <c r="H468" t="s">
        <v>934</v>
      </c>
      <c r="I468" t="s">
        <v>393</v>
      </c>
      <c r="J468">
        <v>13094.2</v>
      </c>
      <c r="K468" t="s">
        <v>394</v>
      </c>
      <c r="L468">
        <v>2803.6597999999999</v>
      </c>
      <c r="M468">
        <v>4.6703954595347126</v>
      </c>
      <c r="N468" t="s">
        <v>395</v>
      </c>
      <c r="O468">
        <v>0</v>
      </c>
    </row>
    <row r="469" spans="1:15" x14ac:dyDescent="0.25">
      <c r="A469" t="s">
        <v>928</v>
      </c>
      <c r="B469">
        <v>19</v>
      </c>
      <c r="C469" t="s">
        <v>853</v>
      </c>
      <c r="D469" s="609">
        <v>45138</v>
      </c>
      <c r="E469">
        <v>0</v>
      </c>
      <c r="F469">
        <v>6</v>
      </c>
      <c r="G469" t="s">
        <v>308</v>
      </c>
      <c r="H469" t="s">
        <v>935</v>
      </c>
      <c r="I469" t="s">
        <v>393</v>
      </c>
      <c r="J469">
        <v>13094.2</v>
      </c>
      <c r="K469" t="s">
        <v>394</v>
      </c>
      <c r="L469">
        <v>2803.6597999999999</v>
      </c>
      <c r="M469">
        <v>4.6703954595347126</v>
      </c>
      <c r="N469" t="s">
        <v>395</v>
      </c>
      <c r="O469">
        <v>0</v>
      </c>
    </row>
    <row r="470" spans="1:15" x14ac:dyDescent="0.25">
      <c r="A470" t="s">
        <v>928</v>
      </c>
      <c r="B470">
        <v>19</v>
      </c>
      <c r="C470" t="s">
        <v>853</v>
      </c>
      <c r="D470" s="609">
        <v>45138</v>
      </c>
      <c r="E470">
        <v>0</v>
      </c>
      <c r="F470">
        <v>6</v>
      </c>
      <c r="G470" t="s">
        <v>308</v>
      </c>
      <c r="H470" t="s">
        <v>936</v>
      </c>
      <c r="I470" t="s">
        <v>393</v>
      </c>
      <c r="J470">
        <v>13094.2</v>
      </c>
      <c r="K470" t="s">
        <v>394</v>
      </c>
      <c r="L470">
        <v>2803.6597999999999</v>
      </c>
      <c r="M470">
        <v>4.6703954595347126</v>
      </c>
      <c r="N470" t="s">
        <v>395</v>
      </c>
      <c r="O470">
        <v>0</v>
      </c>
    </row>
    <row r="471" spans="1:15" x14ac:dyDescent="0.25">
      <c r="A471" t="s">
        <v>928</v>
      </c>
      <c r="B471">
        <v>19</v>
      </c>
      <c r="C471" t="s">
        <v>853</v>
      </c>
      <c r="D471" s="609">
        <v>45138</v>
      </c>
      <c r="E471">
        <v>0</v>
      </c>
      <c r="F471">
        <v>6</v>
      </c>
      <c r="G471" t="s">
        <v>308</v>
      </c>
      <c r="H471" t="s">
        <v>937</v>
      </c>
      <c r="I471" t="s">
        <v>393</v>
      </c>
      <c r="J471">
        <v>13094.2</v>
      </c>
      <c r="K471" t="s">
        <v>394</v>
      </c>
      <c r="L471">
        <v>2803.6597999999999</v>
      </c>
      <c r="M471">
        <v>4.6703954595347126</v>
      </c>
      <c r="N471" t="s">
        <v>395</v>
      </c>
      <c r="O471">
        <v>0</v>
      </c>
    </row>
    <row r="472" spans="1:15" x14ac:dyDescent="0.25">
      <c r="A472" t="s">
        <v>928</v>
      </c>
      <c r="B472">
        <v>19</v>
      </c>
      <c r="C472" t="s">
        <v>853</v>
      </c>
      <c r="D472" s="609">
        <v>45138</v>
      </c>
      <c r="E472">
        <v>0</v>
      </c>
      <c r="F472">
        <v>6</v>
      </c>
      <c r="G472" t="s">
        <v>308</v>
      </c>
      <c r="H472" t="s">
        <v>938</v>
      </c>
      <c r="I472" t="s">
        <v>393</v>
      </c>
      <c r="J472">
        <v>13094.2</v>
      </c>
      <c r="K472" t="s">
        <v>394</v>
      </c>
      <c r="L472">
        <v>2803.6597999999999</v>
      </c>
      <c r="M472">
        <v>4.6703954595347126</v>
      </c>
      <c r="N472" t="s">
        <v>395</v>
      </c>
      <c r="O472">
        <v>0</v>
      </c>
    </row>
    <row r="473" spans="1:15" x14ac:dyDescent="0.25">
      <c r="A473" t="s">
        <v>928</v>
      </c>
      <c r="B473">
        <v>19</v>
      </c>
      <c r="C473" t="s">
        <v>853</v>
      </c>
      <c r="D473" s="609">
        <v>45138</v>
      </c>
      <c r="E473">
        <v>0</v>
      </c>
      <c r="F473">
        <v>6</v>
      </c>
      <c r="G473" t="s">
        <v>309</v>
      </c>
      <c r="H473" t="s">
        <v>939</v>
      </c>
      <c r="I473" t="s">
        <v>393</v>
      </c>
      <c r="J473">
        <v>62857</v>
      </c>
      <c r="K473" t="s">
        <v>394</v>
      </c>
      <c r="L473">
        <v>2803.6597999999999</v>
      </c>
      <c r="M473">
        <v>22.419624520778164</v>
      </c>
      <c r="N473" t="s">
        <v>395</v>
      </c>
      <c r="O473">
        <v>0</v>
      </c>
    </row>
    <row r="474" spans="1:15" x14ac:dyDescent="0.25">
      <c r="A474" t="s">
        <v>928</v>
      </c>
      <c r="B474">
        <v>19</v>
      </c>
      <c r="C474" t="s">
        <v>853</v>
      </c>
      <c r="D474" s="609">
        <v>45138</v>
      </c>
      <c r="E474">
        <v>0</v>
      </c>
      <c r="F474">
        <v>6</v>
      </c>
      <c r="G474" t="s">
        <v>309</v>
      </c>
      <c r="H474" t="s">
        <v>940</v>
      </c>
      <c r="I474" t="s">
        <v>393</v>
      </c>
      <c r="J474">
        <v>62857</v>
      </c>
      <c r="K474" t="s">
        <v>394</v>
      </c>
      <c r="L474">
        <v>2803.6597999999999</v>
      </c>
      <c r="M474">
        <v>22.419624520778164</v>
      </c>
      <c r="N474" t="s">
        <v>395</v>
      </c>
      <c r="O474">
        <v>0</v>
      </c>
    </row>
    <row r="475" spans="1:15" x14ac:dyDescent="0.25">
      <c r="A475" t="s">
        <v>928</v>
      </c>
      <c r="B475">
        <v>19</v>
      </c>
      <c r="C475" t="s">
        <v>853</v>
      </c>
      <c r="D475" s="609">
        <v>45138</v>
      </c>
      <c r="E475">
        <v>0</v>
      </c>
      <c r="F475">
        <v>6</v>
      </c>
      <c r="G475" t="s">
        <v>309</v>
      </c>
      <c r="H475" t="s">
        <v>941</v>
      </c>
      <c r="I475" t="s">
        <v>393</v>
      </c>
      <c r="J475">
        <v>62857</v>
      </c>
      <c r="K475" t="s">
        <v>394</v>
      </c>
      <c r="L475">
        <v>2803.6597999999999</v>
      </c>
      <c r="M475">
        <v>22.419624520778164</v>
      </c>
      <c r="N475" t="s">
        <v>395</v>
      </c>
      <c r="O475">
        <v>0</v>
      </c>
    </row>
    <row r="476" spans="1:15" x14ac:dyDescent="0.25">
      <c r="A476" t="s">
        <v>928</v>
      </c>
      <c r="B476">
        <v>19</v>
      </c>
      <c r="C476" t="s">
        <v>853</v>
      </c>
      <c r="D476" s="609">
        <v>45138</v>
      </c>
      <c r="E476">
        <v>0</v>
      </c>
      <c r="F476">
        <v>6</v>
      </c>
      <c r="G476" t="s">
        <v>309</v>
      </c>
      <c r="H476" t="s">
        <v>942</v>
      </c>
      <c r="I476" t="s">
        <v>393</v>
      </c>
      <c r="J476">
        <v>62857</v>
      </c>
      <c r="K476" t="s">
        <v>394</v>
      </c>
      <c r="L476">
        <v>2803.6597999999999</v>
      </c>
      <c r="M476">
        <v>22.419624520778164</v>
      </c>
      <c r="N476" t="s">
        <v>395</v>
      </c>
      <c r="O476">
        <v>0</v>
      </c>
    </row>
    <row r="477" spans="1:15" x14ac:dyDescent="0.25">
      <c r="A477" t="s">
        <v>928</v>
      </c>
      <c r="B477">
        <v>19</v>
      </c>
      <c r="C477" t="s">
        <v>853</v>
      </c>
      <c r="D477" s="609">
        <v>45138</v>
      </c>
      <c r="E477">
        <v>0</v>
      </c>
      <c r="F477">
        <v>6</v>
      </c>
      <c r="G477" t="s">
        <v>309</v>
      </c>
      <c r="H477" t="s">
        <v>943</v>
      </c>
      <c r="I477" t="s">
        <v>393</v>
      </c>
      <c r="J477">
        <v>62857</v>
      </c>
      <c r="K477" t="s">
        <v>394</v>
      </c>
      <c r="L477">
        <v>2803.6597999999999</v>
      </c>
      <c r="M477">
        <v>22.419624520778164</v>
      </c>
      <c r="N477" t="s">
        <v>395</v>
      </c>
      <c r="O477">
        <v>0</v>
      </c>
    </row>
    <row r="478" spans="1:15" x14ac:dyDescent="0.25">
      <c r="A478" t="s">
        <v>928</v>
      </c>
      <c r="B478">
        <v>19</v>
      </c>
      <c r="C478" t="s">
        <v>853</v>
      </c>
      <c r="D478" s="609">
        <v>45138</v>
      </c>
      <c r="E478">
        <v>0</v>
      </c>
      <c r="F478">
        <v>6</v>
      </c>
      <c r="G478" t="s">
        <v>310</v>
      </c>
      <c r="H478" t="s">
        <v>944</v>
      </c>
      <c r="I478" t="s">
        <v>393</v>
      </c>
      <c r="J478">
        <v>17460</v>
      </c>
      <c r="K478" t="s">
        <v>394</v>
      </c>
      <c r="L478">
        <v>2803.6597999999999</v>
      </c>
      <c r="M478">
        <v>6.2275744011452465</v>
      </c>
      <c r="N478" t="s">
        <v>395</v>
      </c>
      <c r="O478">
        <v>0</v>
      </c>
    </row>
    <row r="479" spans="1:15" x14ac:dyDescent="0.25">
      <c r="A479" t="s">
        <v>928</v>
      </c>
      <c r="B479">
        <v>19</v>
      </c>
      <c r="C479" t="s">
        <v>853</v>
      </c>
      <c r="D479" s="609">
        <v>45138</v>
      </c>
      <c r="E479">
        <v>0</v>
      </c>
      <c r="F479">
        <v>6</v>
      </c>
      <c r="G479" t="s">
        <v>310</v>
      </c>
      <c r="H479" t="s">
        <v>945</v>
      </c>
      <c r="I479" t="s">
        <v>393</v>
      </c>
      <c r="J479">
        <v>17460</v>
      </c>
      <c r="K479" t="s">
        <v>394</v>
      </c>
      <c r="L479">
        <v>2803.6597999999999</v>
      </c>
      <c r="M479">
        <v>6.2275744011452465</v>
      </c>
      <c r="N479" t="s">
        <v>395</v>
      </c>
      <c r="O479">
        <v>0</v>
      </c>
    </row>
    <row r="480" spans="1:15" x14ac:dyDescent="0.25">
      <c r="A480" t="s">
        <v>928</v>
      </c>
      <c r="B480">
        <v>19</v>
      </c>
      <c r="C480" t="s">
        <v>853</v>
      </c>
      <c r="D480" s="609">
        <v>45138</v>
      </c>
      <c r="E480">
        <v>0</v>
      </c>
      <c r="F480">
        <v>6</v>
      </c>
      <c r="G480" t="s">
        <v>310</v>
      </c>
      <c r="H480" t="s">
        <v>946</v>
      </c>
      <c r="I480" t="s">
        <v>393</v>
      </c>
      <c r="J480">
        <v>17460</v>
      </c>
      <c r="K480" t="s">
        <v>394</v>
      </c>
      <c r="L480">
        <v>2803.6597999999999</v>
      </c>
      <c r="M480">
        <v>6.2275744011452465</v>
      </c>
      <c r="N480" t="s">
        <v>395</v>
      </c>
      <c r="O480">
        <v>0</v>
      </c>
    </row>
    <row r="481" spans="1:15" x14ac:dyDescent="0.25">
      <c r="A481" t="s">
        <v>928</v>
      </c>
      <c r="B481">
        <v>19</v>
      </c>
      <c r="C481" t="s">
        <v>853</v>
      </c>
      <c r="D481" s="609">
        <v>45138</v>
      </c>
      <c r="E481">
        <v>0</v>
      </c>
      <c r="F481">
        <v>6</v>
      </c>
      <c r="G481" t="s">
        <v>310</v>
      </c>
      <c r="H481" t="s">
        <v>947</v>
      </c>
      <c r="I481" t="s">
        <v>393</v>
      </c>
      <c r="J481">
        <v>17460</v>
      </c>
      <c r="K481" t="s">
        <v>394</v>
      </c>
      <c r="L481">
        <v>2803.6597999999999</v>
      </c>
      <c r="M481">
        <v>6.2275744011452465</v>
      </c>
      <c r="N481" t="s">
        <v>395</v>
      </c>
      <c r="O481">
        <v>0</v>
      </c>
    </row>
    <row r="482" spans="1:15" x14ac:dyDescent="0.25">
      <c r="A482" t="s">
        <v>928</v>
      </c>
      <c r="B482">
        <v>19</v>
      </c>
      <c r="C482" t="s">
        <v>853</v>
      </c>
      <c r="D482" s="609">
        <v>45138</v>
      </c>
      <c r="E482">
        <v>0</v>
      </c>
      <c r="F482">
        <v>6</v>
      </c>
      <c r="G482" t="s">
        <v>310</v>
      </c>
      <c r="H482" t="s">
        <v>948</v>
      </c>
      <c r="I482" t="s">
        <v>393</v>
      </c>
      <c r="J482">
        <v>17460</v>
      </c>
      <c r="K482" t="s">
        <v>394</v>
      </c>
      <c r="L482">
        <v>2803.6597999999999</v>
      </c>
      <c r="M482">
        <v>6.2275744011452465</v>
      </c>
      <c r="N482" t="s">
        <v>395</v>
      </c>
      <c r="O482">
        <v>0</v>
      </c>
    </row>
    <row r="483" spans="1:15" x14ac:dyDescent="0.25">
      <c r="A483" t="s">
        <v>949</v>
      </c>
      <c r="B483">
        <v>20</v>
      </c>
      <c r="C483" t="s">
        <v>853</v>
      </c>
      <c r="D483" s="609">
        <v>45138</v>
      </c>
      <c r="E483">
        <v>0</v>
      </c>
      <c r="F483">
        <v>6</v>
      </c>
      <c r="G483" t="s">
        <v>306</v>
      </c>
      <c r="H483" t="s">
        <v>950</v>
      </c>
      <c r="I483" t="s">
        <v>393</v>
      </c>
      <c r="J483">
        <v>13094</v>
      </c>
      <c r="K483" t="s">
        <v>394</v>
      </c>
      <c r="L483">
        <v>2803.6597999999999</v>
      </c>
      <c r="M483">
        <v>4.6703241242036571</v>
      </c>
      <c r="N483" t="s">
        <v>395</v>
      </c>
      <c r="O483">
        <v>0</v>
      </c>
    </row>
    <row r="484" spans="1:15" x14ac:dyDescent="0.25">
      <c r="A484" t="s">
        <v>949</v>
      </c>
      <c r="B484">
        <v>20</v>
      </c>
      <c r="C484" t="s">
        <v>853</v>
      </c>
      <c r="D484" s="609">
        <v>45138</v>
      </c>
      <c r="E484">
        <v>0</v>
      </c>
      <c r="F484">
        <v>6</v>
      </c>
      <c r="G484" t="s">
        <v>308</v>
      </c>
      <c r="H484" t="s">
        <v>951</v>
      </c>
      <c r="I484" t="s">
        <v>393</v>
      </c>
      <c r="J484">
        <v>13094</v>
      </c>
      <c r="K484" t="s">
        <v>394</v>
      </c>
      <c r="L484">
        <v>2803.6597999999999</v>
      </c>
      <c r="M484">
        <v>4.6703241242036571</v>
      </c>
      <c r="N484" t="s">
        <v>395</v>
      </c>
      <c r="O484">
        <v>0</v>
      </c>
    </row>
    <row r="485" spans="1:15" x14ac:dyDescent="0.25">
      <c r="A485" t="s">
        <v>949</v>
      </c>
      <c r="B485">
        <v>20</v>
      </c>
      <c r="C485" t="s">
        <v>853</v>
      </c>
      <c r="D485" s="609">
        <v>45138</v>
      </c>
      <c r="E485">
        <v>0</v>
      </c>
      <c r="F485">
        <v>6</v>
      </c>
      <c r="G485" t="s">
        <v>309</v>
      </c>
      <c r="H485" t="s">
        <v>952</v>
      </c>
      <c r="I485" t="s">
        <v>393</v>
      </c>
      <c r="J485">
        <v>62857</v>
      </c>
      <c r="K485" t="s">
        <v>394</v>
      </c>
      <c r="L485">
        <v>2803.6597999999999</v>
      </c>
      <c r="M485">
        <v>22.419624520778164</v>
      </c>
      <c r="N485" t="s">
        <v>395</v>
      </c>
      <c r="O485">
        <v>0</v>
      </c>
    </row>
    <row r="486" spans="1:15" x14ac:dyDescent="0.25">
      <c r="A486" t="s">
        <v>949</v>
      </c>
      <c r="B486">
        <v>20</v>
      </c>
      <c r="C486" t="s">
        <v>853</v>
      </c>
      <c r="D486" s="609">
        <v>45138</v>
      </c>
      <c r="E486">
        <v>0</v>
      </c>
      <c r="F486">
        <v>6</v>
      </c>
      <c r="G486" t="s">
        <v>310</v>
      </c>
      <c r="H486" t="s">
        <v>953</v>
      </c>
      <c r="I486" t="s">
        <v>393</v>
      </c>
      <c r="J486">
        <v>17460</v>
      </c>
      <c r="K486" t="s">
        <v>394</v>
      </c>
      <c r="L486">
        <v>2803.6597999999999</v>
      </c>
      <c r="M486">
        <v>6.2275744011452465</v>
      </c>
      <c r="N486" t="s">
        <v>395</v>
      </c>
      <c r="O486">
        <v>0</v>
      </c>
    </row>
    <row r="487" spans="1:15" x14ac:dyDescent="0.25">
      <c r="A487" t="s">
        <v>954</v>
      </c>
      <c r="B487">
        <v>21</v>
      </c>
      <c r="C487" t="s">
        <v>955</v>
      </c>
      <c r="D487" s="609">
        <v>45164</v>
      </c>
      <c r="E487">
        <v>0</v>
      </c>
      <c r="F487">
        <v>6</v>
      </c>
      <c r="G487" t="s">
        <v>306</v>
      </c>
      <c r="H487" t="s">
        <v>956</v>
      </c>
      <c r="I487" t="s">
        <v>393</v>
      </c>
      <c r="J487">
        <v>382454</v>
      </c>
      <c r="K487" t="s">
        <v>394</v>
      </c>
      <c r="L487">
        <v>2803.6597999999999</v>
      </c>
      <c r="M487">
        <v>136.4124135175031</v>
      </c>
      <c r="N487" t="s">
        <v>395</v>
      </c>
      <c r="O487">
        <v>0</v>
      </c>
    </row>
    <row r="488" spans="1:15" x14ac:dyDescent="0.25">
      <c r="A488" t="s">
        <v>954</v>
      </c>
      <c r="B488">
        <v>21</v>
      </c>
      <c r="C488" t="s">
        <v>955</v>
      </c>
      <c r="D488" s="609">
        <v>45164</v>
      </c>
      <c r="E488">
        <v>0</v>
      </c>
      <c r="F488">
        <v>6</v>
      </c>
      <c r="G488" t="s">
        <v>307</v>
      </c>
      <c r="H488" t="s">
        <v>957</v>
      </c>
      <c r="I488" t="s">
        <v>393</v>
      </c>
      <c r="J488">
        <v>216919</v>
      </c>
      <c r="K488" t="s">
        <v>394</v>
      </c>
      <c r="L488">
        <v>2803.6597999999999</v>
      </c>
      <c r="M488">
        <v>77.369943386141216</v>
      </c>
      <c r="N488" t="s">
        <v>395</v>
      </c>
      <c r="O488">
        <v>0</v>
      </c>
    </row>
    <row r="489" spans="1:15" x14ac:dyDescent="0.25">
      <c r="A489" t="s">
        <v>954</v>
      </c>
      <c r="B489">
        <v>21</v>
      </c>
      <c r="C489" t="s">
        <v>955</v>
      </c>
      <c r="D489" s="609">
        <v>45164</v>
      </c>
      <c r="E489">
        <v>0</v>
      </c>
      <c r="F489">
        <v>6</v>
      </c>
      <c r="G489" t="s">
        <v>308</v>
      </c>
      <c r="H489" t="s">
        <v>958</v>
      </c>
      <c r="I489" t="s">
        <v>393</v>
      </c>
      <c r="J489">
        <v>382797</v>
      </c>
      <c r="K489" t="s">
        <v>394</v>
      </c>
      <c r="L489">
        <v>2803.6597999999999</v>
      </c>
      <c r="M489">
        <v>136.53475361026327</v>
      </c>
      <c r="N489" t="s">
        <v>395</v>
      </c>
      <c r="O489">
        <v>0</v>
      </c>
    </row>
    <row r="490" spans="1:15" x14ac:dyDescent="0.25">
      <c r="A490" t="s">
        <v>954</v>
      </c>
      <c r="B490">
        <v>21</v>
      </c>
      <c r="C490" t="s">
        <v>955</v>
      </c>
      <c r="D490" s="609">
        <v>45164</v>
      </c>
      <c r="E490">
        <v>0</v>
      </c>
      <c r="F490">
        <v>6</v>
      </c>
      <c r="G490" t="s">
        <v>309</v>
      </c>
      <c r="H490" t="s">
        <v>959</v>
      </c>
      <c r="I490" t="s">
        <v>393</v>
      </c>
      <c r="J490">
        <v>1288541</v>
      </c>
      <c r="K490" t="s">
        <v>394</v>
      </c>
      <c r="L490">
        <v>2803.6597999999999</v>
      </c>
      <c r="M490">
        <v>459.59249406793225</v>
      </c>
      <c r="N490" t="s">
        <v>395</v>
      </c>
      <c r="O490">
        <v>0</v>
      </c>
    </row>
    <row r="491" spans="1:15" x14ac:dyDescent="0.25">
      <c r="A491" t="s">
        <v>954</v>
      </c>
      <c r="B491">
        <v>21</v>
      </c>
      <c r="C491" t="s">
        <v>955</v>
      </c>
      <c r="D491" s="609">
        <v>45164</v>
      </c>
      <c r="E491">
        <v>0</v>
      </c>
      <c r="F491">
        <v>6</v>
      </c>
      <c r="G491" t="s">
        <v>310</v>
      </c>
      <c r="H491" t="s">
        <v>960</v>
      </c>
      <c r="I491" t="s">
        <v>393</v>
      </c>
      <c r="J491">
        <v>505196</v>
      </c>
      <c r="K491" t="s">
        <v>394</v>
      </c>
      <c r="L491">
        <v>2803.6597999999999</v>
      </c>
      <c r="M491">
        <v>180.19161953957467</v>
      </c>
      <c r="N491" t="s">
        <v>395</v>
      </c>
      <c r="O491">
        <v>0</v>
      </c>
    </row>
    <row r="492" spans="1:15" x14ac:dyDescent="0.25">
      <c r="A492" t="s">
        <v>954</v>
      </c>
      <c r="B492">
        <v>21</v>
      </c>
      <c r="C492" t="s">
        <v>955</v>
      </c>
      <c r="D492" s="609">
        <v>45164</v>
      </c>
      <c r="E492">
        <v>0</v>
      </c>
      <c r="F492">
        <v>6</v>
      </c>
      <c r="G492" t="s">
        <v>311</v>
      </c>
      <c r="H492" t="s">
        <v>961</v>
      </c>
      <c r="I492" t="s">
        <v>393</v>
      </c>
      <c r="J492">
        <v>147836</v>
      </c>
      <c r="K492" t="s">
        <v>394</v>
      </c>
      <c r="L492">
        <v>2803.6597999999999</v>
      </c>
      <c r="M492">
        <v>52.729650009605301</v>
      </c>
      <c r="N492" t="s">
        <v>395</v>
      </c>
      <c r="O492">
        <v>0</v>
      </c>
    </row>
    <row r="493" spans="1:15" x14ac:dyDescent="0.25">
      <c r="A493" t="s">
        <v>962</v>
      </c>
      <c r="B493">
        <v>21</v>
      </c>
      <c r="C493" t="s">
        <v>955</v>
      </c>
      <c r="D493" s="609">
        <v>45154</v>
      </c>
      <c r="E493">
        <v>0</v>
      </c>
      <c r="F493">
        <v>6</v>
      </c>
      <c r="G493" t="s">
        <v>306</v>
      </c>
      <c r="H493" t="s">
        <v>963</v>
      </c>
      <c r="I493" t="s">
        <v>393</v>
      </c>
      <c r="J493">
        <v>14123</v>
      </c>
      <c r="K493" t="s">
        <v>394</v>
      </c>
      <c r="L493">
        <v>2803.6597999999999</v>
      </c>
      <c r="M493">
        <v>5.0373444024842104</v>
      </c>
      <c r="N493" t="s">
        <v>395</v>
      </c>
      <c r="O493">
        <v>0</v>
      </c>
    </row>
    <row r="494" spans="1:15" x14ac:dyDescent="0.25">
      <c r="A494" t="s">
        <v>962</v>
      </c>
      <c r="B494">
        <v>21</v>
      </c>
      <c r="C494" t="s">
        <v>955</v>
      </c>
      <c r="D494" s="609">
        <v>45154</v>
      </c>
      <c r="E494">
        <v>0</v>
      </c>
      <c r="F494">
        <v>6</v>
      </c>
      <c r="G494" t="s">
        <v>308</v>
      </c>
      <c r="H494" t="s">
        <v>964</v>
      </c>
      <c r="I494" t="s">
        <v>393</v>
      </c>
      <c r="J494">
        <v>13780</v>
      </c>
      <c r="K494" t="s">
        <v>394</v>
      </c>
      <c r="L494">
        <v>2803.6597999999999</v>
      </c>
      <c r="M494">
        <v>4.9150043097240257</v>
      </c>
      <c r="N494" t="s">
        <v>395</v>
      </c>
      <c r="O494">
        <v>0</v>
      </c>
    </row>
    <row r="495" spans="1:15" x14ac:dyDescent="0.25">
      <c r="A495" t="s">
        <v>962</v>
      </c>
      <c r="B495">
        <v>21</v>
      </c>
      <c r="C495" t="s">
        <v>955</v>
      </c>
      <c r="D495" s="609">
        <v>45154</v>
      </c>
      <c r="E495">
        <v>0</v>
      </c>
      <c r="F495">
        <v>6</v>
      </c>
      <c r="G495" t="s">
        <v>309</v>
      </c>
      <c r="H495" t="s">
        <v>965</v>
      </c>
      <c r="I495" t="s">
        <v>393</v>
      </c>
      <c r="J495">
        <v>162843</v>
      </c>
      <c r="K495" t="s">
        <v>394</v>
      </c>
      <c r="L495">
        <v>2803.6597999999999</v>
      </c>
      <c r="M495">
        <v>58.082296575354832</v>
      </c>
      <c r="N495" t="s">
        <v>395</v>
      </c>
      <c r="O495">
        <v>0</v>
      </c>
    </row>
    <row r="496" spans="1:15" x14ac:dyDescent="0.25">
      <c r="A496" t="s">
        <v>962</v>
      </c>
      <c r="B496">
        <v>21</v>
      </c>
      <c r="C496" t="s">
        <v>955</v>
      </c>
      <c r="D496" s="609">
        <v>45154</v>
      </c>
      <c r="E496">
        <v>0</v>
      </c>
      <c r="F496">
        <v>6</v>
      </c>
      <c r="G496" t="s">
        <v>310</v>
      </c>
      <c r="H496" t="s">
        <v>966</v>
      </c>
      <c r="I496" t="s">
        <v>393</v>
      </c>
      <c r="J496">
        <v>29574</v>
      </c>
      <c r="K496" t="s">
        <v>394</v>
      </c>
      <c r="L496">
        <v>2803.6597999999999</v>
      </c>
      <c r="M496">
        <v>10.548355403176949</v>
      </c>
      <c r="N496" t="s">
        <v>395</v>
      </c>
      <c r="O496">
        <v>0</v>
      </c>
    </row>
    <row r="497" spans="1:15" x14ac:dyDescent="0.25">
      <c r="A497" t="s">
        <v>967</v>
      </c>
      <c r="B497">
        <v>25</v>
      </c>
      <c r="C497" t="s">
        <v>955</v>
      </c>
      <c r="D497" s="609">
        <v>45159</v>
      </c>
      <c r="E497">
        <v>0</v>
      </c>
      <c r="F497">
        <v>6</v>
      </c>
      <c r="G497" t="s">
        <v>331</v>
      </c>
      <c r="H497" t="s">
        <v>968</v>
      </c>
      <c r="I497" t="s">
        <v>393</v>
      </c>
      <c r="J497">
        <v>21311</v>
      </c>
      <c r="K497" t="s">
        <v>394</v>
      </c>
      <c r="L497">
        <v>2803.6597999999999</v>
      </c>
      <c r="M497">
        <v>7.60113620061892</v>
      </c>
      <c r="N497" t="s">
        <v>395</v>
      </c>
      <c r="O497">
        <v>0</v>
      </c>
    </row>
    <row r="498" spans="1:15" x14ac:dyDescent="0.25">
      <c r="A498" t="s">
        <v>969</v>
      </c>
      <c r="B498">
        <v>26</v>
      </c>
      <c r="C498" t="s">
        <v>970</v>
      </c>
      <c r="D498" s="609">
        <v>45181</v>
      </c>
      <c r="E498">
        <v>0</v>
      </c>
      <c r="F498">
        <v>6</v>
      </c>
      <c r="G498" t="s">
        <v>971</v>
      </c>
      <c r="H498" t="s">
        <v>972</v>
      </c>
      <c r="I498" t="s">
        <v>393</v>
      </c>
      <c r="J498">
        <v>330000</v>
      </c>
      <c r="K498" t="s">
        <v>394</v>
      </c>
      <c r="L498">
        <v>2803.6597999999999</v>
      </c>
      <c r="M498">
        <v>117.70329624157682</v>
      </c>
      <c r="N498" t="s">
        <v>395</v>
      </c>
      <c r="O498">
        <v>0</v>
      </c>
    </row>
    <row r="499" spans="1:15" x14ac:dyDescent="0.25">
      <c r="A499" t="s">
        <v>973</v>
      </c>
      <c r="B499">
        <v>27</v>
      </c>
      <c r="C499" t="s">
        <v>970</v>
      </c>
      <c r="D499" s="609">
        <v>45198</v>
      </c>
      <c r="E499">
        <v>0</v>
      </c>
      <c r="F499">
        <v>6</v>
      </c>
      <c r="G499" t="s">
        <v>331</v>
      </c>
      <c r="H499" t="s">
        <v>974</v>
      </c>
      <c r="I499" t="s">
        <v>393</v>
      </c>
      <c r="J499">
        <v>18337</v>
      </c>
      <c r="K499" t="s">
        <v>394</v>
      </c>
      <c r="L499">
        <v>2803.6597999999999</v>
      </c>
      <c r="M499">
        <v>6.5403798278236183</v>
      </c>
      <c r="N499" t="s">
        <v>395</v>
      </c>
      <c r="O499">
        <v>0</v>
      </c>
    </row>
    <row r="500" spans="1:15" x14ac:dyDescent="0.25">
      <c r="A500" t="s">
        <v>975</v>
      </c>
      <c r="B500">
        <v>28</v>
      </c>
      <c r="C500" t="s">
        <v>970</v>
      </c>
      <c r="D500" s="609">
        <v>45198</v>
      </c>
      <c r="E500">
        <v>0</v>
      </c>
      <c r="F500">
        <v>6</v>
      </c>
      <c r="G500" t="s">
        <v>306</v>
      </c>
      <c r="H500" t="s">
        <v>976</v>
      </c>
      <c r="I500" t="s">
        <v>393</v>
      </c>
      <c r="J500">
        <v>382454</v>
      </c>
      <c r="K500" t="s">
        <v>394</v>
      </c>
      <c r="L500">
        <v>2803.6597999999999</v>
      </c>
      <c r="M500">
        <v>136.4124135175031</v>
      </c>
      <c r="N500" t="s">
        <v>395</v>
      </c>
      <c r="O500">
        <v>0</v>
      </c>
    </row>
    <row r="501" spans="1:15" x14ac:dyDescent="0.25">
      <c r="A501" t="s">
        <v>975</v>
      </c>
      <c r="B501">
        <v>28</v>
      </c>
      <c r="C501" t="s">
        <v>970</v>
      </c>
      <c r="D501" s="609">
        <v>45198</v>
      </c>
      <c r="E501">
        <v>0</v>
      </c>
      <c r="F501">
        <v>6</v>
      </c>
      <c r="G501" t="s">
        <v>307</v>
      </c>
      <c r="H501" t="s">
        <v>977</v>
      </c>
      <c r="I501" t="s">
        <v>393</v>
      </c>
      <c r="J501">
        <v>216919</v>
      </c>
      <c r="K501" t="s">
        <v>394</v>
      </c>
      <c r="L501">
        <v>2803.6597999999999</v>
      </c>
      <c r="M501">
        <v>77.369943386141216</v>
      </c>
      <c r="N501" t="s">
        <v>395</v>
      </c>
      <c r="O501">
        <v>0</v>
      </c>
    </row>
    <row r="502" spans="1:15" x14ac:dyDescent="0.25">
      <c r="A502" t="s">
        <v>975</v>
      </c>
      <c r="B502">
        <v>28</v>
      </c>
      <c r="C502" t="s">
        <v>970</v>
      </c>
      <c r="D502" s="609">
        <v>45198</v>
      </c>
      <c r="E502">
        <v>0</v>
      </c>
      <c r="F502">
        <v>6</v>
      </c>
      <c r="G502" t="s">
        <v>308</v>
      </c>
      <c r="H502" t="s">
        <v>978</v>
      </c>
      <c r="I502" t="s">
        <v>393</v>
      </c>
      <c r="J502">
        <v>344893</v>
      </c>
      <c r="K502" t="s">
        <v>394</v>
      </c>
      <c r="L502">
        <v>2803.6597999999999</v>
      </c>
      <c r="M502">
        <v>123.01528166862471</v>
      </c>
      <c r="N502" t="s">
        <v>395</v>
      </c>
      <c r="O502">
        <v>0</v>
      </c>
    </row>
    <row r="503" spans="1:15" x14ac:dyDescent="0.25">
      <c r="A503" t="s">
        <v>975</v>
      </c>
      <c r="B503">
        <v>28</v>
      </c>
      <c r="C503" t="s">
        <v>970</v>
      </c>
      <c r="D503" s="609">
        <v>45198</v>
      </c>
      <c r="E503">
        <v>0</v>
      </c>
      <c r="F503">
        <v>6</v>
      </c>
      <c r="G503" t="s">
        <v>309</v>
      </c>
      <c r="H503" t="s">
        <v>979</v>
      </c>
      <c r="I503" t="s">
        <v>393</v>
      </c>
      <c r="J503">
        <v>1288541</v>
      </c>
      <c r="K503" t="s">
        <v>394</v>
      </c>
      <c r="L503">
        <v>2803.6597999999999</v>
      </c>
      <c r="M503">
        <v>459.59249406793225</v>
      </c>
      <c r="N503" t="s">
        <v>395</v>
      </c>
      <c r="O503">
        <v>0</v>
      </c>
    </row>
    <row r="504" spans="1:15" x14ac:dyDescent="0.25">
      <c r="A504" t="s">
        <v>975</v>
      </c>
      <c r="B504">
        <v>28</v>
      </c>
      <c r="C504" t="s">
        <v>970</v>
      </c>
      <c r="D504" s="609">
        <v>45198</v>
      </c>
      <c r="E504">
        <v>0</v>
      </c>
      <c r="F504">
        <v>6</v>
      </c>
      <c r="G504" t="s">
        <v>310</v>
      </c>
      <c r="H504" t="s">
        <v>980</v>
      </c>
      <c r="I504" t="s">
        <v>393</v>
      </c>
      <c r="J504">
        <v>454657</v>
      </c>
      <c r="K504" t="s">
        <v>394</v>
      </c>
      <c r="L504">
        <v>2803.6597999999999</v>
      </c>
      <c r="M504">
        <v>162.16553805850481</v>
      </c>
      <c r="N504" t="s">
        <v>395</v>
      </c>
      <c r="O504">
        <v>0</v>
      </c>
    </row>
    <row r="505" spans="1:15" x14ac:dyDescent="0.25">
      <c r="A505" t="s">
        <v>975</v>
      </c>
      <c r="B505">
        <v>28</v>
      </c>
      <c r="C505" t="s">
        <v>970</v>
      </c>
      <c r="D505" s="609">
        <v>45198</v>
      </c>
      <c r="E505">
        <v>0</v>
      </c>
      <c r="F505">
        <v>6</v>
      </c>
      <c r="G505" t="s">
        <v>311</v>
      </c>
      <c r="H505" t="s">
        <v>981</v>
      </c>
      <c r="I505" t="s">
        <v>393</v>
      </c>
      <c r="J505">
        <v>147836</v>
      </c>
      <c r="K505" t="s">
        <v>394</v>
      </c>
      <c r="L505">
        <v>2803.6597999999999</v>
      </c>
      <c r="M505">
        <v>52.729650009605301</v>
      </c>
      <c r="N505" t="s">
        <v>395</v>
      </c>
      <c r="O505">
        <v>0</v>
      </c>
    </row>
    <row r="506" spans="1:15" x14ac:dyDescent="0.25">
      <c r="A506" t="s">
        <v>982</v>
      </c>
      <c r="B506">
        <v>29</v>
      </c>
      <c r="C506" t="s">
        <v>970</v>
      </c>
      <c r="D506" t="s">
        <v>983</v>
      </c>
      <c r="E506">
        <v>0</v>
      </c>
      <c r="F506">
        <v>6</v>
      </c>
      <c r="G506" t="s">
        <v>306</v>
      </c>
      <c r="H506" t="s">
        <v>984</v>
      </c>
      <c r="I506" t="s">
        <v>393</v>
      </c>
      <c r="J506">
        <v>14123</v>
      </c>
      <c r="K506" t="s">
        <v>394</v>
      </c>
      <c r="L506">
        <v>2803.6597999999999</v>
      </c>
      <c r="M506">
        <v>5.0373444024842104</v>
      </c>
      <c r="N506" t="s">
        <v>395</v>
      </c>
      <c r="O506">
        <v>0</v>
      </c>
    </row>
    <row r="507" spans="1:15" x14ac:dyDescent="0.25">
      <c r="A507" t="s">
        <v>982</v>
      </c>
      <c r="B507">
        <v>29</v>
      </c>
      <c r="C507" t="s">
        <v>970</v>
      </c>
      <c r="D507" t="s">
        <v>983</v>
      </c>
      <c r="E507">
        <v>0</v>
      </c>
      <c r="F507">
        <v>6</v>
      </c>
      <c r="G507" t="s">
        <v>308</v>
      </c>
      <c r="H507" t="s">
        <v>985</v>
      </c>
      <c r="I507" t="s">
        <v>393</v>
      </c>
      <c r="J507">
        <v>13780</v>
      </c>
      <c r="K507" t="s">
        <v>394</v>
      </c>
      <c r="L507">
        <v>2803.6597999999999</v>
      </c>
      <c r="M507">
        <v>4.9150043097240257</v>
      </c>
      <c r="N507" t="s">
        <v>395</v>
      </c>
      <c r="O507">
        <v>0</v>
      </c>
    </row>
    <row r="508" spans="1:15" x14ac:dyDescent="0.25">
      <c r="A508" t="s">
        <v>982</v>
      </c>
      <c r="B508">
        <v>29</v>
      </c>
      <c r="C508" t="s">
        <v>970</v>
      </c>
      <c r="D508" t="s">
        <v>983</v>
      </c>
      <c r="E508">
        <v>0</v>
      </c>
      <c r="F508">
        <v>6</v>
      </c>
      <c r="G508" t="s">
        <v>309</v>
      </c>
      <c r="H508" t="s">
        <v>986</v>
      </c>
      <c r="I508" t="s">
        <v>393</v>
      </c>
      <c r="J508">
        <v>162843</v>
      </c>
      <c r="K508" t="s">
        <v>394</v>
      </c>
      <c r="L508">
        <v>2803.6597999999999</v>
      </c>
      <c r="M508">
        <v>58.082296575354832</v>
      </c>
      <c r="N508" t="s">
        <v>395</v>
      </c>
      <c r="O508">
        <v>0</v>
      </c>
    </row>
    <row r="509" spans="1:15" x14ac:dyDescent="0.25">
      <c r="A509" t="s">
        <v>982</v>
      </c>
      <c r="B509">
        <v>29</v>
      </c>
      <c r="C509" t="s">
        <v>970</v>
      </c>
      <c r="D509" t="s">
        <v>983</v>
      </c>
      <c r="E509">
        <v>0</v>
      </c>
      <c r="F509">
        <v>6</v>
      </c>
      <c r="G509" t="s">
        <v>310</v>
      </c>
      <c r="H509" t="s">
        <v>987</v>
      </c>
      <c r="I509" t="s">
        <v>393</v>
      </c>
      <c r="J509">
        <v>29574</v>
      </c>
      <c r="K509" t="s">
        <v>394</v>
      </c>
      <c r="L509">
        <v>2803.6597999999999</v>
      </c>
      <c r="M509">
        <v>10.548355403176949</v>
      </c>
      <c r="N509" t="s">
        <v>395</v>
      </c>
      <c r="O509">
        <v>0</v>
      </c>
    </row>
    <row r="510" spans="1:15" x14ac:dyDescent="0.25">
      <c r="A510" t="s">
        <v>988</v>
      </c>
      <c r="B510">
        <v>32</v>
      </c>
      <c r="C510" t="s">
        <v>970</v>
      </c>
      <c r="D510" t="s">
        <v>989</v>
      </c>
      <c r="E510">
        <v>0</v>
      </c>
      <c r="F510">
        <v>6</v>
      </c>
      <c r="G510" t="s">
        <v>306</v>
      </c>
      <c r="H510" t="s">
        <v>990</v>
      </c>
      <c r="I510" t="s">
        <v>476</v>
      </c>
      <c r="J510">
        <v>-134545.31818181821</v>
      </c>
      <c r="K510" t="s">
        <v>394</v>
      </c>
      <c r="L510">
        <v>2803.6597999999999</v>
      </c>
      <c r="M510">
        <v>-47.989174072338663</v>
      </c>
      <c r="N510" t="s">
        <v>395</v>
      </c>
      <c r="O510">
        <v>0</v>
      </c>
    </row>
    <row r="511" spans="1:15" x14ac:dyDescent="0.25">
      <c r="A511" t="s">
        <v>988</v>
      </c>
      <c r="B511">
        <v>32</v>
      </c>
      <c r="C511" t="s">
        <v>970</v>
      </c>
      <c r="D511" t="s">
        <v>989</v>
      </c>
      <c r="E511">
        <v>0</v>
      </c>
      <c r="F511">
        <v>6</v>
      </c>
      <c r="G511" t="s">
        <v>307</v>
      </c>
      <c r="H511" t="s">
        <v>991</v>
      </c>
      <c r="I511" t="s">
        <v>476</v>
      </c>
      <c r="J511">
        <v>-77272.590909090912</v>
      </c>
      <c r="K511" t="s">
        <v>394</v>
      </c>
      <c r="L511">
        <v>2803.6597999999999</v>
      </c>
      <c r="M511">
        <v>-27.561329270081526</v>
      </c>
      <c r="N511" t="s">
        <v>395</v>
      </c>
      <c r="O511">
        <v>0</v>
      </c>
    </row>
    <row r="512" spans="1:15" x14ac:dyDescent="0.25">
      <c r="A512" t="s">
        <v>988</v>
      </c>
      <c r="B512">
        <v>32</v>
      </c>
      <c r="C512" t="s">
        <v>970</v>
      </c>
      <c r="D512" t="s">
        <v>989</v>
      </c>
      <c r="E512">
        <v>0</v>
      </c>
      <c r="F512">
        <v>6</v>
      </c>
      <c r="G512" t="s">
        <v>308</v>
      </c>
      <c r="H512" t="s">
        <v>992</v>
      </c>
      <c r="I512" t="s">
        <v>476</v>
      </c>
      <c r="J512">
        <v>-136363.70454545456</v>
      </c>
      <c r="K512" t="s">
        <v>394</v>
      </c>
      <c r="L512">
        <v>2803.6597999999999</v>
      </c>
      <c r="M512">
        <v>-48.637750038522704</v>
      </c>
      <c r="N512" t="s">
        <v>395</v>
      </c>
      <c r="O512">
        <v>0</v>
      </c>
    </row>
    <row r="513" spans="1:15" x14ac:dyDescent="0.25">
      <c r="A513" t="s">
        <v>988</v>
      </c>
      <c r="B513">
        <v>32</v>
      </c>
      <c r="C513" t="s">
        <v>970</v>
      </c>
      <c r="D513" t="s">
        <v>989</v>
      </c>
      <c r="E513">
        <v>0</v>
      </c>
      <c r="F513">
        <v>6</v>
      </c>
      <c r="G513" t="s">
        <v>309</v>
      </c>
      <c r="H513" t="s">
        <v>993</v>
      </c>
      <c r="I513" t="s">
        <v>476</v>
      </c>
      <c r="J513">
        <v>-597500.125</v>
      </c>
      <c r="K513" t="s">
        <v>394</v>
      </c>
      <c r="L513">
        <v>2803.6597999999999</v>
      </c>
      <c r="M513">
        <v>-213.11434611289144</v>
      </c>
      <c r="N513" t="s">
        <v>395</v>
      </c>
      <c r="O513">
        <v>0</v>
      </c>
    </row>
    <row r="514" spans="1:15" x14ac:dyDescent="0.25">
      <c r="A514" t="s">
        <v>988</v>
      </c>
      <c r="B514">
        <v>32</v>
      </c>
      <c r="C514" t="s">
        <v>970</v>
      </c>
      <c r="D514" t="s">
        <v>989</v>
      </c>
      <c r="E514">
        <v>0</v>
      </c>
      <c r="F514">
        <v>6</v>
      </c>
      <c r="G514" t="s">
        <v>310</v>
      </c>
      <c r="H514" t="s">
        <v>994</v>
      </c>
      <c r="I514" t="s">
        <v>476</v>
      </c>
      <c r="J514">
        <v>-181818.11363636365</v>
      </c>
      <c r="K514" t="s">
        <v>394</v>
      </c>
      <c r="L514">
        <v>2803.6597999999999</v>
      </c>
      <c r="M514">
        <v>-64.850276640683603</v>
      </c>
      <c r="N514" t="s">
        <v>395</v>
      </c>
      <c r="O514">
        <v>0</v>
      </c>
    </row>
    <row r="515" spans="1:15" x14ac:dyDescent="0.25">
      <c r="A515" t="s">
        <v>988</v>
      </c>
      <c r="B515">
        <v>32</v>
      </c>
      <c r="C515" t="s">
        <v>970</v>
      </c>
      <c r="D515" t="s">
        <v>989</v>
      </c>
      <c r="E515">
        <v>0</v>
      </c>
      <c r="F515">
        <v>6</v>
      </c>
      <c r="G515" t="s">
        <v>311</v>
      </c>
      <c r="H515" t="s">
        <v>995</v>
      </c>
      <c r="I515" t="s">
        <v>476</v>
      </c>
      <c r="J515">
        <v>-54545.511363636368</v>
      </c>
      <c r="K515" t="s">
        <v>394</v>
      </c>
      <c r="L515">
        <v>2803.6597999999999</v>
      </c>
      <c r="M515">
        <v>-19.455110553582987</v>
      </c>
      <c r="N515" t="s">
        <v>395</v>
      </c>
      <c r="O515">
        <v>0</v>
      </c>
    </row>
    <row r="516" spans="1:15" x14ac:dyDescent="0.25">
      <c r="A516" t="s">
        <v>706</v>
      </c>
      <c r="B516">
        <v>18</v>
      </c>
      <c r="C516" s="609">
        <v>45111</v>
      </c>
      <c r="D516" s="609">
        <v>45111</v>
      </c>
      <c r="E516">
        <v>0</v>
      </c>
      <c r="F516">
        <v>6</v>
      </c>
      <c r="G516" t="s">
        <v>321</v>
      </c>
      <c r="H516" t="s">
        <v>1059</v>
      </c>
      <c r="I516" t="s">
        <v>476</v>
      </c>
      <c r="J516">
        <v>-8000</v>
      </c>
      <c r="K516" t="s">
        <v>394</v>
      </c>
      <c r="L516">
        <v>2801.6</v>
      </c>
      <c r="M516">
        <v>-2.8555111364934325</v>
      </c>
      <c r="N516" t="s">
        <v>395</v>
      </c>
      <c r="O516">
        <v>0</v>
      </c>
    </row>
    <row r="517" spans="1:15" x14ac:dyDescent="0.25">
      <c r="A517" t="s">
        <v>706</v>
      </c>
      <c r="B517">
        <v>19</v>
      </c>
      <c r="C517" s="609">
        <v>45111</v>
      </c>
      <c r="D517" s="609">
        <v>45111</v>
      </c>
      <c r="E517">
        <v>0</v>
      </c>
      <c r="F517">
        <v>6</v>
      </c>
      <c r="G517" t="s">
        <v>321</v>
      </c>
      <c r="H517" t="s">
        <v>707</v>
      </c>
      <c r="I517" t="s">
        <v>393</v>
      </c>
      <c r="J517">
        <v>80000</v>
      </c>
      <c r="K517" t="s">
        <v>394</v>
      </c>
      <c r="L517">
        <v>2801.6</v>
      </c>
      <c r="M517">
        <v>28.555111364934323</v>
      </c>
      <c r="N517" t="s">
        <v>395</v>
      </c>
      <c r="O517">
        <v>0</v>
      </c>
    </row>
    <row r="518" spans="1:15" x14ac:dyDescent="0.25">
      <c r="A518" t="s">
        <v>638</v>
      </c>
      <c r="B518">
        <v>20</v>
      </c>
      <c r="C518" s="609">
        <v>45111</v>
      </c>
      <c r="D518" s="609">
        <v>45111</v>
      </c>
      <c r="E518">
        <v>0</v>
      </c>
      <c r="F518">
        <v>6</v>
      </c>
      <c r="G518" t="s">
        <v>321</v>
      </c>
      <c r="H518" t="s">
        <v>1060</v>
      </c>
      <c r="I518" t="s">
        <v>476</v>
      </c>
      <c r="J518">
        <v>-40000</v>
      </c>
      <c r="K518" t="s">
        <v>394</v>
      </c>
      <c r="L518">
        <v>2801.6</v>
      </c>
      <c r="M518">
        <v>-14.277555682467161</v>
      </c>
      <c r="N518" t="s">
        <v>395</v>
      </c>
      <c r="O518">
        <v>0</v>
      </c>
    </row>
    <row r="519" spans="1:15" x14ac:dyDescent="0.25">
      <c r="A519" t="s">
        <v>638</v>
      </c>
      <c r="B519">
        <v>21</v>
      </c>
      <c r="C519" s="609">
        <v>45111</v>
      </c>
      <c r="D519" s="609">
        <v>45111</v>
      </c>
      <c r="E519">
        <v>0</v>
      </c>
      <c r="F519">
        <v>6</v>
      </c>
      <c r="G519" t="s">
        <v>321</v>
      </c>
      <c r="H519" t="s">
        <v>1061</v>
      </c>
      <c r="I519" t="s">
        <v>393</v>
      </c>
      <c r="J519">
        <v>400000</v>
      </c>
      <c r="K519" t="s">
        <v>394</v>
      </c>
      <c r="L519">
        <v>2801.6</v>
      </c>
      <c r="M519">
        <v>142.77555682467161</v>
      </c>
      <c r="N519" t="s">
        <v>395</v>
      </c>
      <c r="O519">
        <v>0</v>
      </c>
    </row>
    <row r="520" spans="1:15" x14ac:dyDescent="0.25">
      <c r="A520" t="s">
        <v>1062</v>
      </c>
      <c r="B520">
        <v>24</v>
      </c>
      <c r="C520" t="s">
        <v>1063</v>
      </c>
      <c r="D520" t="s">
        <v>1064</v>
      </c>
      <c r="E520">
        <v>421</v>
      </c>
      <c r="F520">
        <v>6</v>
      </c>
      <c r="G520" t="s">
        <v>301</v>
      </c>
      <c r="H520" t="s">
        <v>1065</v>
      </c>
      <c r="I520" t="s">
        <v>393</v>
      </c>
      <c r="J520">
        <v>1265383</v>
      </c>
      <c r="K520" t="s">
        <v>394</v>
      </c>
      <c r="L520">
        <v>2801.6</v>
      </c>
      <c r="M520">
        <v>451.66440605368365</v>
      </c>
      <c r="N520" t="s">
        <v>395</v>
      </c>
      <c r="O520">
        <v>0</v>
      </c>
    </row>
    <row r="521" spans="1:15" x14ac:dyDescent="0.25">
      <c r="A521" t="s">
        <v>1062</v>
      </c>
      <c r="B521">
        <v>24</v>
      </c>
      <c r="C521" t="s">
        <v>1063</v>
      </c>
      <c r="D521" t="s">
        <v>1064</v>
      </c>
      <c r="E521">
        <v>421</v>
      </c>
      <c r="F521">
        <v>6</v>
      </c>
      <c r="G521" t="s">
        <v>323</v>
      </c>
      <c r="H521" t="s">
        <v>1066</v>
      </c>
      <c r="I521" t="s">
        <v>393</v>
      </c>
      <c r="J521">
        <v>133677</v>
      </c>
      <c r="K521" t="s">
        <v>394</v>
      </c>
      <c r="L521">
        <v>2801.6</v>
      </c>
      <c r="M521">
        <v>47.714520274129072</v>
      </c>
      <c r="N521" t="s">
        <v>395</v>
      </c>
      <c r="O521">
        <v>0</v>
      </c>
    </row>
    <row r="522" spans="1:15" x14ac:dyDescent="0.25">
      <c r="A522" t="s">
        <v>1062</v>
      </c>
      <c r="B522">
        <v>24</v>
      </c>
      <c r="C522" t="s">
        <v>1063</v>
      </c>
      <c r="D522" t="s">
        <v>1064</v>
      </c>
      <c r="E522">
        <v>421</v>
      </c>
      <c r="F522">
        <v>6</v>
      </c>
      <c r="G522" t="s">
        <v>300</v>
      </c>
      <c r="H522" t="s">
        <v>1067</v>
      </c>
      <c r="I522" t="s">
        <v>393</v>
      </c>
      <c r="J522">
        <v>295714</v>
      </c>
      <c r="K522" t="s">
        <v>394</v>
      </c>
      <c r="L522">
        <v>2801.6</v>
      </c>
      <c r="M522">
        <v>105.55182752712736</v>
      </c>
      <c r="N522" t="s">
        <v>395</v>
      </c>
      <c r="O522">
        <v>0</v>
      </c>
    </row>
    <row r="523" spans="1:15" x14ac:dyDescent="0.25">
      <c r="A523" t="s">
        <v>1062</v>
      </c>
      <c r="B523">
        <v>24</v>
      </c>
      <c r="C523" t="s">
        <v>1063</v>
      </c>
      <c r="D523" t="s">
        <v>1064</v>
      </c>
      <c r="E523">
        <v>421</v>
      </c>
      <c r="F523">
        <v>6</v>
      </c>
      <c r="G523" t="s">
        <v>305</v>
      </c>
      <c r="H523" t="s">
        <v>1068</v>
      </c>
      <c r="I523" t="s">
        <v>393</v>
      </c>
      <c r="J523">
        <v>26424</v>
      </c>
      <c r="K523" t="s">
        <v>394</v>
      </c>
      <c r="L523">
        <v>2801.6</v>
      </c>
      <c r="M523">
        <v>9.4317532838378071</v>
      </c>
      <c r="N523" t="s">
        <v>395</v>
      </c>
      <c r="O523">
        <v>0</v>
      </c>
    </row>
    <row r="524" spans="1:15" x14ac:dyDescent="0.25">
      <c r="A524" t="s">
        <v>1062</v>
      </c>
      <c r="B524">
        <v>24</v>
      </c>
      <c r="C524" t="s">
        <v>1063</v>
      </c>
      <c r="D524" t="s">
        <v>1064</v>
      </c>
      <c r="E524">
        <v>421</v>
      </c>
      <c r="F524">
        <v>6</v>
      </c>
      <c r="G524" t="s">
        <v>304</v>
      </c>
      <c r="H524" t="s">
        <v>1069</v>
      </c>
      <c r="I524" t="s">
        <v>393</v>
      </c>
      <c r="J524">
        <v>124619</v>
      </c>
      <c r="K524" t="s">
        <v>394</v>
      </c>
      <c r="L524">
        <v>2801.6</v>
      </c>
      <c r="M524">
        <v>44.48136778983438</v>
      </c>
      <c r="N524" t="s">
        <v>395</v>
      </c>
      <c r="O524">
        <v>0</v>
      </c>
    </row>
    <row r="525" spans="1:15" x14ac:dyDescent="0.25">
      <c r="A525" t="s">
        <v>1062</v>
      </c>
      <c r="B525">
        <v>24</v>
      </c>
      <c r="C525" t="s">
        <v>1063</v>
      </c>
      <c r="D525" t="s">
        <v>1064</v>
      </c>
      <c r="E525">
        <v>421</v>
      </c>
      <c r="F525">
        <v>6</v>
      </c>
      <c r="G525" t="s">
        <v>303</v>
      </c>
      <c r="H525" t="s">
        <v>1070</v>
      </c>
      <c r="I525" t="s">
        <v>393</v>
      </c>
      <c r="J525">
        <v>70816</v>
      </c>
      <c r="K525" t="s">
        <v>394</v>
      </c>
      <c r="L525">
        <v>2801.6</v>
      </c>
      <c r="M525">
        <v>25.276984580239862</v>
      </c>
      <c r="N525" t="s">
        <v>395</v>
      </c>
      <c r="O525">
        <v>0</v>
      </c>
    </row>
    <row r="526" spans="1:15" x14ac:dyDescent="0.25">
      <c r="A526" t="s">
        <v>1062</v>
      </c>
      <c r="B526">
        <v>24</v>
      </c>
      <c r="C526" t="s">
        <v>1063</v>
      </c>
      <c r="D526" t="s">
        <v>1064</v>
      </c>
      <c r="E526">
        <v>421</v>
      </c>
      <c r="F526">
        <v>6</v>
      </c>
      <c r="G526" t="s">
        <v>302</v>
      </c>
      <c r="H526" t="s">
        <v>1071</v>
      </c>
      <c r="I526" t="s">
        <v>393</v>
      </c>
      <c r="J526">
        <v>295714</v>
      </c>
      <c r="K526" t="s">
        <v>394</v>
      </c>
      <c r="L526">
        <v>2801.6</v>
      </c>
      <c r="M526">
        <v>105.55182752712736</v>
      </c>
      <c r="N526" t="s">
        <v>395</v>
      </c>
      <c r="O526">
        <v>0</v>
      </c>
    </row>
    <row r="527" spans="1:15" x14ac:dyDescent="0.25">
      <c r="A527" t="s">
        <v>1072</v>
      </c>
      <c r="B527">
        <v>25</v>
      </c>
      <c r="C527" t="s">
        <v>1063</v>
      </c>
      <c r="D527" t="s">
        <v>1073</v>
      </c>
      <c r="E527">
        <v>6176</v>
      </c>
      <c r="F527">
        <v>6</v>
      </c>
      <c r="G527" t="s">
        <v>325</v>
      </c>
      <c r="H527" t="s">
        <v>326</v>
      </c>
      <c r="I527" t="s">
        <v>393</v>
      </c>
      <c r="J527">
        <v>97000</v>
      </c>
      <c r="K527" t="s">
        <v>394</v>
      </c>
      <c r="L527">
        <v>2801.6</v>
      </c>
      <c r="M527">
        <v>34.623072529982871</v>
      </c>
      <c r="N527" t="s">
        <v>395</v>
      </c>
      <c r="O527">
        <v>0</v>
      </c>
    </row>
    <row r="528" spans="1:15" x14ac:dyDescent="0.25">
      <c r="A528" t="s">
        <v>1074</v>
      </c>
      <c r="B528">
        <v>26</v>
      </c>
      <c r="C528" t="s">
        <v>1063</v>
      </c>
      <c r="D528" t="s">
        <v>1073</v>
      </c>
      <c r="E528">
        <v>6324</v>
      </c>
      <c r="F528">
        <v>6</v>
      </c>
      <c r="G528" t="s">
        <v>1075</v>
      </c>
      <c r="H528" t="s">
        <v>1076</v>
      </c>
      <c r="I528" t="s">
        <v>393</v>
      </c>
      <c r="J528">
        <v>370000</v>
      </c>
      <c r="K528" t="s">
        <v>394</v>
      </c>
      <c r="L528">
        <v>2801.6</v>
      </c>
      <c r="M528">
        <v>132.06739006282126</v>
      </c>
      <c r="N528" t="s">
        <v>395</v>
      </c>
      <c r="O528">
        <v>0</v>
      </c>
    </row>
    <row r="529" spans="1:15" x14ac:dyDescent="0.25">
      <c r="A529" t="s">
        <v>1077</v>
      </c>
      <c r="B529">
        <v>33</v>
      </c>
      <c r="C529" t="s">
        <v>1063</v>
      </c>
      <c r="D529" t="s">
        <v>1078</v>
      </c>
      <c r="E529">
        <v>6324</v>
      </c>
      <c r="F529">
        <v>6</v>
      </c>
      <c r="G529" t="s">
        <v>301</v>
      </c>
      <c r="H529" t="s">
        <v>1079</v>
      </c>
      <c r="I529" t="s">
        <v>393</v>
      </c>
      <c r="J529">
        <v>134012</v>
      </c>
      <c r="K529" t="s">
        <v>394</v>
      </c>
      <c r="L529">
        <v>2801.6</v>
      </c>
      <c r="M529">
        <v>47.83409480296973</v>
      </c>
      <c r="N529" t="s">
        <v>395</v>
      </c>
      <c r="O529">
        <v>0</v>
      </c>
    </row>
    <row r="530" spans="1:15" x14ac:dyDescent="0.25">
      <c r="A530" t="s">
        <v>1077</v>
      </c>
      <c r="B530">
        <v>33</v>
      </c>
      <c r="C530" t="s">
        <v>1063</v>
      </c>
      <c r="D530" t="s">
        <v>1078</v>
      </c>
      <c r="E530">
        <v>6324</v>
      </c>
      <c r="F530">
        <v>6</v>
      </c>
      <c r="G530" t="s">
        <v>300</v>
      </c>
      <c r="H530" t="s">
        <v>1080</v>
      </c>
      <c r="I530" t="s">
        <v>393</v>
      </c>
      <c r="J530">
        <v>4286</v>
      </c>
      <c r="K530" t="s">
        <v>394</v>
      </c>
      <c r="L530">
        <v>2801.6</v>
      </c>
      <c r="M530">
        <v>1.5298400913763563</v>
      </c>
      <c r="N530" t="s">
        <v>395</v>
      </c>
      <c r="O530">
        <v>0</v>
      </c>
    </row>
    <row r="531" spans="1:15" x14ac:dyDescent="0.25">
      <c r="A531" t="s">
        <v>1077</v>
      </c>
      <c r="B531">
        <v>33</v>
      </c>
      <c r="C531" t="s">
        <v>1063</v>
      </c>
      <c r="D531" t="s">
        <v>1078</v>
      </c>
      <c r="E531">
        <v>6324</v>
      </c>
      <c r="F531">
        <v>6</v>
      </c>
      <c r="G531" t="s">
        <v>302</v>
      </c>
      <c r="H531" t="s">
        <v>1081</v>
      </c>
      <c r="I531" t="s">
        <v>393</v>
      </c>
      <c r="J531">
        <v>4286</v>
      </c>
      <c r="K531" t="s">
        <v>394</v>
      </c>
      <c r="L531">
        <v>2801.6</v>
      </c>
      <c r="M531">
        <v>1.5298400913763563</v>
      </c>
      <c r="N531" t="s">
        <v>395</v>
      </c>
      <c r="O531">
        <v>0</v>
      </c>
    </row>
    <row r="532" spans="1:15" x14ac:dyDescent="0.25">
      <c r="A532" t="s">
        <v>1077</v>
      </c>
      <c r="B532">
        <v>33</v>
      </c>
      <c r="C532" t="s">
        <v>1063</v>
      </c>
      <c r="D532" t="s">
        <v>1078</v>
      </c>
      <c r="E532">
        <v>6324</v>
      </c>
      <c r="F532">
        <v>6</v>
      </c>
      <c r="G532" t="s">
        <v>301</v>
      </c>
      <c r="H532" t="s">
        <v>1082</v>
      </c>
      <c r="I532" t="s">
        <v>393</v>
      </c>
      <c r="J532">
        <v>134012</v>
      </c>
      <c r="K532" t="s">
        <v>394</v>
      </c>
      <c r="L532">
        <v>2801.6</v>
      </c>
      <c r="M532">
        <v>47.83409480296973</v>
      </c>
      <c r="N532" t="s">
        <v>395</v>
      </c>
      <c r="O532">
        <v>0</v>
      </c>
    </row>
    <row r="533" spans="1:15" x14ac:dyDescent="0.25">
      <c r="A533" t="s">
        <v>1077</v>
      </c>
      <c r="B533">
        <v>33</v>
      </c>
      <c r="C533" t="s">
        <v>1063</v>
      </c>
      <c r="D533" t="s">
        <v>1078</v>
      </c>
      <c r="E533">
        <v>6324</v>
      </c>
      <c r="F533">
        <v>6</v>
      </c>
      <c r="G533" t="s">
        <v>300</v>
      </c>
      <c r="H533" t="s">
        <v>1083</v>
      </c>
      <c r="I533" t="s">
        <v>393</v>
      </c>
      <c r="J533">
        <v>4286</v>
      </c>
      <c r="K533" t="s">
        <v>394</v>
      </c>
      <c r="L533">
        <v>2801.6</v>
      </c>
      <c r="M533">
        <v>1.5298400913763563</v>
      </c>
      <c r="N533" t="s">
        <v>395</v>
      </c>
      <c r="O533">
        <v>0</v>
      </c>
    </row>
    <row r="534" spans="1:15" x14ac:dyDescent="0.25">
      <c r="A534" t="s">
        <v>1077</v>
      </c>
      <c r="B534">
        <v>33</v>
      </c>
      <c r="C534" t="s">
        <v>1063</v>
      </c>
      <c r="D534" t="s">
        <v>1078</v>
      </c>
      <c r="E534">
        <v>6324</v>
      </c>
      <c r="F534">
        <v>6</v>
      </c>
      <c r="G534" t="s">
        <v>302</v>
      </c>
      <c r="H534" t="s">
        <v>1084</v>
      </c>
      <c r="I534" t="s">
        <v>393</v>
      </c>
      <c r="J534">
        <v>4286</v>
      </c>
      <c r="K534" t="s">
        <v>394</v>
      </c>
      <c r="L534">
        <v>2801.6</v>
      </c>
      <c r="M534">
        <v>1.5298400913763563</v>
      </c>
      <c r="N534" t="s">
        <v>395</v>
      </c>
      <c r="O534">
        <v>0</v>
      </c>
    </row>
    <row r="535" spans="1:15" x14ac:dyDescent="0.25">
      <c r="A535" t="s">
        <v>1077</v>
      </c>
      <c r="B535">
        <v>33</v>
      </c>
      <c r="C535" t="s">
        <v>1063</v>
      </c>
      <c r="D535" t="s">
        <v>1078</v>
      </c>
      <c r="E535">
        <v>6324</v>
      </c>
      <c r="F535">
        <v>6</v>
      </c>
      <c r="G535" t="s">
        <v>301</v>
      </c>
      <c r="H535" t="s">
        <v>1085</v>
      </c>
      <c r="I535" t="s">
        <v>393</v>
      </c>
      <c r="J535">
        <v>134012</v>
      </c>
      <c r="K535" t="s">
        <v>394</v>
      </c>
      <c r="L535">
        <v>2801.6</v>
      </c>
      <c r="M535">
        <v>47.83409480296973</v>
      </c>
      <c r="N535" t="s">
        <v>395</v>
      </c>
      <c r="O535">
        <v>0</v>
      </c>
    </row>
    <row r="536" spans="1:15" x14ac:dyDescent="0.25">
      <c r="A536" t="s">
        <v>1077</v>
      </c>
      <c r="B536">
        <v>33</v>
      </c>
      <c r="C536" t="s">
        <v>1063</v>
      </c>
      <c r="D536" t="s">
        <v>1078</v>
      </c>
      <c r="E536">
        <v>6324</v>
      </c>
      <c r="F536">
        <v>6</v>
      </c>
      <c r="G536" t="s">
        <v>300</v>
      </c>
      <c r="H536" t="s">
        <v>1086</v>
      </c>
      <c r="I536" t="s">
        <v>393</v>
      </c>
      <c r="J536">
        <v>4286</v>
      </c>
      <c r="K536" t="s">
        <v>394</v>
      </c>
      <c r="L536">
        <v>2801.6</v>
      </c>
      <c r="M536">
        <v>1.5298400913763563</v>
      </c>
      <c r="N536" t="s">
        <v>395</v>
      </c>
      <c r="O536">
        <v>0</v>
      </c>
    </row>
    <row r="537" spans="1:15" x14ac:dyDescent="0.25">
      <c r="A537" t="s">
        <v>1077</v>
      </c>
      <c r="B537">
        <v>33</v>
      </c>
      <c r="C537" t="s">
        <v>1063</v>
      </c>
      <c r="D537" t="s">
        <v>1078</v>
      </c>
      <c r="E537">
        <v>6324</v>
      </c>
      <c r="F537">
        <v>6</v>
      </c>
      <c r="G537" t="s">
        <v>302</v>
      </c>
      <c r="H537" t="s">
        <v>1087</v>
      </c>
      <c r="I537" t="s">
        <v>393</v>
      </c>
      <c r="J537">
        <v>4286</v>
      </c>
      <c r="K537" t="s">
        <v>394</v>
      </c>
      <c r="L537">
        <v>2801.6</v>
      </c>
      <c r="M537">
        <v>1.5298400913763563</v>
      </c>
      <c r="N537" t="s">
        <v>395</v>
      </c>
      <c r="O537">
        <v>0</v>
      </c>
    </row>
    <row r="538" spans="1:15" x14ac:dyDescent="0.25">
      <c r="A538" t="s">
        <v>1077</v>
      </c>
      <c r="B538">
        <v>33</v>
      </c>
      <c r="C538" t="s">
        <v>1063</v>
      </c>
      <c r="D538" t="s">
        <v>1078</v>
      </c>
      <c r="E538">
        <v>6324</v>
      </c>
      <c r="F538">
        <v>6</v>
      </c>
      <c r="G538" t="s">
        <v>301</v>
      </c>
      <c r="H538" t="s">
        <v>1088</v>
      </c>
      <c r="I538" t="s">
        <v>393</v>
      </c>
      <c r="J538">
        <v>134012</v>
      </c>
      <c r="K538" t="s">
        <v>394</v>
      </c>
      <c r="L538">
        <v>2801.6</v>
      </c>
      <c r="M538">
        <v>47.83409480296973</v>
      </c>
      <c r="N538" t="s">
        <v>395</v>
      </c>
      <c r="O538">
        <v>0</v>
      </c>
    </row>
    <row r="539" spans="1:15" x14ac:dyDescent="0.25">
      <c r="A539" t="s">
        <v>1077</v>
      </c>
      <c r="B539">
        <v>33</v>
      </c>
      <c r="C539" t="s">
        <v>1063</v>
      </c>
      <c r="D539" t="s">
        <v>1078</v>
      </c>
      <c r="E539">
        <v>6324</v>
      </c>
      <c r="F539">
        <v>6</v>
      </c>
      <c r="G539" t="s">
        <v>300</v>
      </c>
      <c r="H539" t="s">
        <v>1089</v>
      </c>
      <c r="I539" t="s">
        <v>393</v>
      </c>
      <c r="J539">
        <v>4286</v>
      </c>
      <c r="K539" t="s">
        <v>394</v>
      </c>
      <c r="L539">
        <v>2801.6</v>
      </c>
      <c r="M539">
        <v>1.5298400913763563</v>
      </c>
      <c r="N539" t="s">
        <v>395</v>
      </c>
      <c r="O539">
        <v>0</v>
      </c>
    </row>
    <row r="540" spans="1:15" x14ac:dyDescent="0.25">
      <c r="A540" t="s">
        <v>1077</v>
      </c>
      <c r="B540">
        <v>33</v>
      </c>
      <c r="C540" t="s">
        <v>1063</v>
      </c>
      <c r="D540" t="s">
        <v>1078</v>
      </c>
      <c r="E540">
        <v>6324</v>
      </c>
      <c r="F540">
        <v>6</v>
      </c>
      <c r="G540" t="s">
        <v>302</v>
      </c>
      <c r="H540" t="s">
        <v>1090</v>
      </c>
      <c r="I540" t="s">
        <v>393</v>
      </c>
      <c r="J540">
        <v>4286</v>
      </c>
      <c r="K540" t="s">
        <v>394</v>
      </c>
      <c r="L540">
        <v>2801.6</v>
      </c>
      <c r="M540">
        <v>1.5298400913763563</v>
      </c>
      <c r="N540" t="s">
        <v>395</v>
      </c>
      <c r="O540">
        <v>0</v>
      </c>
    </row>
    <row r="541" spans="1:15" x14ac:dyDescent="0.25">
      <c r="A541" t="s">
        <v>1077</v>
      </c>
      <c r="B541">
        <v>33</v>
      </c>
      <c r="C541" t="s">
        <v>1063</v>
      </c>
      <c r="D541" t="s">
        <v>1078</v>
      </c>
      <c r="E541">
        <v>6324</v>
      </c>
      <c r="F541">
        <v>6</v>
      </c>
      <c r="G541" t="s">
        <v>301</v>
      </c>
      <c r="H541" t="s">
        <v>1091</v>
      </c>
      <c r="I541" t="s">
        <v>393</v>
      </c>
      <c r="J541">
        <v>134012</v>
      </c>
      <c r="K541" t="s">
        <v>394</v>
      </c>
      <c r="L541">
        <v>2801.6</v>
      </c>
      <c r="M541">
        <v>47.83409480296973</v>
      </c>
      <c r="N541" t="s">
        <v>395</v>
      </c>
      <c r="O541">
        <v>0</v>
      </c>
    </row>
    <row r="542" spans="1:15" x14ac:dyDescent="0.25">
      <c r="A542" t="s">
        <v>1077</v>
      </c>
      <c r="B542">
        <v>33</v>
      </c>
      <c r="C542" t="s">
        <v>1063</v>
      </c>
      <c r="D542" t="s">
        <v>1078</v>
      </c>
      <c r="E542">
        <v>6324</v>
      </c>
      <c r="F542">
        <v>6</v>
      </c>
      <c r="G542" t="s">
        <v>300</v>
      </c>
      <c r="H542" t="s">
        <v>1092</v>
      </c>
      <c r="I542" t="s">
        <v>393</v>
      </c>
      <c r="J542">
        <v>4286</v>
      </c>
      <c r="K542" t="s">
        <v>394</v>
      </c>
      <c r="L542">
        <v>2801.6</v>
      </c>
      <c r="M542">
        <v>1.5298400913763563</v>
      </c>
      <c r="N542" t="s">
        <v>395</v>
      </c>
      <c r="O542">
        <v>0</v>
      </c>
    </row>
    <row r="543" spans="1:15" x14ac:dyDescent="0.25">
      <c r="A543" t="s">
        <v>1077</v>
      </c>
      <c r="B543">
        <v>33</v>
      </c>
      <c r="C543" t="s">
        <v>1063</v>
      </c>
      <c r="D543" t="s">
        <v>1078</v>
      </c>
      <c r="E543">
        <v>6324</v>
      </c>
      <c r="F543">
        <v>6</v>
      </c>
      <c r="G543" t="s">
        <v>302</v>
      </c>
      <c r="H543" t="s">
        <v>1093</v>
      </c>
      <c r="I543" t="s">
        <v>393</v>
      </c>
      <c r="J543">
        <v>4286</v>
      </c>
      <c r="K543" t="s">
        <v>394</v>
      </c>
      <c r="L543">
        <v>2801.6</v>
      </c>
      <c r="M543">
        <v>1.5298400913763563</v>
      </c>
      <c r="N543" t="s">
        <v>395</v>
      </c>
      <c r="O543">
        <v>0</v>
      </c>
    </row>
    <row r="544" spans="1:15" x14ac:dyDescent="0.25">
      <c r="A544" t="s">
        <v>1077</v>
      </c>
      <c r="B544">
        <v>33</v>
      </c>
      <c r="C544" t="s">
        <v>1063</v>
      </c>
      <c r="D544" t="s">
        <v>1078</v>
      </c>
      <c r="E544">
        <v>6324</v>
      </c>
      <c r="F544">
        <v>6</v>
      </c>
      <c r="G544" t="s">
        <v>301</v>
      </c>
      <c r="H544" t="s">
        <v>1094</v>
      </c>
      <c r="I544" t="s">
        <v>393</v>
      </c>
      <c r="J544">
        <v>134012</v>
      </c>
      <c r="K544" t="s">
        <v>394</v>
      </c>
      <c r="L544">
        <v>2801.6</v>
      </c>
      <c r="M544">
        <v>47.83409480296973</v>
      </c>
      <c r="N544" t="s">
        <v>395</v>
      </c>
      <c r="O544">
        <v>0</v>
      </c>
    </row>
    <row r="545" spans="1:15" x14ac:dyDescent="0.25">
      <c r="A545" t="s">
        <v>1077</v>
      </c>
      <c r="B545">
        <v>33</v>
      </c>
      <c r="C545" t="s">
        <v>1063</v>
      </c>
      <c r="D545" t="s">
        <v>1078</v>
      </c>
      <c r="E545">
        <v>6324</v>
      </c>
      <c r="F545">
        <v>6</v>
      </c>
      <c r="G545" t="s">
        <v>300</v>
      </c>
      <c r="H545" t="s">
        <v>1095</v>
      </c>
      <c r="I545" t="s">
        <v>393</v>
      </c>
      <c r="J545">
        <v>4286</v>
      </c>
      <c r="K545" t="s">
        <v>394</v>
      </c>
      <c r="L545">
        <v>2801.6</v>
      </c>
      <c r="M545">
        <v>1.5298400913763563</v>
      </c>
      <c r="N545" t="s">
        <v>395</v>
      </c>
      <c r="O545">
        <v>0</v>
      </c>
    </row>
    <row r="546" spans="1:15" x14ac:dyDescent="0.25">
      <c r="A546" t="s">
        <v>1077</v>
      </c>
      <c r="B546">
        <v>33</v>
      </c>
      <c r="C546" t="s">
        <v>1063</v>
      </c>
      <c r="D546" t="s">
        <v>1078</v>
      </c>
      <c r="E546">
        <v>6324</v>
      </c>
      <c r="F546">
        <v>6</v>
      </c>
      <c r="G546" t="s">
        <v>302</v>
      </c>
      <c r="H546" t="s">
        <v>1096</v>
      </c>
      <c r="I546" t="s">
        <v>393</v>
      </c>
      <c r="J546">
        <v>4286</v>
      </c>
      <c r="K546" t="s">
        <v>394</v>
      </c>
      <c r="L546">
        <v>2801.6</v>
      </c>
      <c r="M546">
        <v>1.5298400913763563</v>
      </c>
      <c r="N546" t="s">
        <v>395</v>
      </c>
      <c r="O546">
        <v>0</v>
      </c>
    </row>
    <row r="547" spans="1:15" x14ac:dyDescent="0.25">
      <c r="A547" t="s">
        <v>1097</v>
      </c>
      <c r="B547" t="s">
        <v>1098</v>
      </c>
      <c r="C547" t="s">
        <v>1063</v>
      </c>
      <c r="D547" t="s">
        <v>1078</v>
      </c>
      <c r="E547">
        <v>6311</v>
      </c>
      <c r="F547">
        <v>6</v>
      </c>
      <c r="G547" t="s">
        <v>324</v>
      </c>
      <c r="H547" t="s">
        <v>1099</v>
      </c>
      <c r="I547" t="s">
        <v>393</v>
      </c>
      <c r="J547">
        <v>90000</v>
      </c>
      <c r="K547" t="s">
        <v>394</v>
      </c>
      <c r="L547">
        <v>2801.6</v>
      </c>
      <c r="M547">
        <v>32.124500285551115</v>
      </c>
      <c r="N547" t="s">
        <v>395</v>
      </c>
      <c r="O547">
        <v>0</v>
      </c>
    </row>
    <row r="548" spans="1:15" x14ac:dyDescent="0.25">
      <c r="A548" t="s">
        <v>1097</v>
      </c>
      <c r="B548" t="s">
        <v>1098</v>
      </c>
      <c r="C548" t="s">
        <v>1063</v>
      </c>
      <c r="D548" t="s">
        <v>1078</v>
      </c>
      <c r="E548">
        <v>6311</v>
      </c>
      <c r="F548">
        <v>6</v>
      </c>
      <c r="G548" t="s">
        <v>328</v>
      </c>
      <c r="H548" t="s">
        <v>1100</v>
      </c>
      <c r="I548" t="s">
        <v>393</v>
      </c>
      <c r="J548">
        <v>27000</v>
      </c>
      <c r="K548" t="s">
        <v>394</v>
      </c>
      <c r="L548">
        <v>2801.6</v>
      </c>
      <c r="M548">
        <v>9.637350085665334</v>
      </c>
      <c r="N548" t="s">
        <v>395</v>
      </c>
      <c r="O548">
        <v>0</v>
      </c>
    </row>
    <row r="549" spans="1:15" x14ac:dyDescent="0.25">
      <c r="A549" t="s">
        <v>1101</v>
      </c>
      <c r="B549">
        <v>35</v>
      </c>
      <c r="C549" t="s">
        <v>1102</v>
      </c>
      <c r="D549" t="s">
        <v>1103</v>
      </c>
      <c r="E549">
        <v>6311</v>
      </c>
      <c r="F549">
        <v>6</v>
      </c>
      <c r="G549" t="s">
        <v>322</v>
      </c>
      <c r="H549" t="s">
        <v>1104</v>
      </c>
      <c r="I549" t="s">
        <v>393</v>
      </c>
      <c r="J549">
        <v>150000</v>
      </c>
      <c r="K549" t="s">
        <v>394</v>
      </c>
      <c r="L549">
        <v>2801.6</v>
      </c>
      <c r="M549">
        <v>53.540833809251858</v>
      </c>
      <c r="N549" t="s">
        <v>395</v>
      </c>
      <c r="O549">
        <v>0</v>
      </c>
    </row>
    <row r="550" spans="1:15" x14ac:dyDescent="0.25">
      <c r="A550" t="s">
        <v>1105</v>
      </c>
      <c r="B550">
        <v>51</v>
      </c>
      <c r="C550" t="s">
        <v>1102</v>
      </c>
      <c r="D550" t="s">
        <v>1106</v>
      </c>
      <c r="E550">
        <v>6171</v>
      </c>
      <c r="F550">
        <v>6</v>
      </c>
      <c r="G550" t="s">
        <v>327</v>
      </c>
      <c r="H550" t="s">
        <v>333</v>
      </c>
      <c r="I550" t="s">
        <v>393</v>
      </c>
      <c r="J550">
        <v>45000</v>
      </c>
      <c r="K550" t="s">
        <v>394</v>
      </c>
      <c r="L550">
        <v>2801.6</v>
      </c>
      <c r="M550">
        <v>16.062250142775557</v>
      </c>
      <c r="N550" t="s">
        <v>395</v>
      </c>
      <c r="O550">
        <v>0</v>
      </c>
    </row>
    <row r="551" spans="1:15" x14ac:dyDescent="0.25">
      <c r="A551" t="s">
        <v>1107</v>
      </c>
      <c r="B551">
        <v>48</v>
      </c>
      <c r="C551" t="s">
        <v>1102</v>
      </c>
      <c r="D551" t="s">
        <v>1106</v>
      </c>
      <c r="E551">
        <v>6176</v>
      </c>
      <c r="F551">
        <v>6</v>
      </c>
      <c r="G551" t="s">
        <v>328</v>
      </c>
      <c r="H551" t="s">
        <v>1108</v>
      </c>
      <c r="I551" t="s">
        <v>393</v>
      </c>
      <c r="J551">
        <v>27000</v>
      </c>
      <c r="K551" t="s">
        <v>394</v>
      </c>
      <c r="L551">
        <v>2801.6</v>
      </c>
      <c r="M551">
        <v>9.637350085665334</v>
      </c>
      <c r="N551" t="s">
        <v>395</v>
      </c>
      <c r="O551">
        <v>0</v>
      </c>
    </row>
    <row r="552" spans="1:15" x14ac:dyDescent="0.25">
      <c r="A552" t="s">
        <v>1107</v>
      </c>
      <c r="B552">
        <v>48</v>
      </c>
      <c r="C552" t="s">
        <v>1102</v>
      </c>
      <c r="D552" t="s">
        <v>1106</v>
      </c>
      <c r="E552">
        <v>6176</v>
      </c>
      <c r="F552">
        <v>6</v>
      </c>
      <c r="G552" t="s">
        <v>324</v>
      </c>
      <c r="H552" t="s">
        <v>1109</v>
      </c>
      <c r="I552" t="s">
        <v>393</v>
      </c>
      <c r="J552">
        <v>90000</v>
      </c>
      <c r="K552" t="s">
        <v>394</v>
      </c>
      <c r="L552">
        <v>2801.6</v>
      </c>
      <c r="M552">
        <v>32.124500285551115</v>
      </c>
      <c r="N552" t="s">
        <v>395</v>
      </c>
      <c r="O552">
        <v>0</v>
      </c>
    </row>
    <row r="553" spans="1:15" x14ac:dyDescent="0.25">
      <c r="A553" t="s">
        <v>1110</v>
      </c>
      <c r="B553">
        <v>52</v>
      </c>
      <c r="C553" t="s">
        <v>1102</v>
      </c>
      <c r="D553" t="s">
        <v>1111</v>
      </c>
      <c r="E553">
        <v>6171</v>
      </c>
      <c r="F553">
        <v>6</v>
      </c>
      <c r="G553" t="s">
        <v>327</v>
      </c>
      <c r="H553" t="s">
        <v>333</v>
      </c>
      <c r="I553" t="s">
        <v>393</v>
      </c>
      <c r="J553">
        <v>45000</v>
      </c>
      <c r="K553" t="s">
        <v>394</v>
      </c>
      <c r="L553">
        <v>2801.6</v>
      </c>
      <c r="M553">
        <v>16.062250142775557</v>
      </c>
      <c r="N553" t="s">
        <v>395</v>
      </c>
      <c r="O553">
        <v>0</v>
      </c>
    </row>
    <row r="554" spans="1:15" x14ac:dyDescent="0.25">
      <c r="A554" t="s">
        <v>1112</v>
      </c>
      <c r="B554">
        <v>54</v>
      </c>
      <c r="C554" t="s">
        <v>1102</v>
      </c>
      <c r="D554" t="s">
        <v>1111</v>
      </c>
      <c r="E554">
        <v>6311</v>
      </c>
      <c r="F554">
        <v>6</v>
      </c>
      <c r="G554" t="s">
        <v>322</v>
      </c>
      <c r="H554" t="s">
        <v>1104</v>
      </c>
      <c r="I554" t="s">
        <v>393</v>
      </c>
      <c r="J554">
        <v>150000</v>
      </c>
      <c r="K554" t="s">
        <v>394</v>
      </c>
      <c r="L554">
        <v>2801.6</v>
      </c>
      <c r="M554">
        <v>53.540833809251858</v>
      </c>
      <c r="N554" t="s">
        <v>395</v>
      </c>
      <c r="O554">
        <v>0</v>
      </c>
    </row>
    <row r="555" spans="1:15" x14ac:dyDescent="0.25">
      <c r="A555" t="s">
        <v>1113</v>
      </c>
      <c r="B555">
        <v>59</v>
      </c>
      <c r="C555" t="s">
        <v>1102</v>
      </c>
      <c r="D555" t="s">
        <v>1114</v>
      </c>
      <c r="E555">
        <v>6341</v>
      </c>
      <c r="F555">
        <v>6</v>
      </c>
      <c r="G555" t="s">
        <v>325</v>
      </c>
      <c r="H555" t="s">
        <v>1115</v>
      </c>
      <c r="I555" t="s">
        <v>393</v>
      </c>
      <c r="J555">
        <v>31250</v>
      </c>
      <c r="K555" t="s">
        <v>394</v>
      </c>
      <c r="L555">
        <v>2801.6</v>
      </c>
      <c r="M555">
        <v>11.15434037692747</v>
      </c>
      <c r="N555" t="s">
        <v>395</v>
      </c>
      <c r="O555">
        <v>0</v>
      </c>
    </row>
    <row r="556" spans="1:15" x14ac:dyDescent="0.25">
      <c r="A556" t="s">
        <v>1116</v>
      </c>
      <c r="B556">
        <v>53</v>
      </c>
      <c r="C556" t="s">
        <v>1102</v>
      </c>
      <c r="D556" t="s">
        <v>1117</v>
      </c>
      <c r="E556">
        <v>421</v>
      </c>
      <c r="F556">
        <v>6</v>
      </c>
      <c r="G556" t="s">
        <v>300</v>
      </c>
      <c r="H556" t="s">
        <v>1118</v>
      </c>
      <c r="I556" t="s">
        <v>393</v>
      </c>
      <c r="J556">
        <v>295714</v>
      </c>
      <c r="K556" t="s">
        <v>394</v>
      </c>
      <c r="L556">
        <v>2801.6</v>
      </c>
      <c r="M556">
        <v>105.55182752712736</v>
      </c>
      <c r="N556" t="s">
        <v>395</v>
      </c>
      <c r="O556">
        <v>0</v>
      </c>
    </row>
    <row r="557" spans="1:15" x14ac:dyDescent="0.25">
      <c r="A557" t="s">
        <v>1119</v>
      </c>
      <c r="B557">
        <v>53</v>
      </c>
      <c r="C557" t="s">
        <v>1102</v>
      </c>
      <c r="D557" t="s">
        <v>1117</v>
      </c>
      <c r="E557">
        <v>421</v>
      </c>
      <c r="F557">
        <v>6</v>
      </c>
      <c r="G557" t="s">
        <v>301</v>
      </c>
      <c r="H557" t="s">
        <v>1120</v>
      </c>
      <c r="I557" t="s">
        <v>393</v>
      </c>
      <c r="J557">
        <v>1269897</v>
      </c>
      <c r="K557" t="s">
        <v>394</v>
      </c>
      <c r="L557">
        <v>2801.6</v>
      </c>
      <c r="M557">
        <v>453.27562821245004</v>
      </c>
      <c r="N557" t="s">
        <v>395</v>
      </c>
      <c r="O557">
        <v>0</v>
      </c>
    </row>
    <row r="558" spans="1:15" x14ac:dyDescent="0.25">
      <c r="A558" t="s">
        <v>1121</v>
      </c>
      <c r="B558">
        <v>53</v>
      </c>
      <c r="C558" t="s">
        <v>1102</v>
      </c>
      <c r="D558" t="s">
        <v>1117</v>
      </c>
      <c r="E558">
        <v>421</v>
      </c>
      <c r="F558">
        <v>6</v>
      </c>
      <c r="G558" t="s">
        <v>302</v>
      </c>
      <c r="H558" t="s">
        <v>1122</v>
      </c>
      <c r="I558" t="s">
        <v>393</v>
      </c>
      <c r="J558">
        <v>295714</v>
      </c>
      <c r="K558" t="s">
        <v>394</v>
      </c>
      <c r="L558">
        <v>2801.6</v>
      </c>
      <c r="M558">
        <v>105.55182752712736</v>
      </c>
      <c r="N558" t="s">
        <v>395</v>
      </c>
      <c r="O558">
        <v>0</v>
      </c>
    </row>
    <row r="559" spans="1:15" x14ac:dyDescent="0.25">
      <c r="A559" t="s">
        <v>1123</v>
      </c>
      <c r="B559">
        <v>53</v>
      </c>
      <c r="C559" t="s">
        <v>1102</v>
      </c>
      <c r="D559" t="s">
        <v>1117</v>
      </c>
      <c r="E559">
        <v>421</v>
      </c>
      <c r="F559">
        <v>6</v>
      </c>
      <c r="G559" t="s">
        <v>303</v>
      </c>
      <c r="H559" t="s">
        <v>1124</v>
      </c>
      <c r="I559" t="s">
        <v>393</v>
      </c>
      <c r="J559">
        <v>73458</v>
      </c>
      <c r="K559" t="s">
        <v>394</v>
      </c>
      <c r="L559">
        <v>2801.6</v>
      </c>
      <c r="M559">
        <v>26.220017133066818</v>
      </c>
      <c r="N559" t="s">
        <v>395</v>
      </c>
      <c r="O559">
        <v>0</v>
      </c>
    </row>
    <row r="560" spans="1:15" x14ac:dyDescent="0.25">
      <c r="A560" t="s">
        <v>1123</v>
      </c>
      <c r="B560">
        <v>53</v>
      </c>
      <c r="C560" t="s">
        <v>1102</v>
      </c>
      <c r="D560" t="s">
        <v>1117</v>
      </c>
      <c r="E560">
        <v>421</v>
      </c>
      <c r="F560">
        <v>6</v>
      </c>
      <c r="G560" t="s">
        <v>304</v>
      </c>
      <c r="H560" t="s">
        <v>1125</v>
      </c>
      <c r="I560" t="s">
        <v>393</v>
      </c>
      <c r="J560">
        <v>126698</v>
      </c>
      <c r="K560" t="s">
        <v>394</v>
      </c>
      <c r="L560">
        <v>2801.6</v>
      </c>
      <c r="M560">
        <v>45.223443746430611</v>
      </c>
      <c r="N560" t="s">
        <v>395</v>
      </c>
      <c r="O560">
        <v>0</v>
      </c>
    </row>
    <row r="561" spans="1:15" x14ac:dyDescent="0.25">
      <c r="A561" t="s">
        <v>1123</v>
      </c>
      <c r="B561">
        <v>53</v>
      </c>
      <c r="C561" t="s">
        <v>1102</v>
      </c>
      <c r="D561" t="s">
        <v>1117</v>
      </c>
      <c r="E561">
        <v>421</v>
      </c>
      <c r="F561">
        <v>6</v>
      </c>
      <c r="G561" t="s">
        <v>305</v>
      </c>
      <c r="H561" t="s">
        <v>1126</v>
      </c>
      <c r="I561" t="s">
        <v>393</v>
      </c>
      <c r="J561">
        <v>133769</v>
      </c>
      <c r="K561" t="s">
        <v>394</v>
      </c>
      <c r="L561">
        <v>2801.6</v>
      </c>
      <c r="M561">
        <v>47.747358652198749</v>
      </c>
      <c r="N561" t="s">
        <v>395</v>
      </c>
      <c r="O561">
        <v>0</v>
      </c>
    </row>
    <row r="562" spans="1:15" x14ac:dyDescent="0.25">
      <c r="A562" t="s">
        <v>1123</v>
      </c>
      <c r="B562">
        <v>53</v>
      </c>
      <c r="C562" t="s">
        <v>1102</v>
      </c>
      <c r="D562" t="s">
        <v>1117</v>
      </c>
      <c r="E562">
        <v>421</v>
      </c>
      <c r="F562">
        <v>6</v>
      </c>
      <c r="G562" t="s">
        <v>323</v>
      </c>
      <c r="H562" t="s">
        <v>1127</v>
      </c>
      <c r="I562" t="s">
        <v>393</v>
      </c>
      <c r="J562">
        <v>26422</v>
      </c>
      <c r="K562" t="s">
        <v>394</v>
      </c>
      <c r="L562">
        <v>2801.6</v>
      </c>
      <c r="M562">
        <v>9.4310394060536833</v>
      </c>
      <c r="N562" t="s">
        <v>395</v>
      </c>
      <c r="O562">
        <v>0</v>
      </c>
    </row>
    <row r="563" spans="1:15" x14ac:dyDescent="0.25">
      <c r="A563" t="s">
        <v>1123</v>
      </c>
      <c r="B563">
        <v>53</v>
      </c>
      <c r="C563" t="s">
        <v>1102</v>
      </c>
      <c r="D563" t="s">
        <v>1117</v>
      </c>
      <c r="E563">
        <v>421</v>
      </c>
      <c r="F563">
        <v>6</v>
      </c>
      <c r="G563" t="s">
        <v>1128</v>
      </c>
      <c r="H563" t="s">
        <v>1129</v>
      </c>
      <c r="I563" t="s">
        <v>393</v>
      </c>
      <c r="J563">
        <v>150000</v>
      </c>
      <c r="K563" t="s">
        <v>394</v>
      </c>
      <c r="L563">
        <v>2801.6</v>
      </c>
      <c r="M563">
        <v>53.540833809251858</v>
      </c>
      <c r="N563" t="s">
        <v>395</v>
      </c>
      <c r="O563">
        <v>0</v>
      </c>
    </row>
    <row r="564" spans="1:15" x14ac:dyDescent="0.25">
      <c r="A564" t="s">
        <v>1130</v>
      </c>
      <c r="B564">
        <v>57</v>
      </c>
      <c r="C564" t="s">
        <v>1102</v>
      </c>
      <c r="D564" t="s">
        <v>1114</v>
      </c>
      <c r="E564">
        <v>6176</v>
      </c>
      <c r="F564">
        <v>6</v>
      </c>
      <c r="G564" t="s">
        <v>325</v>
      </c>
      <c r="H564" t="s">
        <v>1131</v>
      </c>
      <c r="I564" t="s">
        <v>393</v>
      </c>
      <c r="J564">
        <v>96000</v>
      </c>
      <c r="K564" t="s">
        <v>394</v>
      </c>
      <c r="L564">
        <v>2801.6</v>
      </c>
      <c r="M564">
        <v>34.266133637921186</v>
      </c>
      <c r="N564" t="s">
        <v>395</v>
      </c>
      <c r="O564">
        <v>0</v>
      </c>
    </row>
    <row r="565" spans="1:15" x14ac:dyDescent="0.25">
      <c r="A565" t="s">
        <v>1132</v>
      </c>
      <c r="B565">
        <v>38</v>
      </c>
      <c r="C565" t="s">
        <v>1102</v>
      </c>
      <c r="D565" t="s">
        <v>1037</v>
      </c>
      <c r="E565">
        <v>4325</v>
      </c>
      <c r="F565">
        <v>6</v>
      </c>
      <c r="G565" t="s">
        <v>300</v>
      </c>
      <c r="H565" t="s">
        <v>1133</v>
      </c>
      <c r="I565" t="s">
        <v>393</v>
      </c>
      <c r="J565">
        <v>4285.5</v>
      </c>
      <c r="K565" t="s">
        <v>394</v>
      </c>
      <c r="L565">
        <v>2801.6</v>
      </c>
      <c r="M565">
        <v>1.5296616219303256</v>
      </c>
      <c r="N565" t="s">
        <v>395</v>
      </c>
      <c r="O565">
        <v>0</v>
      </c>
    </row>
    <row r="566" spans="1:15" x14ac:dyDescent="0.25">
      <c r="A566" t="s">
        <v>1132</v>
      </c>
      <c r="B566">
        <v>38</v>
      </c>
      <c r="C566" t="s">
        <v>1102</v>
      </c>
      <c r="D566" t="s">
        <v>1037</v>
      </c>
      <c r="E566">
        <v>4325</v>
      </c>
      <c r="F566">
        <v>6</v>
      </c>
      <c r="G566" t="s">
        <v>301</v>
      </c>
      <c r="H566" t="s">
        <v>1134</v>
      </c>
      <c r="I566" t="s">
        <v>393</v>
      </c>
      <c r="J566">
        <v>187012</v>
      </c>
      <c r="K566" t="s">
        <v>394</v>
      </c>
      <c r="L566">
        <v>2801.6</v>
      </c>
      <c r="M566">
        <v>66.751856082238717</v>
      </c>
      <c r="N566" t="s">
        <v>395</v>
      </c>
      <c r="O566">
        <v>0</v>
      </c>
    </row>
    <row r="567" spans="1:15" x14ac:dyDescent="0.25">
      <c r="A567" t="s">
        <v>1132</v>
      </c>
      <c r="B567">
        <v>38</v>
      </c>
      <c r="C567" t="s">
        <v>1102</v>
      </c>
      <c r="D567" t="s">
        <v>1037</v>
      </c>
      <c r="E567">
        <v>4325</v>
      </c>
      <c r="F567">
        <v>6</v>
      </c>
      <c r="G567" t="s">
        <v>302</v>
      </c>
      <c r="H567" t="s">
        <v>1135</v>
      </c>
      <c r="I567" t="s">
        <v>393</v>
      </c>
      <c r="J567">
        <v>4285.5</v>
      </c>
      <c r="K567" t="s">
        <v>394</v>
      </c>
      <c r="L567">
        <v>2801.6</v>
      </c>
      <c r="M567">
        <v>1.5296616219303256</v>
      </c>
      <c r="N567" t="s">
        <v>395</v>
      </c>
      <c r="O567">
        <v>0</v>
      </c>
    </row>
    <row r="568" spans="1:15" x14ac:dyDescent="0.25">
      <c r="A568" t="s">
        <v>1136</v>
      </c>
      <c r="B568">
        <v>77</v>
      </c>
      <c r="C568" t="s">
        <v>1137</v>
      </c>
      <c r="D568" t="s">
        <v>1138</v>
      </c>
      <c r="E568">
        <v>6311</v>
      </c>
      <c r="F568">
        <v>6</v>
      </c>
      <c r="G568" t="s">
        <v>322</v>
      </c>
      <c r="H568" t="s">
        <v>1139</v>
      </c>
      <c r="I568" t="s">
        <v>393</v>
      </c>
      <c r="J568">
        <v>150000</v>
      </c>
      <c r="K568" t="s">
        <v>394</v>
      </c>
      <c r="L568">
        <v>2801.6</v>
      </c>
      <c r="M568">
        <v>53.540833809251858</v>
      </c>
      <c r="N568" t="s">
        <v>395</v>
      </c>
      <c r="O568">
        <v>0</v>
      </c>
    </row>
    <row r="569" spans="1:15" x14ac:dyDescent="0.25">
      <c r="A569" t="s">
        <v>1140</v>
      </c>
      <c r="B569">
        <v>75</v>
      </c>
      <c r="C569" t="s">
        <v>1137</v>
      </c>
      <c r="D569" t="s">
        <v>1138</v>
      </c>
      <c r="E569">
        <v>6176</v>
      </c>
      <c r="F569">
        <v>6</v>
      </c>
      <c r="G569" t="s">
        <v>328</v>
      </c>
      <c r="H569" t="s">
        <v>1141</v>
      </c>
      <c r="I569" t="s">
        <v>393</v>
      </c>
      <c r="J569">
        <v>27000</v>
      </c>
      <c r="K569" t="s">
        <v>394</v>
      </c>
      <c r="L569">
        <v>2801.6</v>
      </c>
      <c r="M569">
        <v>9.637350085665334</v>
      </c>
      <c r="N569" t="s">
        <v>395</v>
      </c>
      <c r="O569">
        <v>0</v>
      </c>
    </row>
    <row r="570" spans="1:15" x14ac:dyDescent="0.25">
      <c r="A570" t="s">
        <v>1140</v>
      </c>
      <c r="B570">
        <v>75</v>
      </c>
      <c r="C570" t="s">
        <v>1137</v>
      </c>
      <c r="D570" t="s">
        <v>1138</v>
      </c>
      <c r="E570">
        <v>6176</v>
      </c>
      <c r="F570">
        <v>6</v>
      </c>
      <c r="G570" t="s">
        <v>324</v>
      </c>
      <c r="H570" t="s">
        <v>1142</v>
      </c>
      <c r="I570" t="s">
        <v>393</v>
      </c>
      <c r="J570">
        <v>90000</v>
      </c>
      <c r="K570" t="s">
        <v>394</v>
      </c>
      <c r="L570">
        <v>2801.6</v>
      </c>
      <c r="M570">
        <v>32.124500285551115</v>
      </c>
      <c r="N570" t="s">
        <v>395</v>
      </c>
      <c r="O570">
        <v>0</v>
      </c>
    </row>
    <row r="571" spans="1:15" x14ac:dyDescent="0.25">
      <c r="A571" t="s">
        <v>1143</v>
      </c>
      <c r="B571">
        <v>80</v>
      </c>
      <c r="C571" t="s">
        <v>1137</v>
      </c>
      <c r="D571" t="s">
        <v>1138</v>
      </c>
      <c r="E571">
        <v>6176</v>
      </c>
      <c r="F571">
        <v>6</v>
      </c>
      <c r="G571" t="s">
        <v>325</v>
      </c>
      <c r="H571" t="s">
        <v>326</v>
      </c>
      <c r="I571" t="s">
        <v>393</v>
      </c>
      <c r="J571">
        <v>98000</v>
      </c>
      <c r="K571" t="s">
        <v>394</v>
      </c>
      <c r="L571">
        <v>2801.6</v>
      </c>
      <c r="M571">
        <v>34.980011422044548</v>
      </c>
      <c r="N571" t="s">
        <v>395</v>
      </c>
      <c r="O571">
        <v>0</v>
      </c>
    </row>
    <row r="572" spans="1:15" x14ac:dyDescent="0.25">
      <c r="A572" t="s">
        <v>1144</v>
      </c>
      <c r="B572">
        <v>76</v>
      </c>
      <c r="C572" t="s">
        <v>1137</v>
      </c>
      <c r="D572" t="s">
        <v>1138</v>
      </c>
      <c r="E572">
        <v>6176</v>
      </c>
      <c r="F572">
        <v>6</v>
      </c>
      <c r="G572" t="s">
        <v>327</v>
      </c>
      <c r="H572" t="s">
        <v>333</v>
      </c>
      <c r="I572" t="s">
        <v>393</v>
      </c>
      <c r="J572">
        <v>45000</v>
      </c>
      <c r="K572" t="s">
        <v>394</v>
      </c>
      <c r="L572">
        <v>2801.6</v>
      </c>
      <c r="M572">
        <v>16.062250142775557</v>
      </c>
      <c r="N572" t="s">
        <v>395</v>
      </c>
      <c r="O572">
        <v>0</v>
      </c>
    </row>
    <row r="573" spans="1:15" x14ac:dyDescent="0.25">
      <c r="A573" t="s">
        <v>1145</v>
      </c>
      <c r="B573">
        <v>70</v>
      </c>
      <c r="C573" t="s">
        <v>1137</v>
      </c>
      <c r="D573" t="s">
        <v>1146</v>
      </c>
      <c r="E573">
        <v>421</v>
      </c>
      <c r="F573">
        <v>6</v>
      </c>
      <c r="G573" t="s">
        <v>300</v>
      </c>
      <c r="H573" t="s">
        <v>1147</v>
      </c>
      <c r="I573" t="s">
        <v>393</v>
      </c>
      <c r="J573">
        <v>295714</v>
      </c>
      <c r="K573" t="s">
        <v>394</v>
      </c>
      <c r="L573">
        <v>2801.6</v>
      </c>
      <c r="M573">
        <v>105.55182752712736</v>
      </c>
      <c r="N573" t="s">
        <v>395</v>
      </c>
      <c r="O573">
        <v>0</v>
      </c>
    </row>
    <row r="574" spans="1:15" x14ac:dyDescent="0.25">
      <c r="A574" t="s">
        <v>1145</v>
      </c>
      <c r="B574">
        <v>70</v>
      </c>
      <c r="C574" t="s">
        <v>1137</v>
      </c>
      <c r="D574" t="s">
        <v>1146</v>
      </c>
      <c r="E574">
        <v>421</v>
      </c>
      <c r="F574">
        <v>6</v>
      </c>
      <c r="G574" t="s">
        <v>301</v>
      </c>
      <c r="H574" t="s">
        <v>1148</v>
      </c>
      <c r="I574" t="s">
        <v>393</v>
      </c>
      <c r="J574">
        <v>1299897</v>
      </c>
      <c r="K574" t="s">
        <v>394</v>
      </c>
      <c r="L574">
        <v>2801.6</v>
      </c>
      <c r="M574">
        <v>463.98379497430039</v>
      </c>
      <c r="N574" t="s">
        <v>395</v>
      </c>
      <c r="O574">
        <v>0</v>
      </c>
    </row>
    <row r="575" spans="1:15" x14ac:dyDescent="0.25">
      <c r="A575" t="s">
        <v>1145</v>
      </c>
      <c r="B575">
        <v>70</v>
      </c>
      <c r="C575" t="s">
        <v>1137</v>
      </c>
      <c r="D575" t="s">
        <v>1146</v>
      </c>
      <c r="E575">
        <v>421</v>
      </c>
      <c r="F575">
        <v>6</v>
      </c>
      <c r="G575" t="s">
        <v>302</v>
      </c>
      <c r="H575" t="s">
        <v>1149</v>
      </c>
      <c r="I575" t="s">
        <v>393</v>
      </c>
      <c r="J575">
        <v>295714</v>
      </c>
      <c r="K575" t="s">
        <v>394</v>
      </c>
      <c r="L575">
        <v>2801.6</v>
      </c>
      <c r="M575">
        <v>105.55182752712736</v>
      </c>
      <c r="N575" t="s">
        <v>395</v>
      </c>
      <c r="O575">
        <v>0</v>
      </c>
    </row>
    <row r="576" spans="1:15" x14ac:dyDescent="0.25">
      <c r="A576" t="s">
        <v>1145</v>
      </c>
      <c r="B576">
        <v>70</v>
      </c>
      <c r="C576" t="s">
        <v>1137</v>
      </c>
      <c r="D576" t="s">
        <v>1146</v>
      </c>
      <c r="E576">
        <v>421</v>
      </c>
      <c r="F576">
        <v>6</v>
      </c>
      <c r="G576" t="s">
        <v>303</v>
      </c>
      <c r="H576" t="s">
        <v>1150</v>
      </c>
      <c r="I576" t="s">
        <v>393</v>
      </c>
      <c r="J576">
        <v>73458</v>
      </c>
      <c r="K576" t="s">
        <v>394</v>
      </c>
      <c r="L576">
        <v>2801.6</v>
      </c>
      <c r="M576">
        <v>26.220017133066818</v>
      </c>
      <c r="N576" t="s">
        <v>395</v>
      </c>
      <c r="O576">
        <v>0</v>
      </c>
    </row>
    <row r="577" spans="1:15" x14ac:dyDescent="0.25">
      <c r="A577" t="s">
        <v>1145</v>
      </c>
      <c r="B577">
        <v>70</v>
      </c>
      <c r="C577" t="s">
        <v>1137</v>
      </c>
      <c r="D577" t="s">
        <v>1146</v>
      </c>
      <c r="E577">
        <v>421</v>
      </c>
      <c r="F577">
        <v>6</v>
      </c>
      <c r="G577" t="s">
        <v>304</v>
      </c>
      <c r="H577" t="s">
        <v>1151</v>
      </c>
      <c r="I577" t="s">
        <v>393</v>
      </c>
      <c r="J577">
        <v>126698</v>
      </c>
      <c r="K577" t="s">
        <v>394</v>
      </c>
      <c r="L577">
        <v>2801.6</v>
      </c>
      <c r="M577">
        <v>45.223443746430611</v>
      </c>
      <c r="N577" t="s">
        <v>395</v>
      </c>
      <c r="O577">
        <v>0</v>
      </c>
    </row>
    <row r="578" spans="1:15" x14ac:dyDescent="0.25">
      <c r="A578" t="s">
        <v>1145</v>
      </c>
      <c r="B578">
        <v>70</v>
      </c>
      <c r="C578" t="s">
        <v>1137</v>
      </c>
      <c r="D578" t="s">
        <v>1146</v>
      </c>
      <c r="E578">
        <v>421</v>
      </c>
      <c r="F578">
        <v>6</v>
      </c>
      <c r="G578" t="s">
        <v>305</v>
      </c>
      <c r="H578" t="s">
        <v>1152</v>
      </c>
      <c r="I578" t="s">
        <v>393</v>
      </c>
      <c r="J578">
        <v>26422</v>
      </c>
      <c r="K578" t="s">
        <v>394</v>
      </c>
      <c r="L578">
        <v>2801.6</v>
      </c>
      <c r="M578">
        <v>9.4310394060536833</v>
      </c>
      <c r="N578" t="s">
        <v>395</v>
      </c>
      <c r="O578">
        <v>0</v>
      </c>
    </row>
    <row r="579" spans="1:15" x14ac:dyDescent="0.25">
      <c r="A579" t="s">
        <v>1145</v>
      </c>
      <c r="B579">
        <v>70</v>
      </c>
      <c r="C579" t="s">
        <v>1137</v>
      </c>
      <c r="D579" t="s">
        <v>1146</v>
      </c>
      <c r="E579">
        <v>421</v>
      </c>
      <c r="F579">
        <v>6</v>
      </c>
      <c r="G579" t="s">
        <v>323</v>
      </c>
      <c r="H579" t="s">
        <v>1153</v>
      </c>
      <c r="I579" t="s">
        <v>393</v>
      </c>
      <c r="J579">
        <v>133769</v>
      </c>
      <c r="K579" t="s">
        <v>394</v>
      </c>
      <c r="L579">
        <v>2801.6</v>
      </c>
      <c r="M579">
        <v>47.747358652198749</v>
      </c>
      <c r="N579" t="s">
        <v>395</v>
      </c>
      <c r="O579">
        <v>0</v>
      </c>
    </row>
    <row r="580" spans="1:15" x14ac:dyDescent="0.25">
      <c r="A580" t="s">
        <v>1145</v>
      </c>
      <c r="B580">
        <v>70</v>
      </c>
      <c r="C580" t="s">
        <v>1137</v>
      </c>
      <c r="D580" t="s">
        <v>1146</v>
      </c>
      <c r="E580">
        <v>421</v>
      </c>
      <c r="F580">
        <v>6</v>
      </c>
      <c r="G580" t="s">
        <v>323</v>
      </c>
      <c r="H580" t="s">
        <v>1154</v>
      </c>
      <c r="I580" t="s">
        <v>393</v>
      </c>
      <c r="J580">
        <v>150000</v>
      </c>
      <c r="K580" t="s">
        <v>394</v>
      </c>
      <c r="L580">
        <v>2801.6</v>
      </c>
      <c r="M580">
        <v>53.540833809251858</v>
      </c>
      <c r="N580" t="s">
        <v>395</v>
      </c>
      <c r="O580">
        <v>0</v>
      </c>
    </row>
    <row r="581" spans="1:15" x14ac:dyDescent="0.25">
      <c r="A581" t="s">
        <v>1132</v>
      </c>
      <c r="B581">
        <v>84</v>
      </c>
      <c r="C581" t="s">
        <v>1137</v>
      </c>
      <c r="D581" t="s">
        <v>1037</v>
      </c>
      <c r="E581">
        <v>4325</v>
      </c>
      <c r="F581">
        <v>6</v>
      </c>
      <c r="G581" t="s">
        <v>300</v>
      </c>
      <c r="H581" t="s">
        <v>1155</v>
      </c>
      <c r="I581" t="s">
        <v>393</v>
      </c>
      <c r="J581">
        <v>4285.5</v>
      </c>
      <c r="K581" t="s">
        <v>394</v>
      </c>
      <c r="L581">
        <v>2801.6</v>
      </c>
      <c r="M581">
        <v>1.5296616219303256</v>
      </c>
      <c r="N581" t="s">
        <v>395</v>
      </c>
      <c r="O581">
        <v>0</v>
      </c>
    </row>
    <row r="582" spans="1:15" x14ac:dyDescent="0.25">
      <c r="A582" t="s">
        <v>1132</v>
      </c>
      <c r="B582">
        <v>84</v>
      </c>
      <c r="C582" t="s">
        <v>1137</v>
      </c>
      <c r="D582" t="s">
        <v>1037</v>
      </c>
      <c r="E582">
        <v>4325</v>
      </c>
      <c r="F582">
        <v>6</v>
      </c>
      <c r="G582" t="s">
        <v>301</v>
      </c>
      <c r="H582" t="s">
        <v>1156</v>
      </c>
      <c r="I582" t="s">
        <v>393</v>
      </c>
      <c r="J582">
        <v>156703</v>
      </c>
      <c r="K582" t="s">
        <v>394</v>
      </c>
      <c r="L582">
        <v>2801.6</v>
      </c>
      <c r="M582">
        <v>55.933395202741295</v>
      </c>
      <c r="N582" t="s">
        <v>395</v>
      </c>
      <c r="O582">
        <v>0</v>
      </c>
    </row>
    <row r="583" spans="1:15" x14ac:dyDescent="0.25">
      <c r="A583" t="s">
        <v>1132</v>
      </c>
      <c r="B583">
        <v>84</v>
      </c>
      <c r="C583" t="s">
        <v>1137</v>
      </c>
      <c r="D583" t="s">
        <v>1037</v>
      </c>
      <c r="E583">
        <v>4325</v>
      </c>
      <c r="F583">
        <v>6</v>
      </c>
      <c r="G583" t="s">
        <v>302</v>
      </c>
      <c r="H583" t="s">
        <v>1157</v>
      </c>
      <c r="I583" t="s">
        <v>393</v>
      </c>
      <c r="J583">
        <v>4285.5</v>
      </c>
      <c r="K583" t="s">
        <v>394</v>
      </c>
      <c r="L583">
        <v>2801.6</v>
      </c>
      <c r="M583">
        <v>1.5296616219303256</v>
      </c>
      <c r="N583" t="s">
        <v>395</v>
      </c>
      <c r="O583">
        <v>0</v>
      </c>
    </row>
    <row r="584" spans="1:15" x14ac:dyDescent="0.25">
      <c r="A584" t="s">
        <v>1158</v>
      </c>
      <c r="B584">
        <v>85</v>
      </c>
      <c r="C584" t="s">
        <v>1137</v>
      </c>
      <c r="D584" t="s">
        <v>1028</v>
      </c>
      <c r="E584">
        <v>6341</v>
      </c>
      <c r="F584">
        <v>6</v>
      </c>
      <c r="G584" t="s">
        <v>325</v>
      </c>
      <c r="H584" t="s">
        <v>1159</v>
      </c>
      <c r="I584" t="s">
        <v>393</v>
      </c>
      <c r="J584">
        <v>36200</v>
      </c>
      <c r="K584" t="s">
        <v>394</v>
      </c>
      <c r="L584">
        <v>2801.6</v>
      </c>
      <c r="M584">
        <v>12.921187892632782</v>
      </c>
      <c r="N584" t="s">
        <v>395</v>
      </c>
      <c r="O584">
        <v>0</v>
      </c>
    </row>
    <row r="585" spans="1:15" x14ac:dyDescent="0.25">
      <c r="A585" t="s">
        <v>1286</v>
      </c>
      <c r="B585">
        <v>46</v>
      </c>
      <c r="C585" t="s">
        <v>1287</v>
      </c>
      <c r="D585" s="609">
        <v>45138</v>
      </c>
      <c r="E585">
        <v>0</v>
      </c>
      <c r="F585">
        <v>6</v>
      </c>
      <c r="G585" t="s">
        <v>312</v>
      </c>
      <c r="H585" t="s">
        <v>1288</v>
      </c>
      <c r="I585" t="s">
        <v>393</v>
      </c>
      <c r="J585">
        <v>382766.2</v>
      </c>
      <c r="K585" t="s">
        <v>394</v>
      </c>
      <c r="L585">
        <v>2802.3999950000002</v>
      </c>
      <c r="M585">
        <v>136.58514155114392</v>
      </c>
      <c r="N585" t="s">
        <v>395</v>
      </c>
      <c r="O585">
        <v>0</v>
      </c>
    </row>
    <row r="586" spans="1:15" x14ac:dyDescent="0.25">
      <c r="A586" t="s">
        <v>1286</v>
      </c>
      <c r="B586">
        <v>46</v>
      </c>
      <c r="C586" t="s">
        <v>1287</v>
      </c>
      <c r="D586" s="609">
        <v>45138</v>
      </c>
      <c r="E586">
        <v>0</v>
      </c>
      <c r="F586">
        <v>6</v>
      </c>
      <c r="G586" t="s">
        <v>313</v>
      </c>
      <c r="H586" t="s">
        <v>1289</v>
      </c>
      <c r="I586" t="s">
        <v>393</v>
      </c>
      <c r="J586">
        <v>113992.3</v>
      </c>
      <c r="K586" t="s">
        <v>394</v>
      </c>
      <c r="L586">
        <v>2802.3999950000002</v>
      </c>
      <c r="M586">
        <v>40.676670069720004</v>
      </c>
      <c r="N586" t="s">
        <v>395</v>
      </c>
      <c r="O586">
        <v>0</v>
      </c>
    </row>
    <row r="587" spans="1:15" x14ac:dyDescent="0.25">
      <c r="A587" t="s">
        <v>1286</v>
      </c>
      <c r="B587">
        <v>46</v>
      </c>
      <c r="C587" t="s">
        <v>1287</v>
      </c>
      <c r="D587" s="609">
        <v>45138</v>
      </c>
      <c r="E587">
        <v>0</v>
      </c>
      <c r="F587">
        <v>6</v>
      </c>
      <c r="G587" t="s">
        <v>314</v>
      </c>
      <c r="H587" t="s">
        <v>1290</v>
      </c>
      <c r="I587" t="s">
        <v>393</v>
      </c>
      <c r="J587">
        <v>183146.6</v>
      </c>
      <c r="K587" t="s">
        <v>394</v>
      </c>
      <c r="L587">
        <v>2802.3999950000002</v>
      </c>
      <c r="M587">
        <v>65.353482845692056</v>
      </c>
      <c r="N587" t="s">
        <v>395</v>
      </c>
      <c r="O587">
        <v>0</v>
      </c>
    </row>
    <row r="588" spans="1:15" x14ac:dyDescent="0.25">
      <c r="A588" t="s">
        <v>1286</v>
      </c>
      <c r="B588">
        <v>46</v>
      </c>
      <c r="C588" t="s">
        <v>1287</v>
      </c>
      <c r="D588" s="609">
        <v>45138</v>
      </c>
      <c r="E588">
        <v>0</v>
      </c>
      <c r="F588">
        <v>6</v>
      </c>
      <c r="G588" t="s">
        <v>315</v>
      </c>
      <c r="H588" t="s">
        <v>1291</v>
      </c>
      <c r="I588" t="s">
        <v>393</v>
      </c>
      <c r="J588">
        <v>133403.6</v>
      </c>
      <c r="K588" t="s">
        <v>394</v>
      </c>
      <c r="L588">
        <v>2802.3999950000002</v>
      </c>
      <c r="M588">
        <v>47.60334007922377</v>
      </c>
      <c r="N588" t="s">
        <v>395</v>
      </c>
      <c r="O588">
        <v>0</v>
      </c>
    </row>
    <row r="589" spans="1:15" x14ac:dyDescent="0.25">
      <c r="A589" t="s">
        <v>1286</v>
      </c>
      <c r="B589">
        <v>46</v>
      </c>
      <c r="C589" t="s">
        <v>1287</v>
      </c>
      <c r="D589" s="609">
        <v>45138</v>
      </c>
      <c r="E589">
        <v>0</v>
      </c>
      <c r="F589">
        <v>6</v>
      </c>
      <c r="G589" t="s">
        <v>316</v>
      </c>
      <c r="H589" t="s">
        <v>1292</v>
      </c>
      <c r="I589" t="s">
        <v>393</v>
      </c>
      <c r="J589">
        <v>345468.5</v>
      </c>
      <c r="K589" t="s">
        <v>394</v>
      </c>
      <c r="L589">
        <v>2802.3999950000002</v>
      </c>
      <c r="M589">
        <v>123.27594226961878</v>
      </c>
      <c r="N589" t="s">
        <v>395</v>
      </c>
      <c r="O589">
        <v>0</v>
      </c>
    </row>
    <row r="590" spans="1:15" x14ac:dyDescent="0.25">
      <c r="A590" t="s">
        <v>1286</v>
      </c>
      <c r="B590">
        <v>46</v>
      </c>
      <c r="C590" t="s">
        <v>1287</v>
      </c>
      <c r="D590" s="609">
        <v>45138</v>
      </c>
      <c r="E590">
        <v>0</v>
      </c>
      <c r="F590">
        <v>6</v>
      </c>
      <c r="G590" t="s">
        <v>317</v>
      </c>
      <c r="H590" t="s">
        <v>1293</v>
      </c>
      <c r="I590" t="s">
        <v>393</v>
      </c>
      <c r="J590">
        <v>1509204</v>
      </c>
      <c r="K590" t="s">
        <v>394</v>
      </c>
      <c r="L590">
        <v>2802.3999950000002</v>
      </c>
      <c r="M590">
        <v>538.53982396970423</v>
      </c>
      <c r="N590" t="s">
        <v>395</v>
      </c>
      <c r="O590">
        <v>0</v>
      </c>
    </row>
    <row r="591" spans="1:15" x14ac:dyDescent="0.25">
      <c r="A591" t="s">
        <v>1294</v>
      </c>
      <c r="B591">
        <v>47</v>
      </c>
      <c r="C591" t="s">
        <v>1287</v>
      </c>
      <c r="D591" s="609">
        <v>45138</v>
      </c>
      <c r="E591">
        <v>0</v>
      </c>
      <c r="F591">
        <v>6</v>
      </c>
      <c r="G591" t="s">
        <v>1295</v>
      </c>
      <c r="H591" t="s">
        <v>1296</v>
      </c>
      <c r="I591" t="s">
        <v>393</v>
      </c>
      <c r="J591">
        <v>2750000</v>
      </c>
      <c r="K591" t="s">
        <v>394</v>
      </c>
      <c r="L591">
        <v>2802.3999950000002</v>
      </c>
      <c r="M591">
        <v>981.30174311536848</v>
      </c>
      <c r="N591" t="s">
        <v>395</v>
      </c>
      <c r="O591">
        <v>0</v>
      </c>
    </row>
    <row r="592" spans="1:15" x14ac:dyDescent="0.25">
      <c r="A592" t="s">
        <v>1297</v>
      </c>
      <c r="B592">
        <v>48</v>
      </c>
      <c r="C592" t="s">
        <v>1287</v>
      </c>
      <c r="D592" s="609">
        <v>45138</v>
      </c>
      <c r="E592">
        <v>0</v>
      </c>
      <c r="F592">
        <v>6</v>
      </c>
      <c r="G592" t="s">
        <v>1298</v>
      </c>
      <c r="H592" t="s">
        <v>320</v>
      </c>
      <c r="I592" t="s">
        <v>393</v>
      </c>
      <c r="J592">
        <v>1100000</v>
      </c>
      <c r="K592" t="s">
        <v>394</v>
      </c>
      <c r="L592">
        <v>2802.3999950000002</v>
      </c>
      <c r="M592">
        <v>392.52069724614739</v>
      </c>
      <c r="N592" t="s">
        <v>395</v>
      </c>
      <c r="O592">
        <v>0</v>
      </c>
    </row>
    <row r="593" spans="1:15" x14ac:dyDescent="0.25">
      <c r="A593" t="s">
        <v>1299</v>
      </c>
      <c r="B593">
        <v>49</v>
      </c>
      <c r="C593" t="s">
        <v>1287</v>
      </c>
      <c r="D593" s="609">
        <v>45114</v>
      </c>
      <c r="E593">
        <v>0</v>
      </c>
      <c r="F593">
        <v>6</v>
      </c>
      <c r="G593" t="s">
        <v>335</v>
      </c>
      <c r="H593" t="s">
        <v>1300</v>
      </c>
      <c r="I593" t="s">
        <v>393</v>
      </c>
      <c r="J593">
        <v>200000</v>
      </c>
      <c r="K593" t="s">
        <v>394</v>
      </c>
      <c r="L593">
        <v>2802.3999950000002</v>
      </c>
      <c r="M593">
        <v>71.367399499299523</v>
      </c>
      <c r="N593" t="s">
        <v>395</v>
      </c>
      <c r="O593">
        <v>0</v>
      </c>
    </row>
    <row r="594" spans="1:15" x14ac:dyDescent="0.25">
      <c r="A594" t="s">
        <v>1299</v>
      </c>
      <c r="B594">
        <v>49</v>
      </c>
      <c r="C594" t="s">
        <v>1287</v>
      </c>
      <c r="D594" s="609">
        <v>45114</v>
      </c>
      <c r="E594">
        <v>0</v>
      </c>
      <c r="F594">
        <v>6</v>
      </c>
      <c r="G594" t="s">
        <v>337</v>
      </c>
      <c r="H594" t="s">
        <v>1301</v>
      </c>
      <c r="I594" t="s">
        <v>393</v>
      </c>
      <c r="J594">
        <v>30000</v>
      </c>
      <c r="K594" t="s">
        <v>394</v>
      </c>
      <c r="L594">
        <v>2802.3999950000002</v>
      </c>
      <c r="M594">
        <v>10.705109924894929</v>
      </c>
      <c r="N594" t="s">
        <v>395</v>
      </c>
      <c r="O594">
        <v>0</v>
      </c>
    </row>
    <row r="595" spans="1:15" x14ac:dyDescent="0.25">
      <c r="A595" t="s">
        <v>1299</v>
      </c>
      <c r="B595">
        <v>49</v>
      </c>
      <c r="C595" t="s">
        <v>1287</v>
      </c>
      <c r="D595" s="609">
        <v>45114</v>
      </c>
      <c r="E595">
        <v>0</v>
      </c>
      <c r="F595">
        <v>6</v>
      </c>
      <c r="G595" t="s">
        <v>338</v>
      </c>
      <c r="H595" t="s">
        <v>1302</v>
      </c>
      <c r="I595" t="s">
        <v>393</v>
      </c>
      <c r="J595">
        <v>70000</v>
      </c>
      <c r="K595" t="s">
        <v>394</v>
      </c>
      <c r="L595">
        <v>2802.3999950000002</v>
      </c>
      <c r="M595">
        <v>24.978589824754835</v>
      </c>
      <c r="N595" t="s">
        <v>395</v>
      </c>
      <c r="O595">
        <v>0</v>
      </c>
    </row>
    <row r="596" spans="1:15" x14ac:dyDescent="0.25">
      <c r="A596" t="s">
        <v>1299</v>
      </c>
      <c r="B596">
        <v>49</v>
      </c>
      <c r="C596" t="s">
        <v>1287</v>
      </c>
      <c r="D596" s="609">
        <v>45114</v>
      </c>
      <c r="E596">
        <v>0</v>
      </c>
      <c r="F596">
        <v>6</v>
      </c>
      <c r="G596" t="s">
        <v>339</v>
      </c>
      <c r="H596" t="s">
        <v>1303</v>
      </c>
      <c r="I596" t="s">
        <v>393</v>
      </c>
      <c r="J596">
        <v>60000</v>
      </c>
      <c r="K596" t="s">
        <v>394</v>
      </c>
      <c r="L596">
        <v>2802.3999950000002</v>
      </c>
      <c r="M596">
        <v>21.410219849789858</v>
      </c>
      <c r="N596" t="s">
        <v>395</v>
      </c>
      <c r="O596">
        <v>0</v>
      </c>
    </row>
    <row r="597" spans="1:15" x14ac:dyDescent="0.25">
      <c r="A597" t="s">
        <v>1299</v>
      </c>
      <c r="B597">
        <v>49</v>
      </c>
      <c r="C597" t="s">
        <v>1287</v>
      </c>
      <c r="D597" s="609">
        <v>45114</v>
      </c>
      <c r="E597">
        <v>0</v>
      </c>
      <c r="F597">
        <v>6</v>
      </c>
      <c r="G597" t="s">
        <v>340</v>
      </c>
      <c r="H597" t="s">
        <v>1304</v>
      </c>
      <c r="I597" t="s">
        <v>393</v>
      </c>
      <c r="J597">
        <v>29495</v>
      </c>
      <c r="K597" t="s">
        <v>394</v>
      </c>
      <c r="L597">
        <v>2802.3999950000002</v>
      </c>
      <c r="M597">
        <v>10.524907241159196</v>
      </c>
      <c r="N597" t="s">
        <v>395</v>
      </c>
      <c r="O597">
        <v>0</v>
      </c>
    </row>
    <row r="598" spans="1:15" x14ac:dyDescent="0.25">
      <c r="A598" t="s">
        <v>1305</v>
      </c>
      <c r="B598">
        <v>50</v>
      </c>
      <c r="C598" t="s">
        <v>1287</v>
      </c>
      <c r="D598" s="609">
        <v>45113</v>
      </c>
      <c r="E598">
        <v>0</v>
      </c>
      <c r="F598">
        <v>6</v>
      </c>
      <c r="G598" t="s">
        <v>1306</v>
      </c>
      <c r="H598" t="s">
        <v>1307</v>
      </c>
      <c r="I598" t="s">
        <v>393</v>
      </c>
      <c r="J598">
        <v>84500</v>
      </c>
      <c r="K598" t="s">
        <v>394</v>
      </c>
      <c r="L598">
        <v>2802.3999950000002</v>
      </c>
      <c r="M598">
        <v>30.152726288454048</v>
      </c>
      <c r="N598" t="s">
        <v>395</v>
      </c>
      <c r="O598">
        <v>0</v>
      </c>
    </row>
    <row r="599" spans="1:15" x14ac:dyDescent="0.25">
      <c r="A599" t="s">
        <v>1308</v>
      </c>
      <c r="B599">
        <v>51</v>
      </c>
      <c r="C599" t="s">
        <v>1287</v>
      </c>
      <c r="D599" s="609">
        <v>45135</v>
      </c>
      <c r="E599">
        <v>0</v>
      </c>
      <c r="F599">
        <v>6</v>
      </c>
      <c r="G599" t="s">
        <v>336</v>
      </c>
      <c r="H599" t="s">
        <v>1309</v>
      </c>
      <c r="I599" t="s">
        <v>393</v>
      </c>
      <c r="J599">
        <v>150000</v>
      </c>
      <c r="K599" t="s">
        <v>394</v>
      </c>
      <c r="L599">
        <v>2802.3999950000002</v>
      </c>
      <c r="M599">
        <v>53.525549624474642</v>
      </c>
      <c r="N599" t="s">
        <v>395</v>
      </c>
      <c r="O599">
        <v>0</v>
      </c>
    </row>
    <row r="600" spans="1:15" x14ac:dyDescent="0.25">
      <c r="A600" t="s">
        <v>737</v>
      </c>
      <c r="B600">
        <v>52</v>
      </c>
      <c r="C600" t="s">
        <v>1287</v>
      </c>
      <c r="D600" s="609">
        <v>45138</v>
      </c>
      <c r="E600">
        <v>0</v>
      </c>
      <c r="F600">
        <v>6</v>
      </c>
      <c r="G600" t="s">
        <v>342</v>
      </c>
      <c r="H600" t="s">
        <v>1310</v>
      </c>
      <c r="I600" t="s">
        <v>393</v>
      </c>
      <c r="J600">
        <v>3000</v>
      </c>
      <c r="K600" t="s">
        <v>394</v>
      </c>
      <c r="L600">
        <v>2802.3999950000002</v>
      </c>
      <c r="M600">
        <v>1.0705109924894929</v>
      </c>
      <c r="N600" t="s">
        <v>395</v>
      </c>
      <c r="O600">
        <v>0</v>
      </c>
    </row>
    <row r="601" spans="1:15" x14ac:dyDescent="0.25">
      <c r="A601" t="s">
        <v>1311</v>
      </c>
      <c r="B601">
        <v>60</v>
      </c>
      <c r="C601" t="s">
        <v>997</v>
      </c>
      <c r="D601" s="609">
        <v>45169</v>
      </c>
      <c r="E601">
        <v>0</v>
      </c>
      <c r="F601">
        <v>6</v>
      </c>
      <c r="G601" t="s">
        <v>312</v>
      </c>
      <c r="H601" t="s">
        <v>1312</v>
      </c>
      <c r="I601" t="s">
        <v>393</v>
      </c>
      <c r="J601">
        <v>382766.2</v>
      </c>
      <c r="K601" t="s">
        <v>394</v>
      </c>
      <c r="L601">
        <v>2802.3999950000002</v>
      </c>
      <c r="M601">
        <v>136.58514155114392</v>
      </c>
      <c r="N601" t="s">
        <v>395</v>
      </c>
      <c r="O601">
        <v>0</v>
      </c>
    </row>
    <row r="602" spans="1:15" x14ac:dyDescent="0.25">
      <c r="A602" t="s">
        <v>1311</v>
      </c>
      <c r="B602">
        <v>60</v>
      </c>
      <c r="C602" t="s">
        <v>997</v>
      </c>
      <c r="D602" s="609">
        <v>45169</v>
      </c>
      <c r="E602">
        <v>0</v>
      </c>
      <c r="F602">
        <v>6</v>
      </c>
      <c r="G602" t="s">
        <v>313</v>
      </c>
      <c r="H602" t="s">
        <v>1313</v>
      </c>
      <c r="I602" t="s">
        <v>393</v>
      </c>
      <c r="J602">
        <v>113992.3</v>
      </c>
      <c r="K602" t="s">
        <v>394</v>
      </c>
      <c r="L602">
        <v>2802.3999950000002</v>
      </c>
      <c r="M602">
        <v>40.676670069720004</v>
      </c>
      <c r="N602" t="s">
        <v>395</v>
      </c>
      <c r="O602">
        <v>0</v>
      </c>
    </row>
    <row r="603" spans="1:15" x14ac:dyDescent="0.25">
      <c r="A603" t="s">
        <v>1311</v>
      </c>
      <c r="B603">
        <v>60</v>
      </c>
      <c r="C603" t="s">
        <v>997</v>
      </c>
      <c r="D603" s="609">
        <v>45169</v>
      </c>
      <c r="E603">
        <v>0</v>
      </c>
      <c r="F603">
        <v>6</v>
      </c>
      <c r="G603" t="s">
        <v>314</v>
      </c>
      <c r="H603" t="s">
        <v>1314</v>
      </c>
      <c r="I603" t="s">
        <v>393</v>
      </c>
      <c r="J603">
        <v>183146.6</v>
      </c>
      <c r="K603" t="s">
        <v>394</v>
      </c>
      <c r="L603">
        <v>2802.3999950000002</v>
      </c>
      <c r="M603">
        <v>65.353482845692056</v>
      </c>
      <c r="N603" t="s">
        <v>395</v>
      </c>
      <c r="O603">
        <v>0</v>
      </c>
    </row>
    <row r="604" spans="1:15" x14ac:dyDescent="0.25">
      <c r="A604" t="s">
        <v>1311</v>
      </c>
      <c r="B604">
        <v>60</v>
      </c>
      <c r="C604" t="s">
        <v>997</v>
      </c>
      <c r="D604" s="609">
        <v>45169</v>
      </c>
      <c r="E604">
        <v>0</v>
      </c>
      <c r="F604">
        <v>6</v>
      </c>
      <c r="G604" t="s">
        <v>315</v>
      </c>
      <c r="H604" t="s">
        <v>1315</v>
      </c>
      <c r="I604" t="s">
        <v>393</v>
      </c>
      <c r="J604">
        <v>133403.6</v>
      </c>
      <c r="K604" t="s">
        <v>394</v>
      </c>
      <c r="L604">
        <v>2802.3999950000002</v>
      </c>
      <c r="M604">
        <v>47.60334007922377</v>
      </c>
      <c r="N604" t="s">
        <v>395</v>
      </c>
      <c r="O604">
        <v>0</v>
      </c>
    </row>
    <row r="605" spans="1:15" x14ac:dyDescent="0.25">
      <c r="A605" t="s">
        <v>1311</v>
      </c>
      <c r="B605">
        <v>60</v>
      </c>
      <c r="C605" t="s">
        <v>997</v>
      </c>
      <c r="D605" s="609">
        <v>45169</v>
      </c>
      <c r="E605">
        <v>0</v>
      </c>
      <c r="F605">
        <v>6</v>
      </c>
      <c r="G605" t="s">
        <v>316</v>
      </c>
      <c r="H605" t="s">
        <v>1316</v>
      </c>
      <c r="I605" t="s">
        <v>393</v>
      </c>
      <c r="J605">
        <v>345468.5</v>
      </c>
      <c r="K605" t="s">
        <v>394</v>
      </c>
      <c r="L605">
        <v>2802.3999950000002</v>
      </c>
      <c r="M605">
        <v>123.27594226961878</v>
      </c>
      <c r="N605" t="s">
        <v>395</v>
      </c>
      <c r="O605">
        <v>0</v>
      </c>
    </row>
    <row r="606" spans="1:15" x14ac:dyDescent="0.25">
      <c r="A606" t="s">
        <v>1311</v>
      </c>
      <c r="B606">
        <v>60</v>
      </c>
      <c r="C606" t="s">
        <v>997</v>
      </c>
      <c r="D606" s="609">
        <v>45169</v>
      </c>
      <c r="E606">
        <v>0</v>
      </c>
      <c r="F606">
        <v>6</v>
      </c>
      <c r="G606" t="s">
        <v>317</v>
      </c>
      <c r="H606" t="s">
        <v>1317</v>
      </c>
      <c r="I606" t="s">
        <v>393</v>
      </c>
      <c r="J606">
        <v>1509204</v>
      </c>
      <c r="K606" t="s">
        <v>394</v>
      </c>
      <c r="L606">
        <v>2802.3999950000002</v>
      </c>
      <c r="M606">
        <v>538.53982396970423</v>
      </c>
      <c r="N606" t="s">
        <v>395</v>
      </c>
      <c r="O606">
        <v>0</v>
      </c>
    </row>
    <row r="607" spans="1:15" x14ac:dyDescent="0.25">
      <c r="A607" t="s">
        <v>1318</v>
      </c>
      <c r="B607">
        <v>61</v>
      </c>
      <c r="C607" t="s">
        <v>997</v>
      </c>
      <c r="D607" s="609">
        <v>45169</v>
      </c>
      <c r="E607">
        <v>0</v>
      </c>
      <c r="F607">
        <v>6</v>
      </c>
      <c r="G607" t="s">
        <v>335</v>
      </c>
      <c r="H607" t="s">
        <v>1319</v>
      </c>
      <c r="I607" t="s">
        <v>393</v>
      </c>
      <c r="J607">
        <v>200000</v>
      </c>
      <c r="K607" t="s">
        <v>394</v>
      </c>
      <c r="L607">
        <v>2802.3999950000002</v>
      </c>
      <c r="M607">
        <v>71.367399499299523</v>
      </c>
      <c r="N607" t="s">
        <v>395</v>
      </c>
      <c r="O607">
        <v>0</v>
      </c>
    </row>
    <row r="608" spans="1:15" x14ac:dyDescent="0.25">
      <c r="A608" t="s">
        <v>1318</v>
      </c>
      <c r="B608">
        <v>61</v>
      </c>
      <c r="C608" t="s">
        <v>997</v>
      </c>
      <c r="D608" s="609">
        <v>45169</v>
      </c>
      <c r="E608">
        <v>0</v>
      </c>
      <c r="F608">
        <v>6</v>
      </c>
      <c r="G608" t="s">
        <v>337</v>
      </c>
      <c r="H608" t="s">
        <v>1320</v>
      </c>
      <c r="I608" t="s">
        <v>393</v>
      </c>
      <c r="J608">
        <v>30000</v>
      </c>
      <c r="K608" t="s">
        <v>394</v>
      </c>
      <c r="L608">
        <v>2802.3999950000002</v>
      </c>
      <c r="M608">
        <v>10.705109924894929</v>
      </c>
      <c r="N608" t="s">
        <v>395</v>
      </c>
      <c r="O608">
        <v>0</v>
      </c>
    </row>
    <row r="609" spans="1:15" x14ac:dyDescent="0.25">
      <c r="A609" t="s">
        <v>1318</v>
      </c>
      <c r="B609">
        <v>61</v>
      </c>
      <c r="C609" t="s">
        <v>997</v>
      </c>
      <c r="D609" s="609">
        <v>45169</v>
      </c>
      <c r="E609">
        <v>0</v>
      </c>
      <c r="F609">
        <v>6</v>
      </c>
      <c r="G609" t="s">
        <v>338</v>
      </c>
      <c r="H609" t="s">
        <v>1321</v>
      </c>
      <c r="I609" t="s">
        <v>393</v>
      </c>
      <c r="J609">
        <v>70000</v>
      </c>
      <c r="K609" t="s">
        <v>394</v>
      </c>
      <c r="L609">
        <v>2802.3999950000002</v>
      </c>
      <c r="M609">
        <v>24.978589824754835</v>
      </c>
      <c r="N609" t="s">
        <v>395</v>
      </c>
      <c r="O609">
        <v>0</v>
      </c>
    </row>
    <row r="610" spans="1:15" x14ac:dyDescent="0.25">
      <c r="A610" t="s">
        <v>1318</v>
      </c>
      <c r="B610">
        <v>61</v>
      </c>
      <c r="C610" t="s">
        <v>997</v>
      </c>
      <c r="D610" s="609">
        <v>45169</v>
      </c>
      <c r="E610">
        <v>0</v>
      </c>
      <c r="F610">
        <v>6</v>
      </c>
      <c r="G610" t="s">
        <v>339</v>
      </c>
      <c r="H610" t="s">
        <v>1322</v>
      </c>
      <c r="I610" t="s">
        <v>393</v>
      </c>
      <c r="J610">
        <v>60000</v>
      </c>
      <c r="K610" t="s">
        <v>394</v>
      </c>
      <c r="L610">
        <v>2802.3999950000002</v>
      </c>
      <c r="M610">
        <v>21.410219849789858</v>
      </c>
      <c r="N610" t="s">
        <v>395</v>
      </c>
      <c r="O610">
        <v>0</v>
      </c>
    </row>
    <row r="611" spans="1:15" x14ac:dyDescent="0.25">
      <c r="A611" t="s">
        <v>1318</v>
      </c>
      <c r="B611">
        <v>61</v>
      </c>
      <c r="C611" t="s">
        <v>997</v>
      </c>
      <c r="D611" s="609">
        <v>45169</v>
      </c>
      <c r="E611">
        <v>0</v>
      </c>
      <c r="F611">
        <v>6</v>
      </c>
      <c r="G611" t="s">
        <v>340</v>
      </c>
      <c r="H611" t="s">
        <v>1323</v>
      </c>
      <c r="I611" t="s">
        <v>393</v>
      </c>
      <c r="J611">
        <v>29495</v>
      </c>
      <c r="K611" t="s">
        <v>394</v>
      </c>
      <c r="L611">
        <v>2802.3999950000002</v>
      </c>
      <c r="M611">
        <v>10.524907241159196</v>
      </c>
      <c r="N611" t="s">
        <v>395</v>
      </c>
      <c r="O611">
        <v>0</v>
      </c>
    </row>
    <row r="612" spans="1:15" x14ac:dyDescent="0.25">
      <c r="A612" t="s">
        <v>1324</v>
      </c>
      <c r="B612">
        <v>62</v>
      </c>
      <c r="C612" t="s">
        <v>997</v>
      </c>
      <c r="D612" s="609">
        <v>45169</v>
      </c>
      <c r="E612">
        <v>0</v>
      </c>
      <c r="F612">
        <v>6</v>
      </c>
      <c r="G612" t="s">
        <v>336</v>
      </c>
      <c r="H612" t="s">
        <v>1309</v>
      </c>
      <c r="I612" t="s">
        <v>393</v>
      </c>
      <c r="J612">
        <v>150000</v>
      </c>
      <c r="K612" t="s">
        <v>394</v>
      </c>
      <c r="L612">
        <v>2802.3999950000002</v>
      </c>
      <c r="M612">
        <v>53.525549624474642</v>
      </c>
      <c r="N612" t="s">
        <v>395</v>
      </c>
      <c r="O612">
        <v>0</v>
      </c>
    </row>
    <row r="613" spans="1:15" x14ac:dyDescent="0.25">
      <c r="A613" t="s">
        <v>1325</v>
      </c>
      <c r="B613">
        <v>63</v>
      </c>
      <c r="C613" t="s">
        <v>997</v>
      </c>
      <c r="D613" s="609">
        <v>45169</v>
      </c>
      <c r="E613">
        <v>0</v>
      </c>
      <c r="F613">
        <v>6</v>
      </c>
      <c r="G613" t="s">
        <v>1326</v>
      </c>
      <c r="H613" t="s">
        <v>1327</v>
      </c>
      <c r="I613" t="s">
        <v>393</v>
      </c>
      <c r="J613">
        <v>133958</v>
      </c>
      <c r="K613" t="s">
        <v>394</v>
      </c>
      <c r="L613">
        <v>2802.3999950000002</v>
      </c>
      <c r="M613">
        <v>47.801170510635828</v>
      </c>
      <c r="N613" t="s">
        <v>395</v>
      </c>
      <c r="O613">
        <v>0</v>
      </c>
    </row>
    <row r="614" spans="1:15" x14ac:dyDescent="0.25">
      <c r="A614" t="s">
        <v>1328</v>
      </c>
      <c r="B614">
        <v>64</v>
      </c>
      <c r="C614" t="s">
        <v>997</v>
      </c>
      <c r="D614" s="609">
        <v>45169</v>
      </c>
      <c r="E614">
        <v>0</v>
      </c>
      <c r="F614">
        <v>6</v>
      </c>
      <c r="G614" t="s">
        <v>1326</v>
      </c>
      <c r="H614" t="s">
        <v>1327</v>
      </c>
      <c r="I614" t="s">
        <v>393</v>
      </c>
      <c r="J614">
        <v>16042</v>
      </c>
      <c r="K614" t="s">
        <v>394</v>
      </c>
      <c r="L614">
        <v>2802.3999950000002</v>
      </c>
      <c r="M614">
        <v>5.7243791138388147</v>
      </c>
      <c r="N614" t="s">
        <v>395</v>
      </c>
      <c r="O614">
        <v>0</v>
      </c>
    </row>
    <row r="615" spans="1:15" x14ac:dyDescent="0.25">
      <c r="A615" t="s">
        <v>1305</v>
      </c>
      <c r="B615">
        <v>65</v>
      </c>
      <c r="C615" t="s">
        <v>997</v>
      </c>
      <c r="D615" s="609">
        <v>45113</v>
      </c>
      <c r="E615">
        <v>0</v>
      </c>
      <c r="F615">
        <v>6</v>
      </c>
      <c r="G615" t="s">
        <v>1306</v>
      </c>
      <c r="H615" t="s">
        <v>1307</v>
      </c>
      <c r="I615" t="s">
        <v>393</v>
      </c>
      <c r="J615">
        <v>91000</v>
      </c>
      <c r="K615" t="s">
        <v>394</v>
      </c>
      <c r="L615">
        <v>2802.3999950000002</v>
      </c>
      <c r="M615">
        <v>32.472166772181282</v>
      </c>
      <c r="N615" t="s">
        <v>395</v>
      </c>
      <c r="O615">
        <v>0</v>
      </c>
    </row>
    <row r="616" spans="1:15" x14ac:dyDescent="0.25">
      <c r="A616" t="s">
        <v>737</v>
      </c>
      <c r="B616">
        <v>67</v>
      </c>
      <c r="C616" t="s">
        <v>997</v>
      </c>
      <c r="D616" s="609">
        <v>45169</v>
      </c>
      <c r="E616">
        <v>0</v>
      </c>
      <c r="F616">
        <v>6</v>
      </c>
      <c r="G616" t="s">
        <v>342</v>
      </c>
      <c r="H616" t="s">
        <v>1310</v>
      </c>
      <c r="I616" t="s">
        <v>393</v>
      </c>
      <c r="J616">
        <v>3000</v>
      </c>
      <c r="K616" t="s">
        <v>394</v>
      </c>
      <c r="L616">
        <v>2802.3999950000002</v>
      </c>
      <c r="M616">
        <v>1.0705109924894929</v>
      </c>
      <c r="N616" t="s">
        <v>395</v>
      </c>
      <c r="O616">
        <v>0</v>
      </c>
    </row>
    <row r="617" spans="1:15" x14ac:dyDescent="0.25">
      <c r="A617" t="s">
        <v>1329</v>
      </c>
      <c r="B617">
        <v>86</v>
      </c>
      <c r="C617" t="s">
        <v>1330</v>
      </c>
      <c r="D617" s="609">
        <v>45204</v>
      </c>
      <c r="E617">
        <v>0</v>
      </c>
      <c r="F617">
        <v>6</v>
      </c>
      <c r="G617" t="s">
        <v>312</v>
      </c>
      <c r="H617" t="s">
        <v>1331</v>
      </c>
      <c r="I617" t="s">
        <v>393</v>
      </c>
      <c r="J617">
        <v>382766.2</v>
      </c>
      <c r="K617" t="s">
        <v>394</v>
      </c>
      <c r="L617">
        <v>2802.3999950000002</v>
      </c>
      <c r="M617">
        <v>136.58514155114392</v>
      </c>
      <c r="N617" t="s">
        <v>395</v>
      </c>
      <c r="O617">
        <v>0</v>
      </c>
    </row>
    <row r="618" spans="1:15" x14ac:dyDescent="0.25">
      <c r="A618" t="s">
        <v>1329</v>
      </c>
      <c r="B618">
        <v>86</v>
      </c>
      <c r="C618" t="s">
        <v>1330</v>
      </c>
      <c r="D618" s="609">
        <v>45204</v>
      </c>
      <c r="E618">
        <v>0</v>
      </c>
      <c r="F618">
        <v>6</v>
      </c>
      <c r="G618" t="s">
        <v>313</v>
      </c>
      <c r="H618" t="s">
        <v>1332</v>
      </c>
      <c r="I618" t="s">
        <v>393</v>
      </c>
      <c r="J618">
        <v>113992.3</v>
      </c>
      <c r="K618" t="s">
        <v>394</v>
      </c>
      <c r="L618">
        <v>2802.3999950000002</v>
      </c>
      <c r="M618">
        <v>40.676670069720004</v>
      </c>
      <c r="N618" t="s">
        <v>395</v>
      </c>
      <c r="O618">
        <v>0</v>
      </c>
    </row>
    <row r="619" spans="1:15" x14ac:dyDescent="0.25">
      <c r="A619" t="s">
        <v>1329</v>
      </c>
      <c r="B619">
        <v>86</v>
      </c>
      <c r="C619" t="s">
        <v>1330</v>
      </c>
      <c r="D619" s="609">
        <v>45204</v>
      </c>
      <c r="E619">
        <v>0</v>
      </c>
      <c r="F619">
        <v>6</v>
      </c>
      <c r="G619" t="s">
        <v>314</v>
      </c>
      <c r="H619" t="s">
        <v>1333</v>
      </c>
      <c r="I619" t="s">
        <v>393</v>
      </c>
      <c r="J619">
        <v>183146.6</v>
      </c>
      <c r="K619" t="s">
        <v>394</v>
      </c>
      <c r="L619">
        <v>2802.3999950000002</v>
      </c>
      <c r="M619">
        <v>65.353482845692056</v>
      </c>
      <c r="N619" t="s">
        <v>395</v>
      </c>
      <c r="O619">
        <v>0</v>
      </c>
    </row>
    <row r="620" spans="1:15" x14ac:dyDescent="0.25">
      <c r="A620" t="s">
        <v>1329</v>
      </c>
      <c r="B620">
        <v>86</v>
      </c>
      <c r="C620" t="s">
        <v>1330</v>
      </c>
      <c r="D620" s="609">
        <v>45204</v>
      </c>
      <c r="E620">
        <v>0</v>
      </c>
      <c r="F620">
        <v>6</v>
      </c>
      <c r="G620" t="s">
        <v>315</v>
      </c>
      <c r="H620" t="s">
        <v>1334</v>
      </c>
      <c r="I620" t="s">
        <v>393</v>
      </c>
      <c r="J620">
        <v>133403.6</v>
      </c>
      <c r="K620" t="s">
        <v>394</v>
      </c>
      <c r="L620">
        <v>2802.3999950000002</v>
      </c>
      <c r="M620">
        <v>47.60334007922377</v>
      </c>
      <c r="N620" t="s">
        <v>395</v>
      </c>
      <c r="O620">
        <v>0</v>
      </c>
    </row>
    <row r="621" spans="1:15" x14ac:dyDescent="0.25">
      <c r="A621" t="s">
        <v>1329</v>
      </c>
      <c r="B621">
        <v>86</v>
      </c>
      <c r="C621" t="s">
        <v>1330</v>
      </c>
      <c r="D621" s="609">
        <v>45204</v>
      </c>
      <c r="E621">
        <v>0</v>
      </c>
      <c r="F621">
        <v>6</v>
      </c>
      <c r="G621" t="s">
        <v>316</v>
      </c>
      <c r="H621" t="s">
        <v>1335</v>
      </c>
      <c r="I621" t="s">
        <v>393</v>
      </c>
      <c r="J621">
        <v>345468.5</v>
      </c>
      <c r="K621" t="s">
        <v>394</v>
      </c>
      <c r="L621">
        <v>2802.3999950000002</v>
      </c>
      <c r="M621">
        <v>123.27594226961878</v>
      </c>
      <c r="N621" t="s">
        <v>395</v>
      </c>
      <c r="O621">
        <v>0</v>
      </c>
    </row>
    <row r="622" spans="1:15" x14ac:dyDescent="0.25">
      <c r="A622" t="s">
        <v>1329</v>
      </c>
      <c r="B622">
        <v>86</v>
      </c>
      <c r="C622" t="s">
        <v>1330</v>
      </c>
      <c r="D622" s="609">
        <v>45204</v>
      </c>
      <c r="E622">
        <v>0</v>
      </c>
      <c r="F622">
        <v>6</v>
      </c>
      <c r="G622" t="s">
        <v>317</v>
      </c>
      <c r="H622" t="s">
        <v>1336</v>
      </c>
      <c r="I622" t="s">
        <v>393</v>
      </c>
      <c r="J622">
        <v>1509203</v>
      </c>
      <c r="K622" t="s">
        <v>394</v>
      </c>
      <c r="L622">
        <v>2802.3999950000002</v>
      </c>
      <c r="M622">
        <v>538.5394671327067</v>
      </c>
      <c r="N622" t="s">
        <v>395</v>
      </c>
      <c r="O622">
        <v>0</v>
      </c>
    </row>
    <row r="623" spans="1:15" x14ac:dyDescent="0.25">
      <c r="A623" t="s">
        <v>1337</v>
      </c>
      <c r="B623">
        <v>87</v>
      </c>
      <c r="C623" t="s">
        <v>1330</v>
      </c>
      <c r="D623" s="609">
        <v>45188</v>
      </c>
      <c r="E623">
        <v>0</v>
      </c>
      <c r="F623">
        <v>6</v>
      </c>
      <c r="G623" t="s">
        <v>335</v>
      </c>
      <c r="H623" t="s">
        <v>1338</v>
      </c>
      <c r="I623" t="s">
        <v>393</v>
      </c>
      <c r="J623">
        <v>200000</v>
      </c>
      <c r="K623" t="s">
        <v>394</v>
      </c>
      <c r="L623">
        <v>2802.3999950000002</v>
      </c>
      <c r="M623">
        <v>71.367399499299523</v>
      </c>
      <c r="N623" t="s">
        <v>395</v>
      </c>
      <c r="O623">
        <v>0</v>
      </c>
    </row>
    <row r="624" spans="1:15" x14ac:dyDescent="0.25">
      <c r="A624" t="s">
        <v>1337</v>
      </c>
      <c r="B624">
        <v>88</v>
      </c>
      <c r="C624" t="s">
        <v>1330</v>
      </c>
      <c r="D624" s="609">
        <v>45188</v>
      </c>
      <c r="E624">
        <v>0</v>
      </c>
      <c r="F624">
        <v>6</v>
      </c>
      <c r="G624" t="s">
        <v>337</v>
      </c>
      <c r="H624" t="s">
        <v>1339</v>
      </c>
      <c r="I624" t="s">
        <v>393</v>
      </c>
      <c r="J624">
        <v>30000</v>
      </c>
      <c r="K624" t="s">
        <v>394</v>
      </c>
      <c r="L624">
        <v>2802.3999950000002</v>
      </c>
      <c r="M624">
        <v>10.705109924894929</v>
      </c>
      <c r="N624" t="s">
        <v>395</v>
      </c>
      <c r="O624">
        <v>0</v>
      </c>
    </row>
    <row r="625" spans="1:15" x14ac:dyDescent="0.25">
      <c r="A625" t="s">
        <v>1337</v>
      </c>
      <c r="B625">
        <v>89</v>
      </c>
      <c r="C625" t="s">
        <v>1330</v>
      </c>
      <c r="D625" s="609">
        <v>45188</v>
      </c>
      <c r="E625">
        <v>0</v>
      </c>
      <c r="F625">
        <v>6</v>
      </c>
      <c r="G625" t="s">
        <v>338</v>
      </c>
      <c r="H625" t="s">
        <v>1340</v>
      </c>
      <c r="I625" t="s">
        <v>393</v>
      </c>
      <c r="J625">
        <v>90000</v>
      </c>
      <c r="K625" t="s">
        <v>394</v>
      </c>
      <c r="L625">
        <v>2802.3999950000002</v>
      </c>
      <c r="M625">
        <v>32.115329774684788</v>
      </c>
      <c r="N625" t="s">
        <v>395</v>
      </c>
      <c r="O625">
        <v>0</v>
      </c>
    </row>
    <row r="626" spans="1:15" x14ac:dyDescent="0.25">
      <c r="A626" t="s">
        <v>1337</v>
      </c>
      <c r="B626">
        <v>90</v>
      </c>
      <c r="C626" t="s">
        <v>1330</v>
      </c>
      <c r="D626" s="609">
        <v>45188</v>
      </c>
      <c r="E626">
        <v>0</v>
      </c>
      <c r="F626">
        <v>6</v>
      </c>
      <c r="G626" t="s">
        <v>339</v>
      </c>
      <c r="H626" t="s">
        <v>1341</v>
      </c>
      <c r="I626" t="s">
        <v>393</v>
      </c>
      <c r="J626">
        <v>60000</v>
      </c>
      <c r="K626" t="s">
        <v>394</v>
      </c>
      <c r="L626">
        <v>2802.3999950000002</v>
      </c>
      <c r="M626">
        <v>21.410219849789858</v>
      </c>
      <c r="N626" t="s">
        <v>395</v>
      </c>
      <c r="O626">
        <v>0</v>
      </c>
    </row>
    <row r="627" spans="1:15" x14ac:dyDescent="0.25">
      <c r="A627" t="s">
        <v>1337</v>
      </c>
      <c r="B627">
        <v>91</v>
      </c>
      <c r="C627" t="s">
        <v>1330</v>
      </c>
      <c r="D627" s="609">
        <v>45188</v>
      </c>
      <c r="E627">
        <v>0</v>
      </c>
      <c r="F627">
        <v>6</v>
      </c>
      <c r="G627" t="s">
        <v>340</v>
      </c>
      <c r="H627" t="s">
        <v>1342</v>
      </c>
      <c r="I627" t="s">
        <v>393</v>
      </c>
      <c r="J627">
        <v>29495</v>
      </c>
      <c r="K627" t="s">
        <v>394</v>
      </c>
      <c r="L627">
        <v>2802.3999950000002</v>
      </c>
      <c r="M627">
        <v>10.524907241159196</v>
      </c>
      <c r="N627" t="s">
        <v>395</v>
      </c>
      <c r="O627">
        <v>0</v>
      </c>
    </row>
    <row r="628" spans="1:15" x14ac:dyDescent="0.25">
      <c r="A628" t="s">
        <v>1343</v>
      </c>
      <c r="B628">
        <v>92</v>
      </c>
      <c r="C628" t="s">
        <v>1330</v>
      </c>
      <c r="D628" s="609">
        <v>45170</v>
      </c>
      <c r="E628">
        <v>0</v>
      </c>
      <c r="F628">
        <v>6</v>
      </c>
      <c r="G628" t="s">
        <v>1306</v>
      </c>
      <c r="H628" t="s">
        <v>1307</v>
      </c>
      <c r="I628" t="s">
        <v>393</v>
      </c>
      <c r="J628">
        <v>80500</v>
      </c>
      <c r="K628" t="s">
        <v>394</v>
      </c>
      <c r="L628">
        <v>2802.3999950000002</v>
      </c>
      <c r="M628">
        <v>28.725378298468058</v>
      </c>
      <c r="N628" t="s">
        <v>395</v>
      </c>
      <c r="O628">
        <v>0</v>
      </c>
    </row>
    <row r="629" spans="1:15" x14ac:dyDescent="0.25">
      <c r="A629" t="s">
        <v>1344</v>
      </c>
      <c r="B629">
        <v>92</v>
      </c>
      <c r="C629" t="s">
        <v>1330</v>
      </c>
      <c r="D629" s="609">
        <v>45187</v>
      </c>
      <c r="E629">
        <v>0</v>
      </c>
      <c r="F629">
        <v>6</v>
      </c>
      <c r="G629" t="s">
        <v>1306</v>
      </c>
      <c r="H629" t="s">
        <v>1307</v>
      </c>
      <c r="I629" t="s">
        <v>393</v>
      </c>
      <c r="J629">
        <v>70500</v>
      </c>
      <c r="K629" t="s">
        <v>394</v>
      </c>
      <c r="L629">
        <v>2802.3999950000002</v>
      </c>
      <c r="M629">
        <v>25.157008323503081</v>
      </c>
      <c r="N629" t="s">
        <v>395</v>
      </c>
      <c r="O629">
        <v>0</v>
      </c>
    </row>
    <row r="630" spans="1:15" x14ac:dyDescent="0.25">
      <c r="A630" t="s">
        <v>1345</v>
      </c>
      <c r="B630">
        <v>93</v>
      </c>
      <c r="C630" t="s">
        <v>1330</v>
      </c>
      <c r="D630" s="609">
        <v>45204</v>
      </c>
      <c r="E630">
        <v>0</v>
      </c>
      <c r="F630">
        <v>6</v>
      </c>
      <c r="G630" t="s">
        <v>336</v>
      </c>
      <c r="H630" t="s">
        <v>1346</v>
      </c>
      <c r="I630" t="s">
        <v>393</v>
      </c>
      <c r="J630">
        <v>150000</v>
      </c>
      <c r="K630" t="s">
        <v>394</v>
      </c>
      <c r="L630">
        <v>2802.3999950000002</v>
      </c>
      <c r="M630">
        <v>53.525549624474642</v>
      </c>
      <c r="N630" t="s">
        <v>395</v>
      </c>
      <c r="O630">
        <v>0</v>
      </c>
    </row>
    <row r="631" spans="1:15" x14ac:dyDescent="0.25">
      <c r="A631" t="s">
        <v>1347</v>
      </c>
      <c r="B631">
        <v>94</v>
      </c>
      <c r="C631" t="s">
        <v>1330</v>
      </c>
      <c r="D631" s="609">
        <v>45204</v>
      </c>
      <c r="E631">
        <v>0</v>
      </c>
      <c r="F631">
        <v>6</v>
      </c>
      <c r="G631" t="s">
        <v>1326</v>
      </c>
      <c r="H631" t="s">
        <v>1348</v>
      </c>
      <c r="I631" t="s">
        <v>393</v>
      </c>
      <c r="J631">
        <v>93958</v>
      </c>
      <c r="K631" t="s">
        <v>394</v>
      </c>
      <c r="L631">
        <v>2802.3999950000002</v>
      </c>
      <c r="M631">
        <v>33.52769061077592</v>
      </c>
      <c r="N631" t="s">
        <v>395</v>
      </c>
      <c r="O631">
        <v>0</v>
      </c>
    </row>
    <row r="632" spans="1:15" x14ac:dyDescent="0.25">
      <c r="A632" t="s">
        <v>1349</v>
      </c>
      <c r="B632">
        <v>95</v>
      </c>
      <c r="C632" t="s">
        <v>1330</v>
      </c>
      <c r="D632" s="609">
        <v>45204</v>
      </c>
      <c r="E632">
        <v>0</v>
      </c>
      <c r="F632">
        <v>6</v>
      </c>
      <c r="G632" t="s">
        <v>1326</v>
      </c>
      <c r="H632" t="s">
        <v>1348</v>
      </c>
      <c r="I632" t="s">
        <v>393</v>
      </c>
      <c r="J632">
        <v>16042</v>
      </c>
      <c r="K632" t="s">
        <v>394</v>
      </c>
      <c r="L632">
        <v>2802.3999950000002</v>
      </c>
      <c r="M632">
        <v>5.7243791138388147</v>
      </c>
      <c r="N632" t="s">
        <v>395</v>
      </c>
      <c r="O632">
        <v>0</v>
      </c>
    </row>
    <row r="633" spans="1:15" x14ac:dyDescent="0.25">
      <c r="A633" t="s">
        <v>1350</v>
      </c>
      <c r="B633">
        <v>96</v>
      </c>
      <c r="C633" t="s">
        <v>1330</v>
      </c>
      <c r="D633" s="609">
        <v>45204</v>
      </c>
      <c r="E633">
        <v>0</v>
      </c>
      <c r="F633">
        <v>6</v>
      </c>
      <c r="G633" t="s">
        <v>1326</v>
      </c>
      <c r="H633" t="s">
        <v>1348</v>
      </c>
      <c r="I633" t="s">
        <v>393</v>
      </c>
      <c r="J633">
        <v>40000</v>
      </c>
      <c r="K633" t="s">
        <v>394</v>
      </c>
      <c r="L633">
        <v>2802.3999950000002</v>
      </c>
      <c r="M633">
        <v>14.273479899859904</v>
      </c>
      <c r="N633" t="s">
        <v>395</v>
      </c>
      <c r="O633">
        <v>0</v>
      </c>
    </row>
    <row r="634" spans="1:15" x14ac:dyDescent="0.25">
      <c r="A634" t="s">
        <v>737</v>
      </c>
      <c r="B634">
        <v>97</v>
      </c>
      <c r="C634" t="s">
        <v>1330</v>
      </c>
      <c r="D634" s="609">
        <v>45199</v>
      </c>
      <c r="E634">
        <v>0</v>
      </c>
      <c r="F634">
        <v>6</v>
      </c>
      <c r="G634" t="s">
        <v>342</v>
      </c>
      <c r="H634" t="s">
        <v>1310</v>
      </c>
      <c r="I634" t="s">
        <v>393</v>
      </c>
      <c r="J634">
        <v>9900</v>
      </c>
      <c r="K634" t="s">
        <v>394</v>
      </c>
      <c r="L634">
        <v>2802.3999950000002</v>
      </c>
      <c r="M634">
        <v>3.5326862752153265</v>
      </c>
      <c r="N634" t="s">
        <v>395</v>
      </c>
      <c r="O634">
        <v>0</v>
      </c>
    </row>
    <row r="635" spans="1:15" x14ac:dyDescent="0.25">
      <c r="A635" t="s">
        <v>708</v>
      </c>
      <c r="B635">
        <v>22</v>
      </c>
      <c r="C635" s="609">
        <v>45078</v>
      </c>
      <c r="D635" t="s">
        <v>740</v>
      </c>
      <c r="E635">
        <v>0</v>
      </c>
      <c r="F635">
        <v>6</v>
      </c>
      <c r="G635" t="s">
        <v>347</v>
      </c>
      <c r="H635" t="s">
        <v>709</v>
      </c>
      <c r="I635" t="s">
        <v>393</v>
      </c>
      <c r="J635">
        <v>1500000</v>
      </c>
      <c r="K635" t="s">
        <v>394</v>
      </c>
      <c r="L635">
        <v>2801.6</v>
      </c>
      <c r="M635">
        <v>535.40833809251853</v>
      </c>
      <c r="N635" t="s">
        <v>395</v>
      </c>
      <c r="O635">
        <v>0</v>
      </c>
    </row>
    <row r="636" spans="1:15" x14ac:dyDescent="0.25">
      <c r="A636" t="s">
        <v>710</v>
      </c>
      <c r="B636">
        <v>23</v>
      </c>
      <c r="C636" s="609">
        <v>45078</v>
      </c>
      <c r="D636" s="609">
        <v>45103</v>
      </c>
      <c r="E636">
        <v>0</v>
      </c>
      <c r="F636">
        <v>6</v>
      </c>
      <c r="G636" t="s">
        <v>347</v>
      </c>
      <c r="H636" t="s">
        <v>349</v>
      </c>
      <c r="I636" t="s">
        <v>393</v>
      </c>
      <c r="J636">
        <v>180000</v>
      </c>
      <c r="K636" t="s">
        <v>394</v>
      </c>
      <c r="L636">
        <v>2801.6</v>
      </c>
      <c r="M636">
        <v>64.249000571102229</v>
      </c>
      <c r="N636" t="s">
        <v>395</v>
      </c>
      <c r="O636">
        <v>0</v>
      </c>
    </row>
    <row r="637" spans="1:15" x14ac:dyDescent="0.25">
      <c r="A637" t="s">
        <v>710</v>
      </c>
      <c r="B637">
        <v>23</v>
      </c>
      <c r="C637" s="609">
        <v>45078</v>
      </c>
      <c r="D637" s="609">
        <v>45103</v>
      </c>
      <c r="E637">
        <v>0</v>
      </c>
      <c r="F637">
        <v>6</v>
      </c>
      <c r="G637" t="s">
        <v>347</v>
      </c>
      <c r="H637" t="s">
        <v>348</v>
      </c>
      <c r="I637" t="s">
        <v>393</v>
      </c>
      <c r="J637">
        <v>60000</v>
      </c>
      <c r="K637" t="s">
        <v>394</v>
      </c>
      <c r="L637">
        <v>2801.6</v>
      </c>
      <c r="M637">
        <v>21.416333523700743</v>
      </c>
      <c r="N637" t="s">
        <v>395</v>
      </c>
      <c r="O637">
        <v>0</v>
      </c>
    </row>
    <row r="638" spans="1:15" x14ac:dyDescent="0.25">
      <c r="A638" t="s">
        <v>710</v>
      </c>
      <c r="B638">
        <v>23</v>
      </c>
      <c r="C638" s="609">
        <v>45078</v>
      </c>
      <c r="D638" s="609">
        <v>45103</v>
      </c>
      <c r="E638">
        <v>0</v>
      </c>
      <c r="F638">
        <v>6</v>
      </c>
      <c r="G638" t="s">
        <v>347</v>
      </c>
      <c r="H638" t="s">
        <v>352</v>
      </c>
      <c r="I638" t="s">
        <v>393</v>
      </c>
      <c r="J638">
        <v>720000</v>
      </c>
      <c r="K638" t="s">
        <v>394</v>
      </c>
      <c r="L638">
        <v>2801.6</v>
      </c>
      <c r="M638">
        <v>256.99600228440892</v>
      </c>
      <c r="N638" t="s">
        <v>395</v>
      </c>
      <c r="O638">
        <v>0</v>
      </c>
    </row>
    <row r="639" spans="1:15" x14ac:dyDescent="0.25">
      <c r="A639" t="s">
        <v>710</v>
      </c>
      <c r="B639">
        <v>23</v>
      </c>
      <c r="C639" s="609">
        <v>45078</v>
      </c>
      <c r="D639" s="609">
        <v>45103</v>
      </c>
      <c r="E639">
        <v>0</v>
      </c>
      <c r="F639">
        <v>6</v>
      </c>
      <c r="G639" t="s">
        <v>347</v>
      </c>
      <c r="H639" t="s">
        <v>350</v>
      </c>
      <c r="I639" t="s">
        <v>393</v>
      </c>
      <c r="J639">
        <v>720000</v>
      </c>
      <c r="K639" t="s">
        <v>394</v>
      </c>
      <c r="L639">
        <v>2801.6</v>
      </c>
      <c r="M639">
        <v>256.99600228440892</v>
      </c>
      <c r="N639" t="s">
        <v>395</v>
      </c>
      <c r="O639">
        <v>0</v>
      </c>
    </row>
    <row r="640" spans="1:15" x14ac:dyDescent="0.25">
      <c r="A640" t="s">
        <v>710</v>
      </c>
      <c r="B640">
        <v>23</v>
      </c>
      <c r="C640" s="609">
        <v>45078</v>
      </c>
      <c r="D640" s="609">
        <v>45103</v>
      </c>
      <c r="E640">
        <v>0</v>
      </c>
      <c r="F640">
        <v>6</v>
      </c>
      <c r="G640" t="s">
        <v>347</v>
      </c>
      <c r="H640" t="s">
        <v>711</v>
      </c>
      <c r="I640" t="s">
        <v>393</v>
      </c>
      <c r="J640">
        <v>1348740</v>
      </c>
      <c r="K640" t="s">
        <v>394</v>
      </c>
      <c r="L640">
        <v>2801.6</v>
      </c>
      <c r="M640">
        <v>481.41776127926903</v>
      </c>
      <c r="N640" t="s">
        <v>395</v>
      </c>
      <c r="O640">
        <v>0</v>
      </c>
    </row>
    <row r="641" spans="1:15" x14ac:dyDescent="0.25">
      <c r="A641" t="s">
        <v>741</v>
      </c>
      <c r="B641">
        <v>39</v>
      </c>
      <c r="C641" t="s">
        <v>713</v>
      </c>
      <c r="D641" s="609">
        <v>45099</v>
      </c>
      <c r="E641">
        <v>0</v>
      </c>
      <c r="F641">
        <v>6</v>
      </c>
      <c r="G641" t="s">
        <v>347</v>
      </c>
      <c r="H641" t="s">
        <v>348</v>
      </c>
      <c r="I641" t="s">
        <v>393</v>
      </c>
      <c r="J641">
        <v>110000</v>
      </c>
      <c r="K641" t="s">
        <v>394</v>
      </c>
      <c r="L641">
        <v>2802.3999950000002</v>
      </c>
      <c r="M641">
        <v>39.252069724614735</v>
      </c>
      <c r="N641" t="s">
        <v>395</v>
      </c>
      <c r="O641">
        <v>0</v>
      </c>
    </row>
    <row r="642" spans="1:15" x14ac:dyDescent="0.25">
      <c r="A642" t="s">
        <v>741</v>
      </c>
      <c r="B642">
        <v>40</v>
      </c>
      <c r="C642" t="s">
        <v>713</v>
      </c>
      <c r="D642" s="609">
        <v>45099</v>
      </c>
      <c r="E642">
        <v>0</v>
      </c>
      <c r="F642">
        <v>6</v>
      </c>
      <c r="G642" t="s">
        <v>347</v>
      </c>
      <c r="H642" t="s">
        <v>349</v>
      </c>
      <c r="I642" t="s">
        <v>393</v>
      </c>
      <c r="J642">
        <v>210000</v>
      </c>
      <c r="K642" t="s">
        <v>394</v>
      </c>
      <c r="L642">
        <v>2802.3999950000002</v>
      </c>
      <c r="M642">
        <v>74.935769474264504</v>
      </c>
      <c r="N642" t="s">
        <v>395</v>
      </c>
      <c r="O642">
        <v>0</v>
      </c>
    </row>
    <row r="643" spans="1:15" x14ac:dyDescent="0.25">
      <c r="A643" t="s">
        <v>741</v>
      </c>
      <c r="B643">
        <v>41</v>
      </c>
      <c r="C643" t="s">
        <v>713</v>
      </c>
      <c r="D643" s="609">
        <v>45099</v>
      </c>
      <c r="E643">
        <v>0</v>
      </c>
      <c r="F643">
        <v>6</v>
      </c>
      <c r="G643" t="s">
        <v>347</v>
      </c>
      <c r="H643" t="s">
        <v>350</v>
      </c>
      <c r="I643" t="s">
        <v>393</v>
      </c>
      <c r="J643">
        <v>500000</v>
      </c>
      <c r="K643" t="s">
        <v>394</v>
      </c>
      <c r="L643">
        <v>2802.3999950000002</v>
      </c>
      <c r="M643">
        <v>178.41849874824879</v>
      </c>
      <c r="N643" t="s">
        <v>395</v>
      </c>
      <c r="O643">
        <v>0</v>
      </c>
    </row>
    <row r="644" spans="1:15" x14ac:dyDescent="0.25">
      <c r="A644" t="s">
        <v>741</v>
      </c>
      <c r="B644">
        <v>42</v>
      </c>
      <c r="C644" t="s">
        <v>713</v>
      </c>
      <c r="D644" s="609">
        <v>45099</v>
      </c>
      <c r="E644">
        <v>0</v>
      </c>
      <c r="F644">
        <v>6</v>
      </c>
      <c r="G644" t="s">
        <v>347</v>
      </c>
      <c r="H644" t="s">
        <v>742</v>
      </c>
      <c r="I644" t="s">
        <v>393</v>
      </c>
      <c r="J644">
        <v>225600</v>
      </c>
      <c r="K644" t="s">
        <v>394</v>
      </c>
      <c r="L644">
        <v>2802.3999950000002</v>
      </c>
      <c r="M644">
        <v>80.502426635209858</v>
      </c>
      <c r="N644" t="s">
        <v>395</v>
      </c>
      <c r="O644">
        <v>0</v>
      </c>
    </row>
    <row r="645" spans="1:15" x14ac:dyDescent="0.25">
      <c r="A645" t="s">
        <v>741</v>
      </c>
      <c r="B645">
        <v>42</v>
      </c>
      <c r="C645" t="s">
        <v>713</v>
      </c>
      <c r="D645" s="609">
        <v>45099</v>
      </c>
      <c r="E645">
        <v>0</v>
      </c>
      <c r="F645">
        <v>6</v>
      </c>
      <c r="G645" t="s">
        <v>347</v>
      </c>
      <c r="H645" t="s">
        <v>743</v>
      </c>
      <c r="I645" t="s">
        <v>393</v>
      </c>
      <c r="J645">
        <v>327995</v>
      </c>
      <c r="K645" t="s">
        <v>394</v>
      </c>
      <c r="L645">
        <v>2802.3999950000002</v>
      </c>
      <c r="M645">
        <v>117.04075099386374</v>
      </c>
      <c r="N645" t="s">
        <v>395</v>
      </c>
      <c r="O645">
        <v>0</v>
      </c>
    </row>
    <row r="646" spans="1:15" x14ac:dyDescent="0.25">
      <c r="A646" t="s">
        <v>741</v>
      </c>
      <c r="B646">
        <v>42</v>
      </c>
      <c r="C646" t="s">
        <v>713</v>
      </c>
      <c r="D646" s="609">
        <v>45099</v>
      </c>
      <c r="E646">
        <v>0</v>
      </c>
      <c r="F646">
        <v>6</v>
      </c>
      <c r="G646" t="s">
        <v>347</v>
      </c>
      <c r="H646" t="s">
        <v>744</v>
      </c>
      <c r="I646" t="s">
        <v>393</v>
      </c>
      <c r="J646">
        <v>319290</v>
      </c>
      <c r="K646" t="s">
        <v>394</v>
      </c>
      <c r="L646">
        <v>2802.3999950000002</v>
      </c>
      <c r="M646">
        <v>113.93448493065672</v>
      </c>
      <c r="N646" t="s">
        <v>395</v>
      </c>
      <c r="O646">
        <v>0</v>
      </c>
    </row>
    <row r="647" spans="1:15" x14ac:dyDescent="0.25">
      <c r="A647" t="s">
        <v>741</v>
      </c>
      <c r="B647">
        <v>42</v>
      </c>
      <c r="C647" t="s">
        <v>713</v>
      </c>
      <c r="D647" s="609">
        <v>45099</v>
      </c>
      <c r="E647">
        <v>0</v>
      </c>
      <c r="F647">
        <v>6</v>
      </c>
      <c r="G647" t="s">
        <v>347</v>
      </c>
      <c r="H647" t="s">
        <v>745</v>
      </c>
      <c r="I647" t="s">
        <v>393</v>
      </c>
      <c r="J647">
        <v>409139</v>
      </c>
      <c r="K647" t="s">
        <v>394</v>
      </c>
      <c r="L647">
        <v>2802.3999950000002</v>
      </c>
      <c r="M647">
        <v>145.99593231871953</v>
      </c>
      <c r="N647" t="s">
        <v>395</v>
      </c>
      <c r="O647">
        <v>0</v>
      </c>
    </row>
    <row r="648" spans="1:15" x14ac:dyDescent="0.25">
      <c r="A648" t="s">
        <v>741</v>
      </c>
      <c r="B648">
        <v>43</v>
      </c>
      <c r="C648" t="s">
        <v>713</v>
      </c>
      <c r="D648" s="609">
        <v>45099</v>
      </c>
      <c r="E648">
        <v>0</v>
      </c>
      <c r="F648">
        <v>6</v>
      </c>
      <c r="G648" t="s">
        <v>347</v>
      </c>
      <c r="H648" t="s">
        <v>352</v>
      </c>
      <c r="I648" t="s">
        <v>393</v>
      </c>
      <c r="J648">
        <v>390000</v>
      </c>
      <c r="K648" t="s">
        <v>394</v>
      </c>
      <c r="L648">
        <v>2802.3999950000002</v>
      </c>
      <c r="M648">
        <v>139.16642902363407</v>
      </c>
      <c r="N648" t="s">
        <v>395</v>
      </c>
      <c r="O648">
        <v>0</v>
      </c>
    </row>
    <row r="649" spans="1:15" x14ac:dyDescent="0.25">
      <c r="A649" t="s">
        <v>741</v>
      </c>
      <c r="B649">
        <v>44</v>
      </c>
      <c r="C649" t="s">
        <v>713</v>
      </c>
      <c r="D649" s="609">
        <v>45099</v>
      </c>
      <c r="E649">
        <v>0</v>
      </c>
      <c r="F649">
        <v>6</v>
      </c>
      <c r="G649" t="s">
        <v>347</v>
      </c>
      <c r="H649" t="s">
        <v>746</v>
      </c>
      <c r="I649" t="s">
        <v>393</v>
      </c>
      <c r="J649">
        <v>16700</v>
      </c>
      <c r="K649" t="s">
        <v>394</v>
      </c>
      <c r="L649">
        <v>2802.3999950000002</v>
      </c>
      <c r="M649">
        <v>5.9591778581915102</v>
      </c>
      <c r="N649" t="s">
        <v>395</v>
      </c>
      <c r="O649">
        <v>0</v>
      </c>
    </row>
    <row r="650" spans="1:15" x14ac:dyDescent="0.25">
      <c r="A650" t="s">
        <v>747</v>
      </c>
      <c r="B650">
        <v>45</v>
      </c>
      <c r="C650" t="s">
        <v>713</v>
      </c>
      <c r="D650" s="609">
        <v>45107</v>
      </c>
      <c r="E650">
        <v>0</v>
      </c>
      <c r="F650">
        <v>6</v>
      </c>
      <c r="G650" t="s">
        <v>347</v>
      </c>
      <c r="H650" t="s">
        <v>748</v>
      </c>
      <c r="I650" t="s">
        <v>393</v>
      </c>
      <c r="J650">
        <v>300000</v>
      </c>
      <c r="K650" t="s">
        <v>394</v>
      </c>
      <c r="L650">
        <v>2802.3999950000002</v>
      </c>
      <c r="M650">
        <v>107.05109924894928</v>
      </c>
      <c r="N650" t="s">
        <v>395</v>
      </c>
      <c r="O650">
        <v>0</v>
      </c>
    </row>
    <row r="651" spans="1:15" x14ac:dyDescent="0.25">
      <c r="A651" t="s">
        <v>747</v>
      </c>
      <c r="B651">
        <v>45</v>
      </c>
      <c r="C651" t="s">
        <v>713</v>
      </c>
      <c r="D651" s="609">
        <v>45107</v>
      </c>
      <c r="E651">
        <v>0</v>
      </c>
      <c r="F651">
        <v>6</v>
      </c>
      <c r="G651" t="s">
        <v>347</v>
      </c>
      <c r="H651" t="s">
        <v>749</v>
      </c>
      <c r="I651" t="s">
        <v>393</v>
      </c>
      <c r="J651">
        <v>500000</v>
      </c>
      <c r="K651" t="s">
        <v>394</v>
      </c>
      <c r="L651">
        <v>2802.3999950000002</v>
      </c>
      <c r="M651">
        <v>178.41849874824879</v>
      </c>
      <c r="N651" t="s">
        <v>395</v>
      </c>
      <c r="O651">
        <v>0</v>
      </c>
    </row>
    <row r="652" spans="1:15" x14ac:dyDescent="0.25">
      <c r="A652" t="s">
        <v>747</v>
      </c>
      <c r="B652">
        <v>45</v>
      </c>
      <c r="C652" t="s">
        <v>713</v>
      </c>
      <c r="D652" s="609">
        <v>45107</v>
      </c>
      <c r="E652">
        <v>0</v>
      </c>
      <c r="F652">
        <v>6</v>
      </c>
      <c r="G652" t="s">
        <v>347</v>
      </c>
      <c r="H652" t="s">
        <v>750</v>
      </c>
      <c r="I652" t="s">
        <v>393</v>
      </c>
      <c r="J652">
        <v>500000</v>
      </c>
      <c r="K652" t="s">
        <v>394</v>
      </c>
      <c r="L652">
        <v>2802.3999950000002</v>
      </c>
      <c r="M652">
        <v>178.41849874824879</v>
      </c>
      <c r="N652" t="s">
        <v>395</v>
      </c>
      <c r="O652">
        <v>0</v>
      </c>
    </row>
    <row r="653" spans="1:15" x14ac:dyDescent="0.25">
      <c r="A653" t="s">
        <v>747</v>
      </c>
      <c r="B653">
        <v>45</v>
      </c>
      <c r="C653" t="s">
        <v>713</v>
      </c>
      <c r="D653" s="609">
        <v>45107</v>
      </c>
      <c r="E653">
        <v>0</v>
      </c>
      <c r="F653">
        <v>6</v>
      </c>
      <c r="G653" t="s">
        <v>347</v>
      </c>
      <c r="H653" t="s">
        <v>751</v>
      </c>
      <c r="I653" t="s">
        <v>393</v>
      </c>
      <c r="J653">
        <v>500000</v>
      </c>
      <c r="K653" t="s">
        <v>394</v>
      </c>
      <c r="L653">
        <v>2802.3999950000002</v>
      </c>
      <c r="M653">
        <v>178.41849874824879</v>
      </c>
      <c r="N653" t="s">
        <v>395</v>
      </c>
      <c r="O653">
        <v>0</v>
      </c>
    </row>
    <row r="654" spans="1:15" x14ac:dyDescent="0.25">
      <c r="A654" t="s">
        <v>801</v>
      </c>
      <c r="B654">
        <v>3</v>
      </c>
      <c r="C654" s="609">
        <v>45078</v>
      </c>
      <c r="D654" t="s">
        <v>808</v>
      </c>
      <c r="E654">
        <v>0</v>
      </c>
      <c r="F654">
        <v>6</v>
      </c>
      <c r="G654" t="s">
        <v>347</v>
      </c>
      <c r="H654" t="s">
        <v>802</v>
      </c>
      <c r="J654">
        <v>65000</v>
      </c>
      <c r="K654" t="s">
        <v>394</v>
      </c>
      <c r="L654">
        <v>2803.6597999999999</v>
      </c>
      <c r="M654">
        <v>23.183982593037857</v>
      </c>
      <c r="N654" t="s">
        <v>395</v>
      </c>
      <c r="O654">
        <v>0</v>
      </c>
    </row>
    <row r="655" spans="1:15" x14ac:dyDescent="0.25">
      <c r="A655" t="s">
        <v>803</v>
      </c>
      <c r="B655">
        <v>3</v>
      </c>
      <c r="C655" s="609">
        <v>45078</v>
      </c>
      <c r="D655" t="s">
        <v>808</v>
      </c>
      <c r="E655">
        <v>0</v>
      </c>
      <c r="F655">
        <v>6</v>
      </c>
      <c r="G655" t="s">
        <v>347</v>
      </c>
      <c r="H655" t="s">
        <v>804</v>
      </c>
      <c r="J655">
        <v>520000</v>
      </c>
      <c r="K655" t="s">
        <v>394</v>
      </c>
      <c r="L655">
        <v>2803.6597999999999</v>
      </c>
      <c r="M655">
        <v>185.47186074430286</v>
      </c>
      <c r="N655" t="s">
        <v>395</v>
      </c>
      <c r="O655">
        <v>0</v>
      </c>
    </row>
    <row r="656" spans="1:15" x14ac:dyDescent="0.25">
      <c r="A656" t="s">
        <v>805</v>
      </c>
      <c r="B656">
        <v>3</v>
      </c>
      <c r="C656" s="609">
        <v>45078</v>
      </c>
      <c r="D656" t="s">
        <v>808</v>
      </c>
      <c r="E656">
        <v>0</v>
      </c>
      <c r="F656">
        <v>6</v>
      </c>
      <c r="G656" t="s">
        <v>347</v>
      </c>
      <c r="H656" t="s">
        <v>806</v>
      </c>
      <c r="J656">
        <v>1560000</v>
      </c>
      <c r="K656" t="s">
        <v>394</v>
      </c>
      <c r="L656">
        <v>2803.6597999999999</v>
      </c>
      <c r="M656">
        <v>556.4155822329086</v>
      </c>
      <c r="N656" t="s">
        <v>395</v>
      </c>
      <c r="O656">
        <v>0</v>
      </c>
    </row>
    <row r="657" spans="1:15" x14ac:dyDescent="0.25">
      <c r="A657" t="s">
        <v>805</v>
      </c>
      <c r="B657">
        <v>3</v>
      </c>
      <c r="C657" s="609">
        <v>45078</v>
      </c>
      <c r="D657" t="s">
        <v>808</v>
      </c>
      <c r="E657">
        <v>0</v>
      </c>
      <c r="F657">
        <v>6</v>
      </c>
      <c r="G657" t="s">
        <v>347</v>
      </c>
      <c r="H657" t="s">
        <v>807</v>
      </c>
      <c r="J657">
        <v>70000</v>
      </c>
      <c r="K657" t="s">
        <v>394</v>
      </c>
      <c r="L657">
        <v>2803.6597999999999</v>
      </c>
      <c r="M657">
        <v>24.967365869425386</v>
      </c>
      <c r="N657" t="s">
        <v>395</v>
      </c>
      <c r="O657">
        <v>0</v>
      </c>
    </row>
    <row r="658" spans="1:15" x14ac:dyDescent="0.25">
      <c r="A658" t="s">
        <v>1351</v>
      </c>
      <c r="B658">
        <v>53</v>
      </c>
      <c r="C658" t="s">
        <v>1287</v>
      </c>
      <c r="D658" s="609">
        <v>45113</v>
      </c>
      <c r="E658">
        <v>0</v>
      </c>
      <c r="F658">
        <v>6</v>
      </c>
      <c r="G658" t="s">
        <v>347</v>
      </c>
      <c r="H658" t="s">
        <v>1352</v>
      </c>
      <c r="I658" t="s">
        <v>393</v>
      </c>
      <c r="J658">
        <v>200000</v>
      </c>
      <c r="K658" t="s">
        <v>394</v>
      </c>
      <c r="L658">
        <v>2802.3999950000002</v>
      </c>
      <c r="M658">
        <v>71.367399499299523</v>
      </c>
      <c r="N658" t="s">
        <v>395</v>
      </c>
      <c r="O658">
        <v>0</v>
      </c>
    </row>
    <row r="659" spans="1:15" x14ac:dyDescent="0.25">
      <c r="A659" t="s">
        <v>996</v>
      </c>
      <c r="B659">
        <v>23</v>
      </c>
      <c r="C659" t="s">
        <v>997</v>
      </c>
      <c r="D659" t="s">
        <v>998</v>
      </c>
      <c r="E659">
        <v>0</v>
      </c>
      <c r="F659">
        <v>6</v>
      </c>
      <c r="G659" t="s">
        <v>999</v>
      </c>
      <c r="H659" t="s">
        <v>351</v>
      </c>
      <c r="I659" t="s">
        <v>393</v>
      </c>
      <c r="J659">
        <v>800000</v>
      </c>
      <c r="K659" t="s">
        <v>394</v>
      </c>
      <c r="L659">
        <v>2803.6597999999999</v>
      </c>
      <c r="M659">
        <v>285.3413242220044</v>
      </c>
      <c r="N659" t="s">
        <v>395</v>
      </c>
      <c r="O659">
        <v>0</v>
      </c>
    </row>
    <row r="660" spans="1:15" x14ac:dyDescent="0.25">
      <c r="A660" t="s">
        <v>1000</v>
      </c>
      <c r="B660">
        <v>23</v>
      </c>
      <c r="C660" t="s">
        <v>997</v>
      </c>
      <c r="D660" t="s">
        <v>1001</v>
      </c>
      <c r="E660">
        <v>0</v>
      </c>
      <c r="F660">
        <v>6</v>
      </c>
      <c r="G660" t="s">
        <v>999</v>
      </c>
      <c r="H660" t="s">
        <v>1002</v>
      </c>
      <c r="I660" t="s">
        <v>393</v>
      </c>
      <c r="J660">
        <v>1053509</v>
      </c>
      <c r="K660" t="s">
        <v>394</v>
      </c>
      <c r="L660">
        <v>2803.6597999999999</v>
      </c>
      <c r="M660">
        <v>375.76206642474955</v>
      </c>
      <c r="N660" t="s">
        <v>395</v>
      </c>
      <c r="O660">
        <v>0</v>
      </c>
    </row>
    <row r="661" spans="1:15" x14ac:dyDescent="0.25">
      <c r="A661" t="s">
        <v>1003</v>
      </c>
      <c r="B661">
        <v>23</v>
      </c>
      <c r="C661" t="s">
        <v>997</v>
      </c>
      <c r="D661" t="s">
        <v>1001</v>
      </c>
      <c r="E661">
        <v>0</v>
      </c>
      <c r="F661">
        <v>6</v>
      </c>
      <c r="G661" t="s">
        <v>999</v>
      </c>
      <c r="H661" t="s">
        <v>1004</v>
      </c>
      <c r="I661" t="s">
        <v>393</v>
      </c>
      <c r="J661">
        <v>475000</v>
      </c>
      <c r="K661" t="s">
        <v>394</v>
      </c>
      <c r="L661">
        <v>2803.6597999999999</v>
      </c>
      <c r="M661">
        <v>169.42141125681511</v>
      </c>
      <c r="N661" t="s">
        <v>395</v>
      </c>
      <c r="O661">
        <v>0</v>
      </c>
    </row>
    <row r="662" spans="1:15" x14ac:dyDescent="0.25">
      <c r="A662" t="s">
        <v>1005</v>
      </c>
      <c r="B662">
        <v>23</v>
      </c>
      <c r="C662" t="s">
        <v>997</v>
      </c>
      <c r="D662" t="s">
        <v>1001</v>
      </c>
      <c r="E662">
        <v>0</v>
      </c>
      <c r="F662">
        <v>6</v>
      </c>
      <c r="G662" t="s">
        <v>999</v>
      </c>
      <c r="H662" t="s">
        <v>1006</v>
      </c>
      <c r="I662" t="s">
        <v>393</v>
      </c>
      <c r="J662">
        <v>1080000</v>
      </c>
      <c r="K662" t="s">
        <v>394</v>
      </c>
      <c r="L662">
        <v>2803.6597999999999</v>
      </c>
      <c r="M662">
        <v>385.21078769970597</v>
      </c>
      <c r="N662" t="s">
        <v>395</v>
      </c>
      <c r="O662">
        <v>0</v>
      </c>
    </row>
    <row r="663" spans="1:15" x14ac:dyDescent="0.25">
      <c r="A663" t="s">
        <v>1007</v>
      </c>
      <c r="B663">
        <v>23</v>
      </c>
      <c r="C663" t="s">
        <v>997</v>
      </c>
      <c r="D663" t="s">
        <v>1001</v>
      </c>
      <c r="E663">
        <v>0</v>
      </c>
      <c r="F663">
        <v>6</v>
      </c>
      <c r="G663" t="s">
        <v>999</v>
      </c>
      <c r="H663" t="s">
        <v>1008</v>
      </c>
      <c r="I663" t="s">
        <v>393</v>
      </c>
      <c r="J663">
        <v>1665000</v>
      </c>
      <c r="K663" t="s">
        <v>394</v>
      </c>
      <c r="L663">
        <v>2803.6597999999999</v>
      </c>
      <c r="M663">
        <v>593.86663103704666</v>
      </c>
      <c r="N663" t="s">
        <v>395</v>
      </c>
      <c r="O663">
        <v>0</v>
      </c>
    </row>
    <row r="664" spans="1:15" x14ac:dyDescent="0.25">
      <c r="A664" t="s">
        <v>1009</v>
      </c>
      <c r="B664">
        <v>23</v>
      </c>
      <c r="C664" t="s">
        <v>997</v>
      </c>
      <c r="D664" t="s">
        <v>1001</v>
      </c>
      <c r="E664">
        <v>0</v>
      </c>
      <c r="F664">
        <v>6</v>
      </c>
      <c r="G664" t="s">
        <v>999</v>
      </c>
      <c r="H664" t="s">
        <v>1010</v>
      </c>
      <c r="I664" t="s">
        <v>393</v>
      </c>
      <c r="J664">
        <v>120000</v>
      </c>
      <c r="K664" t="s">
        <v>394</v>
      </c>
      <c r="L664">
        <v>2803.6597999999999</v>
      </c>
      <c r="M664">
        <v>42.801198633300658</v>
      </c>
      <c r="N664" t="s">
        <v>395</v>
      </c>
      <c r="O664">
        <v>0</v>
      </c>
    </row>
    <row r="665" spans="1:15" x14ac:dyDescent="0.25">
      <c r="A665" t="s">
        <v>1011</v>
      </c>
      <c r="B665">
        <v>23</v>
      </c>
      <c r="C665" t="s">
        <v>997</v>
      </c>
      <c r="D665" t="s">
        <v>1001</v>
      </c>
      <c r="E665">
        <v>0</v>
      </c>
      <c r="F665">
        <v>6</v>
      </c>
      <c r="G665" t="s">
        <v>999</v>
      </c>
      <c r="H665" t="s">
        <v>1012</v>
      </c>
      <c r="I665" t="s">
        <v>393</v>
      </c>
      <c r="J665">
        <v>10000</v>
      </c>
      <c r="K665" t="s">
        <v>394</v>
      </c>
      <c r="L665">
        <v>2803.6597999999999</v>
      </c>
      <c r="M665">
        <v>3.5667665527750549</v>
      </c>
      <c r="N665" t="s">
        <v>395</v>
      </c>
      <c r="O665">
        <v>0</v>
      </c>
    </row>
    <row r="666" spans="1:15" x14ac:dyDescent="0.25">
      <c r="A666" t="s">
        <v>1013</v>
      </c>
      <c r="B666">
        <v>23</v>
      </c>
      <c r="C666" t="s">
        <v>997</v>
      </c>
      <c r="D666" t="s">
        <v>1001</v>
      </c>
      <c r="E666">
        <v>0</v>
      </c>
      <c r="F666">
        <v>6</v>
      </c>
      <c r="G666" t="s">
        <v>999</v>
      </c>
      <c r="H666" t="s">
        <v>1014</v>
      </c>
      <c r="I666" t="s">
        <v>393</v>
      </c>
      <c r="J666">
        <v>330000</v>
      </c>
      <c r="K666" t="s">
        <v>394</v>
      </c>
      <c r="L666">
        <v>2803.6597999999999</v>
      </c>
      <c r="M666">
        <v>117.70329624157682</v>
      </c>
      <c r="N666" t="s">
        <v>395</v>
      </c>
      <c r="O666">
        <v>0</v>
      </c>
    </row>
    <row r="667" spans="1:15" x14ac:dyDescent="0.25">
      <c r="A667" t="s">
        <v>1015</v>
      </c>
      <c r="B667">
        <v>23</v>
      </c>
      <c r="C667" t="s">
        <v>997</v>
      </c>
      <c r="D667" t="s">
        <v>1001</v>
      </c>
      <c r="E667">
        <v>0</v>
      </c>
      <c r="F667">
        <v>6</v>
      </c>
      <c r="G667" t="s">
        <v>999</v>
      </c>
      <c r="H667" t="s">
        <v>1016</v>
      </c>
      <c r="I667" t="s">
        <v>393</v>
      </c>
      <c r="J667">
        <v>750000</v>
      </c>
      <c r="K667" t="s">
        <v>394</v>
      </c>
      <c r="L667">
        <v>2803.6597999999999</v>
      </c>
      <c r="M667">
        <v>267.50749145812915</v>
      </c>
      <c r="N667" t="s">
        <v>395</v>
      </c>
      <c r="O667">
        <v>0</v>
      </c>
    </row>
    <row r="668" spans="1:15" x14ac:dyDescent="0.25">
      <c r="A668" t="s">
        <v>1017</v>
      </c>
      <c r="B668">
        <v>23</v>
      </c>
      <c r="C668" t="s">
        <v>997</v>
      </c>
      <c r="D668" t="s">
        <v>1001</v>
      </c>
      <c r="E668">
        <v>0</v>
      </c>
      <c r="F668">
        <v>6</v>
      </c>
      <c r="G668" t="s">
        <v>999</v>
      </c>
      <c r="H668" t="s">
        <v>1018</v>
      </c>
      <c r="I668" t="s">
        <v>393</v>
      </c>
      <c r="J668">
        <v>225000</v>
      </c>
      <c r="K668" t="s">
        <v>394</v>
      </c>
      <c r="L668">
        <v>2803.6597999999999</v>
      </c>
      <c r="M668">
        <v>80.25224743743874</v>
      </c>
      <c r="N668" t="s">
        <v>395</v>
      </c>
      <c r="O668">
        <v>0</v>
      </c>
    </row>
    <row r="669" spans="1:15" x14ac:dyDescent="0.25">
      <c r="A669" t="s">
        <v>1017</v>
      </c>
      <c r="B669">
        <v>23</v>
      </c>
      <c r="C669" t="s">
        <v>997</v>
      </c>
      <c r="D669" t="s">
        <v>1001</v>
      </c>
      <c r="E669">
        <v>0</v>
      </c>
      <c r="F669">
        <v>6</v>
      </c>
      <c r="G669" t="s">
        <v>999</v>
      </c>
      <c r="H669" t="s">
        <v>1019</v>
      </c>
      <c r="I669" t="s">
        <v>393</v>
      </c>
      <c r="J669">
        <v>60000</v>
      </c>
      <c r="K669" t="s">
        <v>394</v>
      </c>
      <c r="L669">
        <v>2803.6597999999999</v>
      </c>
      <c r="M669">
        <v>21.400599316650329</v>
      </c>
      <c r="N669" t="s">
        <v>395</v>
      </c>
      <c r="O669">
        <v>0</v>
      </c>
    </row>
    <row r="670" spans="1:15" x14ac:dyDescent="0.25">
      <c r="A670" t="s">
        <v>1017</v>
      </c>
      <c r="B670">
        <v>23</v>
      </c>
      <c r="C670" t="s">
        <v>997</v>
      </c>
      <c r="D670" t="s">
        <v>1001</v>
      </c>
      <c r="E670">
        <v>0</v>
      </c>
      <c r="F670">
        <v>6</v>
      </c>
      <c r="G670" t="s">
        <v>999</v>
      </c>
      <c r="H670" t="s">
        <v>1020</v>
      </c>
      <c r="I670" t="s">
        <v>393</v>
      </c>
      <c r="J670">
        <v>120000</v>
      </c>
      <c r="K670" t="s">
        <v>394</v>
      </c>
      <c r="L670">
        <v>2803.6597999999999</v>
      </c>
      <c r="M670">
        <v>42.801198633300658</v>
      </c>
      <c r="N670" t="s">
        <v>395</v>
      </c>
      <c r="O670">
        <v>0</v>
      </c>
    </row>
    <row r="671" spans="1:15" x14ac:dyDescent="0.25">
      <c r="A671" t="s">
        <v>1021</v>
      </c>
      <c r="B671">
        <v>23</v>
      </c>
      <c r="C671" t="s">
        <v>997</v>
      </c>
      <c r="D671" t="s">
        <v>1001</v>
      </c>
      <c r="E671">
        <v>0</v>
      </c>
      <c r="F671">
        <v>6</v>
      </c>
      <c r="G671" t="s">
        <v>999</v>
      </c>
      <c r="H671" t="s">
        <v>1022</v>
      </c>
      <c r="I671" t="s">
        <v>393</v>
      </c>
      <c r="J671">
        <v>12000</v>
      </c>
      <c r="K671" t="s">
        <v>394</v>
      </c>
      <c r="L671">
        <v>2803.6597999999999</v>
      </c>
      <c r="M671">
        <v>4.2801198633300661</v>
      </c>
      <c r="N671" t="s">
        <v>395</v>
      </c>
      <c r="O671">
        <v>0</v>
      </c>
    </row>
    <row r="672" spans="1:15" x14ac:dyDescent="0.25">
      <c r="A672" t="s">
        <v>1023</v>
      </c>
      <c r="B672">
        <v>23</v>
      </c>
      <c r="C672" t="s">
        <v>997</v>
      </c>
      <c r="D672" t="s">
        <v>1024</v>
      </c>
      <c r="E672">
        <v>0</v>
      </c>
      <c r="F672">
        <v>6</v>
      </c>
      <c r="G672" t="s">
        <v>999</v>
      </c>
      <c r="H672" t="s">
        <v>1025</v>
      </c>
      <c r="I672" t="s">
        <v>393</v>
      </c>
      <c r="J672">
        <v>900000</v>
      </c>
      <c r="K672" t="s">
        <v>394</v>
      </c>
      <c r="L672">
        <v>2803.6597999999999</v>
      </c>
      <c r="M672">
        <v>321.00898974975496</v>
      </c>
      <c r="N672" t="s">
        <v>395</v>
      </c>
      <c r="O672">
        <v>0</v>
      </c>
    </row>
    <row r="673" spans="1:15" x14ac:dyDescent="0.25">
      <c r="A673" t="s">
        <v>1023</v>
      </c>
      <c r="B673">
        <v>23</v>
      </c>
      <c r="C673" t="s">
        <v>997</v>
      </c>
      <c r="D673" t="s">
        <v>1024</v>
      </c>
      <c r="E673">
        <v>0</v>
      </c>
      <c r="F673">
        <v>6</v>
      </c>
      <c r="G673" t="s">
        <v>999</v>
      </c>
      <c r="H673" t="s">
        <v>1002</v>
      </c>
      <c r="I673" t="s">
        <v>393</v>
      </c>
      <c r="J673">
        <v>1191224</v>
      </c>
      <c r="K673" t="s">
        <v>394</v>
      </c>
      <c r="L673">
        <v>2803.6597999999999</v>
      </c>
      <c r="M673">
        <v>424.88179200629122</v>
      </c>
      <c r="N673" t="s">
        <v>395</v>
      </c>
      <c r="O673">
        <v>0</v>
      </c>
    </row>
    <row r="674" spans="1:15" x14ac:dyDescent="0.25">
      <c r="A674" t="s">
        <v>1023</v>
      </c>
      <c r="B674">
        <v>23</v>
      </c>
      <c r="C674" t="s">
        <v>997</v>
      </c>
      <c r="D674" t="s">
        <v>1024</v>
      </c>
      <c r="E674">
        <v>0</v>
      </c>
      <c r="F674">
        <v>6</v>
      </c>
      <c r="G674" t="s">
        <v>999</v>
      </c>
      <c r="H674" t="s">
        <v>1004</v>
      </c>
      <c r="I674" t="s">
        <v>393</v>
      </c>
      <c r="J674">
        <v>555000</v>
      </c>
      <c r="K674" t="s">
        <v>394</v>
      </c>
      <c r="L674">
        <v>2803.6597999999999</v>
      </c>
      <c r="M674">
        <v>197.95554367901556</v>
      </c>
      <c r="N674" t="s">
        <v>395</v>
      </c>
      <c r="O674">
        <v>0</v>
      </c>
    </row>
    <row r="675" spans="1:15" x14ac:dyDescent="0.25">
      <c r="A675" t="s">
        <v>1023</v>
      </c>
      <c r="B675">
        <v>23</v>
      </c>
      <c r="C675" t="s">
        <v>997</v>
      </c>
      <c r="D675" t="s">
        <v>1024</v>
      </c>
      <c r="E675">
        <v>0</v>
      </c>
      <c r="F675">
        <v>6</v>
      </c>
      <c r="G675" t="s">
        <v>999</v>
      </c>
      <c r="H675" t="s">
        <v>1006</v>
      </c>
      <c r="I675" t="s">
        <v>393</v>
      </c>
      <c r="J675">
        <v>1260000</v>
      </c>
      <c r="K675" t="s">
        <v>394</v>
      </c>
      <c r="L675">
        <v>2803.6597999999999</v>
      </c>
      <c r="M675">
        <v>449.41258564965693</v>
      </c>
      <c r="N675" t="s">
        <v>395</v>
      </c>
      <c r="O675">
        <v>0</v>
      </c>
    </row>
    <row r="676" spans="1:15" x14ac:dyDescent="0.25">
      <c r="A676" t="s">
        <v>1023</v>
      </c>
      <c r="B676">
        <v>23</v>
      </c>
      <c r="C676" t="s">
        <v>997</v>
      </c>
      <c r="D676" t="s">
        <v>1024</v>
      </c>
      <c r="E676">
        <v>0</v>
      </c>
      <c r="F676">
        <v>6</v>
      </c>
      <c r="G676" t="s">
        <v>999</v>
      </c>
      <c r="H676" t="s">
        <v>1008</v>
      </c>
      <c r="I676" t="s">
        <v>393</v>
      </c>
      <c r="J676">
        <v>2025000</v>
      </c>
      <c r="K676" t="s">
        <v>394</v>
      </c>
      <c r="L676">
        <v>2803.6597999999999</v>
      </c>
      <c r="M676">
        <v>722.27022693694869</v>
      </c>
      <c r="N676" t="s">
        <v>395</v>
      </c>
      <c r="O676">
        <v>0</v>
      </c>
    </row>
    <row r="677" spans="1:15" x14ac:dyDescent="0.25">
      <c r="A677" t="s">
        <v>1023</v>
      </c>
      <c r="B677">
        <v>23</v>
      </c>
      <c r="C677" t="s">
        <v>997</v>
      </c>
      <c r="D677" t="s">
        <v>1024</v>
      </c>
      <c r="E677">
        <v>0</v>
      </c>
      <c r="F677">
        <v>6</v>
      </c>
      <c r="G677" t="s">
        <v>999</v>
      </c>
      <c r="H677" t="s">
        <v>1026</v>
      </c>
      <c r="I677" t="s">
        <v>393</v>
      </c>
      <c r="J677">
        <v>140000</v>
      </c>
      <c r="K677" t="s">
        <v>394</v>
      </c>
      <c r="L677">
        <v>2803.6597999999999</v>
      </c>
      <c r="M677">
        <v>49.934731738850772</v>
      </c>
      <c r="N677" t="s">
        <v>395</v>
      </c>
      <c r="O677">
        <v>0</v>
      </c>
    </row>
    <row r="678" spans="1:15" x14ac:dyDescent="0.25">
      <c r="A678" t="s">
        <v>1023</v>
      </c>
      <c r="B678">
        <v>23</v>
      </c>
      <c r="C678" t="s">
        <v>997</v>
      </c>
      <c r="D678" t="s">
        <v>1024</v>
      </c>
      <c r="E678">
        <v>0</v>
      </c>
      <c r="F678">
        <v>6</v>
      </c>
      <c r="G678" t="s">
        <v>999</v>
      </c>
      <c r="H678" t="s">
        <v>1012</v>
      </c>
      <c r="I678" t="s">
        <v>393</v>
      </c>
      <c r="J678">
        <v>10000</v>
      </c>
      <c r="K678" t="s">
        <v>394</v>
      </c>
      <c r="L678">
        <v>2803.6597999999999</v>
      </c>
      <c r="M678">
        <v>3.5667665527750549</v>
      </c>
      <c r="N678" t="s">
        <v>395</v>
      </c>
      <c r="O678">
        <v>0</v>
      </c>
    </row>
    <row r="679" spans="1:15" x14ac:dyDescent="0.25">
      <c r="A679" t="s">
        <v>1023</v>
      </c>
      <c r="B679">
        <v>23</v>
      </c>
      <c r="C679" t="s">
        <v>997</v>
      </c>
      <c r="D679" t="s">
        <v>1024</v>
      </c>
      <c r="E679">
        <v>0</v>
      </c>
      <c r="F679">
        <v>6</v>
      </c>
      <c r="G679" t="s">
        <v>999</v>
      </c>
      <c r="H679" t="s">
        <v>1014</v>
      </c>
      <c r="I679" t="s">
        <v>393</v>
      </c>
      <c r="J679">
        <v>420000</v>
      </c>
      <c r="K679" t="s">
        <v>394</v>
      </c>
      <c r="L679">
        <v>2803.6597999999999</v>
      </c>
      <c r="M679">
        <v>149.8041952165523</v>
      </c>
      <c r="N679" t="s">
        <v>395</v>
      </c>
      <c r="O679">
        <v>0</v>
      </c>
    </row>
    <row r="680" spans="1:15" x14ac:dyDescent="0.25">
      <c r="A680" t="s">
        <v>1023</v>
      </c>
      <c r="B680">
        <v>23</v>
      </c>
      <c r="C680" t="s">
        <v>997</v>
      </c>
      <c r="D680" t="s">
        <v>1024</v>
      </c>
      <c r="E680">
        <v>0</v>
      </c>
      <c r="F680">
        <v>6</v>
      </c>
      <c r="G680" t="s">
        <v>999</v>
      </c>
      <c r="H680" t="s">
        <v>1016</v>
      </c>
      <c r="I680" t="s">
        <v>393</v>
      </c>
      <c r="J680">
        <v>875000</v>
      </c>
      <c r="K680" t="s">
        <v>394</v>
      </c>
      <c r="L680">
        <v>2803.6597999999999</v>
      </c>
      <c r="M680">
        <v>312.09207336781731</v>
      </c>
      <c r="N680" t="s">
        <v>395</v>
      </c>
      <c r="O680">
        <v>0</v>
      </c>
    </row>
    <row r="681" spans="1:15" x14ac:dyDescent="0.25">
      <c r="A681" t="s">
        <v>1023</v>
      </c>
      <c r="B681">
        <v>23</v>
      </c>
      <c r="C681" t="s">
        <v>997</v>
      </c>
      <c r="D681" t="s">
        <v>1024</v>
      </c>
      <c r="E681">
        <v>0</v>
      </c>
      <c r="F681">
        <v>6</v>
      </c>
      <c r="G681" t="s">
        <v>999</v>
      </c>
      <c r="H681" t="s">
        <v>1018</v>
      </c>
      <c r="I681" t="s">
        <v>393</v>
      </c>
      <c r="J681">
        <v>262500</v>
      </c>
      <c r="K681" t="s">
        <v>394</v>
      </c>
      <c r="L681">
        <v>2803.6597999999999</v>
      </c>
      <c r="M681">
        <v>93.627622010345192</v>
      </c>
      <c r="N681" t="s">
        <v>395</v>
      </c>
      <c r="O681">
        <v>0</v>
      </c>
    </row>
    <row r="682" spans="1:15" x14ac:dyDescent="0.25">
      <c r="A682" t="s">
        <v>1023</v>
      </c>
      <c r="B682">
        <v>23</v>
      </c>
      <c r="C682" t="s">
        <v>997</v>
      </c>
      <c r="D682" t="s">
        <v>1024</v>
      </c>
      <c r="E682">
        <v>0</v>
      </c>
      <c r="F682">
        <v>6</v>
      </c>
      <c r="G682" t="s">
        <v>999</v>
      </c>
      <c r="H682" t="s">
        <v>1019</v>
      </c>
      <c r="I682" t="s">
        <v>393</v>
      </c>
      <c r="J682">
        <v>60000</v>
      </c>
      <c r="K682" t="s">
        <v>394</v>
      </c>
      <c r="L682">
        <v>2803.6597999999999</v>
      </c>
      <c r="M682">
        <v>21.400599316650329</v>
      </c>
      <c r="N682" t="s">
        <v>395</v>
      </c>
      <c r="O682">
        <v>0</v>
      </c>
    </row>
    <row r="683" spans="1:15" x14ac:dyDescent="0.25">
      <c r="A683" t="s">
        <v>1027</v>
      </c>
      <c r="B683">
        <v>30</v>
      </c>
      <c r="C683" t="s">
        <v>970</v>
      </c>
      <c r="D683" t="s">
        <v>1028</v>
      </c>
      <c r="E683">
        <v>0</v>
      </c>
      <c r="F683">
        <v>6</v>
      </c>
      <c r="G683" t="s">
        <v>999</v>
      </c>
      <c r="H683" t="s">
        <v>1029</v>
      </c>
      <c r="I683" t="s">
        <v>393</v>
      </c>
      <c r="J683">
        <v>300000</v>
      </c>
      <c r="K683" t="s">
        <v>394</v>
      </c>
      <c r="L683">
        <v>2803.6597999999999</v>
      </c>
      <c r="M683">
        <v>107.00299658325166</v>
      </c>
      <c r="N683" t="s">
        <v>395</v>
      </c>
      <c r="O683">
        <v>0</v>
      </c>
    </row>
    <row r="684" spans="1:15" x14ac:dyDescent="0.25">
      <c r="A684" t="s">
        <v>1030</v>
      </c>
      <c r="B684">
        <v>30</v>
      </c>
      <c r="C684" t="s">
        <v>970</v>
      </c>
      <c r="D684" t="s">
        <v>1028</v>
      </c>
      <c r="E684">
        <v>0</v>
      </c>
      <c r="F684">
        <v>6</v>
      </c>
      <c r="G684" t="s">
        <v>999</v>
      </c>
      <c r="H684" t="s">
        <v>1029</v>
      </c>
      <c r="I684" t="s">
        <v>393</v>
      </c>
      <c r="J684">
        <v>300000</v>
      </c>
      <c r="K684" t="s">
        <v>394</v>
      </c>
      <c r="L684">
        <v>2803.6597999999999</v>
      </c>
      <c r="M684">
        <v>107.00299658325166</v>
      </c>
      <c r="N684" t="s">
        <v>395</v>
      </c>
      <c r="O684">
        <v>0</v>
      </c>
    </row>
    <row r="685" spans="1:15" x14ac:dyDescent="0.25">
      <c r="A685" t="s">
        <v>1031</v>
      </c>
      <c r="B685">
        <v>30</v>
      </c>
      <c r="C685" t="s">
        <v>970</v>
      </c>
      <c r="D685" t="s">
        <v>1028</v>
      </c>
      <c r="E685">
        <v>0</v>
      </c>
      <c r="F685">
        <v>6</v>
      </c>
      <c r="G685" t="s">
        <v>999</v>
      </c>
      <c r="H685" t="s">
        <v>1029</v>
      </c>
      <c r="I685" t="s">
        <v>393</v>
      </c>
      <c r="J685">
        <v>300000</v>
      </c>
      <c r="K685" t="s">
        <v>394</v>
      </c>
      <c r="L685">
        <v>2803.6597999999999</v>
      </c>
      <c r="M685">
        <v>107.00299658325166</v>
      </c>
      <c r="N685" t="s">
        <v>395</v>
      </c>
      <c r="O685">
        <v>0</v>
      </c>
    </row>
    <row r="686" spans="1:15" x14ac:dyDescent="0.25">
      <c r="A686" t="s">
        <v>1032</v>
      </c>
      <c r="B686">
        <v>30</v>
      </c>
      <c r="C686" t="s">
        <v>970</v>
      </c>
      <c r="D686" t="s">
        <v>1028</v>
      </c>
      <c r="E686">
        <v>0</v>
      </c>
      <c r="F686">
        <v>6</v>
      </c>
      <c r="G686" t="s">
        <v>999</v>
      </c>
      <c r="H686" t="s">
        <v>1029</v>
      </c>
      <c r="I686" t="s">
        <v>393</v>
      </c>
      <c r="J686">
        <v>300000</v>
      </c>
      <c r="K686" t="s">
        <v>394</v>
      </c>
      <c r="L686">
        <v>2803.6597999999999</v>
      </c>
      <c r="M686">
        <v>107.00299658325166</v>
      </c>
      <c r="N686" t="s">
        <v>395</v>
      </c>
      <c r="O686">
        <v>0</v>
      </c>
    </row>
    <row r="687" spans="1:15" x14ac:dyDescent="0.25">
      <c r="A687" t="s">
        <v>1033</v>
      </c>
      <c r="B687">
        <v>30</v>
      </c>
      <c r="C687" t="s">
        <v>970</v>
      </c>
      <c r="D687" t="s">
        <v>1028</v>
      </c>
      <c r="E687">
        <v>0</v>
      </c>
      <c r="F687">
        <v>6</v>
      </c>
      <c r="G687" t="s">
        <v>999</v>
      </c>
      <c r="H687" t="s">
        <v>1029</v>
      </c>
      <c r="I687" t="s">
        <v>393</v>
      </c>
      <c r="J687">
        <v>300000</v>
      </c>
      <c r="K687" t="s">
        <v>394</v>
      </c>
      <c r="L687">
        <v>2803.6597999999999</v>
      </c>
      <c r="M687">
        <v>107.00299658325166</v>
      </c>
      <c r="N687" t="s">
        <v>395</v>
      </c>
      <c r="O687">
        <v>0</v>
      </c>
    </row>
    <row r="688" spans="1:15" x14ac:dyDescent="0.25">
      <c r="A688" t="s">
        <v>1034</v>
      </c>
      <c r="B688">
        <v>30</v>
      </c>
      <c r="C688" t="s">
        <v>970</v>
      </c>
      <c r="D688" t="s">
        <v>1028</v>
      </c>
      <c r="E688">
        <v>0</v>
      </c>
      <c r="F688">
        <v>6</v>
      </c>
      <c r="G688" t="s">
        <v>999</v>
      </c>
      <c r="H688" t="s">
        <v>1029</v>
      </c>
      <c r="I688" t="s">
        <v>393</v>
      </c>
      <c r="J688">
        <v>300000</v>
      </c>
      <c r="K688" t="s">
        <v>394</v>
      </c>
      <c r="L688">
        <v>2803.6597999999999</v>
      </c>
      <c r="M688">
        <v>107.00299658325166</v>
      </c>
      <c r="N688" t="s">
        <v>395</v>
      </c>
      <c r="O688">
        <v>0</v>
      </c>
    </row>
    <row r="689" spans="1:15" x14ac:dyDescent="0.25">
      <c r="A689" t="s">
        <v>1034</v>
      </c>
      <c r="B689">
        <v>30</v>
      </c>
      <c r="C689" t="s">
        <v>970</v>
      </c>
      <c r="D689" t="s">
        <v>1028</v>
      </c>
      <c r="E689">
        <v>0</v>
      </c>
      <c r="F689">
        <v>6</v>
      </c>
      <c r="G689" t="s">
        <v>999</v>
      </c>
      <c r="H689" t="s">
        <v>1035</v>
      </c>
      <c r="I689" t="s">
        <v>393</v>
      </c>
      <c r="J689">
        <v>463000</v>
      </c>
      <c r="K689" t="s">
        <v>394</v>
      </c>
      <c r="L689">
        <v>2803.6597999999999</v>
      </c>
      <c r="M689">
        <v>165.14129139348506</v>
      </c>
      <c r="N689" t="s">
        <v>395</v>
      </c>
      <c r="O689">
        <v>0</v>
      </c>
    </row>
    <row r="690" spans="1:15" x14ac:dyDescent="0.25">
      <c r="A690" t="s">
        <v>1353</v>
      </c>
      <c r="B690">
        <v>68</v>
      </c>
      <c r="C690" t="s">
        <v>997</v>
      </c>
      <c r="D690" s="609">
        <v>45159</v>
      </c>
      <c r="E690">
        <v>0</v>
      </c>
      <c r="F690">
        <v>6</v>
      </c>
      <c r="G690" t="s">
        <v>999</v>
      </c>
      <c r="H690" t="s">
        <v>1354</v>
      </c>
      <c r="I690" t="s">
        <v>393</v>
      </c>
      <c r="J690">
        <v>35000</v>
      </c>
      <c r="K690" t="s">
        <v>394</v>
      </c>
      <c r="L690">
        <v>2802.3999950000002</v>
      </c>
      <c r="M690">
        <v>12.489294912377417</v>
      </c>
      <c r="N690" t="s">
        <v>395</v>
      </c>
      <c r="O690">
        <v>0</v>
      </c>
    </row>
    <row r="691" spans="1:15" x14ac:dyDescent="0.25">
      <c r="A691" t="s">
        <v>1353</v>
      </c>
      <c r="B691">
        <v>69</v>
      </c>
      <c r="C691" t="s">
        <v>997</v>
      </c>
      <c r="D691" s="609">
        <v>45159</v>
      </c>
      <c r="E691">
        <v>0</v>
      </c>
      <c r="F691">
        <v>6</v>
      </c>
      <c r="G691" t="s">
        <v>999</v>
      </c>
      <c r="H691" t="s">
        <v>1164</v>
      </c>
      <c r="I691" t="s">
        <v>393</v>
      </c>
      <c r="J691">
        <v>90000</v>
      </c>
      <c r="K691" t="s">
        <v>394</v>
      </c>
      <c r="L691">
        <v>2802.3999950000002</v>
      </c>
      <c r="M691">
        <v>32.115329774684788</v>
      </c>
      <c r="N691" t="s">
        <v>395</v>
      </c>
      <c r="O691">
        <v>0</v>
      </c>
    </row>
    <row r="692" spans="1:15" x14ac:dyDescent="0.25">
      <c r="A692" t="s">
        <v>1353</v>
      </c>
      <c r="B692">
        <v>70</v>
      </c>
      <c r="C692" t="s">
        <v>997</v>
      </c>
      <c r="D692" s="609">
        <v>45159</v>
      </c>
      <c r="E692">
        <v>0</v>
      </c>
      <c r="F692">
        <v>6</v>
      </c>
      <c r="G692" t="s">
        <v>999</v>
      </c>
      <c r="H692" t="s">
        <v>1355</v>
      </c>
      <c r="I692" t="s">
        <v>393</v>
      </c>
      <c r="J692">
        <v>350000</v>
      </c>
      <c r="K692" t="s">
        <v>394</v>
      </c>
      <c r="L692">
        <v>2802.3999950000002</v>
      </c>
      <c r="M692">
        <v>124.89294912377416</v>
      </c>
      <c r="N692" t="s">
        <v>395</v>
      </c>
      <c r="O692">
        <v>0</v>
      </c>
    </row>
    <row r="693" spans="1:15" x14ac:dyDescent="0.25">
      <c r="A693" t="s">
        <v>1036</v>
      </c>
      <c r="B693">
        <v>22</v>
      </c>
      <c r="C693" t="s">
        <v>997</v>
      </c>
      <c r="D693" t="s">
        <v>1037</v>
      </c>
      <c r="E693">
        <v>0</v>
      </c>
      <c r="F693">
        <v>6</v>
      </c>
      <c r="G693" t="s">
        <v>1038</v>
      </c>
      <c r="H693" t="s">
        <v>1039</v>
      </c>
      <c r="I693" t="s">
        <v>393</v>
      </c>
      <c r="J693">
        <v>300000</v>
      </c>
      <c r="K693" t="s">
        <v>394</v>
      </c>
      <c r="L693">
        <v>2803.6597999999999</v>
      </c>
      <c r="M693">
        <v>107.00299658325166</v>
      </c>
      <c r="N693" t="s">
        <v>395</v>
      </c>
      <c r="O693">
        <v>0</v>
      </c>
    </row>
    <row r="694" spans="1:15" x14ac:dyDescent="0.25">
      <c r="A694" t="s">
        <v>1040</v>
      </c>
      <c r="B694">
        <v>22</v>
      </c>
      <c r="C694" t="s">
        <v>997</v>
      </c>
      <c r="D694" t="s">
        <v>1041</v>
      </c>
      <c r="E694">
        <v>0</v>
      </c>
      <c r="F694">
        <v>6</v>
      </c>
      <c r="G694" t="s">
        <v>1038</v>
      </c>
      <c r="H694" t="s">
        <v>1042</v>
      </c>
      <c r="I694" t="s">
        <v>393</v>
      </c>
      <c r="J694">
        <v>600000</v>
      </c>
      <c r="K694" t="s">
        <v>394</v>
      </c>
      <c r="L694">
        <v>2803.6597999999999</v>
      </c>
      <c r="M694">
        <v>214.00599316650332</v>
      </c>
      <c r="N694" t="s">
        <v>395</v>
      </c>
      <c r="O694">
        <v>0</v>
      </c>
    </row>
    <row r="695" spans="1:15" x14ac:dyDescent="0.25">
      <c r="A695" t="s">
        <v>1043</v>
      </c>
      <c r="B695">
        <v>22</v>
      </c>
      <c r="C695" t="s">
        <v>997</v>
      </c>
      <c r="D695" t="s">
        <v>1041</v>
      </c>
      <c r="E695">
        <v>0</v>
      </c>
      <c r="F695">
        <v>6</v>
      </c>
      <c r="G695" t="s">
        <v>1038</v>
      </c>
      <c r="H695" t="s">
        <v>1044</v>
      </c>
      <c r="I695" t="s">
        <v>393</v>
      </c>
      <c r="J695">
        <v>500000</v>
      </c>
      <c r="K695" t="s">
        <v>394</v>
      </c>
      <c r="L695">
        <v>2803.6597999999999</v>
      </c>
      <c r="M695">
        <v>178.33832763875276</v>
      </c>
      <c r="N695" t="s">
        <v>395</v>
      </c>
      <c r="O695">
        <v>0</v>
      </c>
    </row>
    <row r="696" spans="1:15" x14ac:dyDescent="0.25">
      <c r="A696" t="s">
        <v>1045</v>
      </c>
      <c r="B696">
        <v>22</v>
      </c>
      <c r="C696" t="s">
        <v>997</v>
      </c>
      <c r="D696" s="609">
        <v>45177</v>
      </c>
      <c r="E696">
        <v>0</v>
      </c>
      <c r="F696">
        <v>6</v>
      </c>
      <c r="G696" t="s">
        <v>1038</v>
      </c>
      <c r="H696" t="s">
        <v>1046</v>
      </c>
      <c r="I696" t="s">
        <v>393</v>
      </c>
      <c r="J696">
        <v>882625</v>
      </c>
      <c r="K696" t="s">
        <v>394</v>
      </c>
      <c r="L696">
        <v>2803.6597999999999</v>
      </c>
      <c r="M696">
        <v>314.81173286430828</v>
      </c>
      <c r="N696" t="s">
        <v>395</v>
      </c>
      <c r="O696">
        <v>0</v>
      </c>
    </row>
    <row r="697" spans="1:15" x14ac:dyDescent="0.25">
      <c r="A697" t="s">
        <v>1047</v>
      </c>
      <c r="B697">
        <v>22</v>
      </c>
      <c r="C697" t="s">
        <v>997</v>
      </c>
      <c r="D697" t="s">
        <v>1048</v>
      </c>
      <c r="E697">
        <v>0</v>
      </c>
      <c r="F697">
        <v>6</v>
      </c>
      <c r="G697" t="s">
        <v>1038</v>
      </c>
      <c r="H697" t="s">
        <v>1049</v>
      </c>
      <c r="I697" t="s">
        <v>393</v>
      </c>
      <c r="J697">
        <v>508250</v>
      </c>
      <c r="K697" t="s">
        <v>394</v>
      </c>
      <c r="L697">
        <v>2803.6597999999999</v>
      </c>
      <c r="M697">
        <v>181.28091004479217</v>
      </c>
      <c r="N697" t="s">
        <v>395</v>
      </c>
      <c r="O697">
        <v>0</v>
      </c>
    </row>
    <row r="698" spans="1:15" x14ac:dyDescent="0.25">
      <c r="A698" t="s">
        <v>1050</v>
      </c>
      <c r="B698">
        <v>22</v>
      </c>
      <c r="C698" t="s">
        <v>997</v>
      </c>
      <c r="D698" t="s">
        <v>1048</v>
      </c>
      <c r="E698">
        <v>0</v>
      </c>
      <c r="F698">
        <v>6</v>
      </c>
      <c r="G698" t="s">
        <v>1038</v>
      </c>
      <c r="H698" t="s">
        <v>1049</v>
      </c>
      <c r="I698" t="s">
        <v>393</v>
      </c>
      <c r="J698">
        <v>676113</v>
      </c>
      <c r="K698" t="s">
        <v>394</v>
      </c>
      <c r="L698">
        <v>2803.6597999999999</v>
      </c>
      <c r="M698">
        <v>241.15372342964008</v>
      </c>
      <c r="N698" t="s">
        <v>395</v>
      </c>
      <c r="O698">
        <v>0</v>
      </c>
    </row>
    <row r="699" spans="1:15" x14ac:dyDescent="0.25">
      <c r="A699" t="s">
        <v>1051</v>
      </c>
      <c r="B699">
        <v>22</v>
      </c>
      <c r="C699" t="s">
        <v>997</v>
      </c>
      <c r="D699" s="609">
        <v>45115</v>
      </c>
      <c r="E699">
        <v>0</v>
      </c>
      <c r="F699">
        <v>6</v>
      </c>
      <c r="G699" t="s">
        <v>1038</v>
      </c>
      <c r="H699" t="s">
        <v>1049</v>
      </c>
      <c r="I699" t="s">
        <v>393</v>
      </c>
      <c r="J699">
        <v>846100</v>
      </c>
      <c r="K699" t="s">
        <v>394</v>
      </c>
      <c r="L699">
        <v>2803.6597999999999</v>
      </c>
      <c r="M699">
        <v>301.78411803029741</v>
      </c>
      <c r="N699" t="s">
        <v>395</v>
      </c>
      <c r="O699">
        <v>0</v>
      </c>
    </row>
    <row r="700" spans="1:15" x14ac:dyDescent="0.25">
      <c r="A700" t="s">
        <v>1160</v>
      </c>
      <c r="B700">
        <v>42</v>
      </c>
      <c r="C700" t="s">
        <v>1102</v>
      </c>
      <c r="D700" t="s">
        <v>1161</v>
      </c>
      <c r="E700">
        <v>6345</v>
      </c>
      <c r="F700">
        <v>6</v>
      </c>
      <c r="G700" t="s">
        <v>1038</v>
      </c>
      <c r="H700" t="s">
        <v>1162</v>
      </c>
      <c r="I700" t="s">
        <v>393</v>
      </c>
      <c r="J700">
        <v>30000</v>
      </c>
      <c r="K700" t="s">
        <v>394</v>
      </c>
      <c r="L700">
        <v>2801.6</v>
      </c>
      <c r="M700">
        <v>10.708166761850372</v>
      </c>
      <c r="N700" t="s">
        <v>395</v>
      </c>
      <c r="O700">
        <v>0</v>
      </c>
    </row>
    <row r="701" spans="1:15" x14ac:dyDescent="0.25">
      <c r="A701" t="s">
        <v>1160</v>
      </c>
      <c r="B701">
        <v>42</v>
      </c>
      <c r="C701" t="s">
        <v>1102</v>
      </c>
      <c r="D701" t="s">
        <v>1161</v>
      </c>
      <c r="E701">
        <v>6345</v>
      </c>
      <c r="F701">
        <v>6</v>
      </c>
      <c r="G701" t="s">
        <v>1038</v>
      </c>
      <c r="H701" t="s">
        <v>1163</v>
      </c>
      <c r="I701" t="s">
        <v>393</v>
      </c>
      <c r="J701">
        <v>90000</v>
      </c>
      <c r="K701" t="s">
        <v>394</v>
      </c>
      <c r="L701">
        <v>2801.6</v>
      </c>
      <c r="M701">
        <v>32.124500285551115</v>
      </c>
      <c r="N701" t="s">
        <v>395</v>
      </c>
      <c r="O701">
        <v>0</v>
      </c>
    </row>
    <row r="702" spans="1:15" x14ac:dyDescent="0.25">
      <c r="A702" t="s">
        <v>1160</v>
      </c>
      <c r="B702">
        <v>42</v>
      </c>
      <c r="C702" t="s">
        <v>1102</v>
      </c>
      <c r="D702" t="s">
        <v>1161</v>
      </c>
      <c r="E702">
        <v>6345</v>
      </c>
      <c r="F702">
        <v>6</v>
      </c>
      <c r="G702" t="s">
        <v>1038</v>
      </c>
      <c r="H702" t="s">
        <v>1164</v>
      </c>
      <c r="I702" t="s">
        <v>393</v>
      </c>
      <c r="J702">
        <v>900000</v>
      </c>
      <c r="K702" t="s">
        <v>394</v>
      </c>
      <c r="L702">
        <v>2801.6</v>
      </c>
      <c r="M702">
        <v>321.24500285551113</v>
      </c>
      <c r="N702" t="s">
        <v>395</v>
      </c>
      <c r="O702">
        <v>0</v>
      </c>
    </row>
    <row r="703" spans="1:15" x14ac:dyDescent="0.25">
      <c r="A703" t="s">
        <v>1160</v>
      </c>
      <c r="B703">
        <v>42</v>
      </c>
      <c r="C703" t="s">
        <v>1102</v>
      </c>
      <c r="D703" t="s">
        <v>1161</v>
      </c>
      <c r="E703">
        <v>6345</v>
      </c>
      <c r="F703">
        <v>6</v>
      </c>
      <c r="G703" t="s">
        <v>1038</v>
      </c>
      <c r="H703" t="s">
        <v>352</v>
      </c>
      <c r="I703" t="s">
        <v>393</v>
      </c>
      <c r="J703">
        <v>360000</v>
      </c>
      <c r="K703" t="s">
        <v>394</v>
      </c>
      <c r="L703">
        <v>2801.6</v>
      </c>
      <c r="M703">
        <v>128.49800114220446</v>
      </c>
      <c r="N703" t="s">
        <v>395</v>
      </c>
      <c r="O703">
        <v>0</v>
      </c>
    </row>
    <row r="704" spans="1:15" x14ac:dyDescent="0.25">
      <c r="A704" t="s">
        <v>1165</v>
      </c>
      <c r="B704">
        <v>40</v>
      </c>
      <c r="C704" t="s">
        <v>1102</v>
      </c>
      <c r="D704" t="s">
        <v>1161</v>
      </c>
      <c r="E704">
        <v>6176</v>
      </c>
      <c r="F704">
        <v>6</v>
      </c>
      <c r="G704" t="s">
        <v>1038</v>
      </c>
      <c r="H704" t="s">
        <v>1166</v>
      </c>
      <c r="I704" t="s">
        <v>393</v>
      </c>
      <c r="J704">
        <v>412000</v>
      </c>
      <c r="K704" t="s">
        <v>394</v>
      </c>
      <c r="L704">
        <v>2801.6</v>
      </c>
      <c r="M704">
        <v>147.05882352941177</v>
      </c>
      <c r="N704" t="s">
        <v>395</v>
      </c>
      <c r="O704">
        <v>0</v>
      </c>
    </row>
    <row r="705" spans="1:15" x14ac:dyDescent="0.25">
      <c r="A705" t="s">
        <v>1167</v>
      </c>
      <c r="B705">
        <v>39</v>
      </c>
      <c r="C705" t="s">
        <v>1102</v>
      </c>
      <c r="D705" t="s">
        <v>1161</v>
      </c>
      <c r="E705">
        <v>6172</v>
      </c>
      <c r="F705">
        <v>6</v>
      </c>
      <c r="G705" t="s">
        <v>1038</v>
      </c>
      <c r="H705" t="s">
        <v>1168</v>
      </c>
      <c r="I705" t="s">
        <v>393</v>
      </c>
      <c r="J705">
        <v>683100</v>
      </c>
      <c r="K705" t="s">
        <v>394</v>
      </c>
      <c r="L705">
        <v>2801.6</v>
      </c>
      <c r="M705">
        <v>243.82495716733297</v>
      </c>
      <c r="N705" t="s">
        <v>395</v>
      </c>
      <c r="O705">
        <v>0</v>
      </c>
    </row>
    <row r="706" spans="1:15" x14ac:dyDescent="0.25">
      <c r="A706" t="s">
        <v>1169</v>
      </c>
      <c r="B706">
        <v>41</v>
      </c>
      <c r="C706" t="s">
        <v>1102</v>
      </c>
      <c r="D706" t="s">
        <v>1161</v>
      </c>
      <c r="E706">
        <v>6345</v>
      </c>
      <c r="F706">
        <v>6</v>
      </c>
      <c r="G706" t="s">
        <v>1038</v>
      </c>
      <c r="H706" t="s">
        <v>1170</v>
      </c>
      <c r="I706" t="s">
        <v>393</v>
      </c>
      <c r="J706">
        <v>300000</v>
      </c>
      <c r="K706" t="s">
        <v>394</v>
      </c>
      <c r="L706">
        <v>2801.6</v>
      </c>
      <c r="M706">
        <v>107.08166761850372</v>
      </c>
      <c r="N706" t="s">
        <v>395</v>
      </c>
      <c r="O706">
        <v>0</v>
      </c>
    </row>
    <row r="707" spans="1:15" x14ac:dyDescent="0.25">
      <c r="A707" t="s">
        <v>1171</v>
      </c>
      <c r="B707">
        <v>36</v>
      </c>
      <c r="C707" t="s">
        <v>1102</v>
      </c>
      <c r="D707" t="s">
        <v>1161</v>
      </c>
      <c r="E707">
        <v>6345</v>
      </c>
      <c r="F707">
        <v>6</v>
      </c>
      <c r="G707" t="s">
        <v>1038</v>
      </c>
      <c r="H707" t="s">
        <v>1172</v>
      </c>
      <c r="I707" t="s">
        <v>393</v>
      </c>
      <c r="J707">
        <v>140000</v>
      </c>
      <c r="K707" t="s">
        <v>394</v>
      </c>
      <c r="L707">
        <v>2801.6</v>
      </c>
      <c r="M707">
        <v>49.97144488863507</v>
      </c>
      <c r="N707" t="s">
        <v>395</v>
      </c>
      <c r="O707">
        <v>0</v>
      </c>
    </row>
    <row r="708" spans="1:15" x14ac:dyDescent="0.25">
      <c r="A708" t="s">
        <v>1171</v>
      </c>
      <c r="B708">
        <v>36</v>
      </c>
      <c r="C708" t="s">
        <v>1102</v>
      </c>
      <c r="D708" t="s">
        <v>1161</v>
      </c>
      <c r="E708">
        <v>6345</v>
      </c>
      <c r="F708">
        <v>6</v>
      </c>
      <c r="G708" t="s">
        <v>1038</v>
      </c>
      <c r="H708" t="s">
        <v>1173</v>
      </c>
      <c r="I708" t="s">
        <v>393</v>
      </c>
      <c r="J708">
        <v>104000</v>
      </c>
      <c r="K708" t="s">
        <v>394</v>
      </c>
      <c r="L708">
        <v>2801.6</v>
      </c>
      <c r="M708">
        <v>37.121644774414619</v>
      </c>
      <c r="N708" t="s">
        <v>395</v>
      </c>
      <c r="O708">
        <v>0</v>
      </c>
    </row>
    <row r="709" spans="1:15" x14ac:dyDescent="0.25">
      <c r="A709" t="s">
        <v>1171</v>
      </c>
      <c r="B709">
        <v>36</v>
      </c>
      <c r="C709" t="s">
        <v>1102</v>
      </c>
      <c r="D709" t="s">
        <v>1161</v>
      </c>
      <c r="E709">
        <v>6345</v>
      </c>
      <c r="F709">
        <v>6</v>
      </c>
      <c r="G709" t="s">
        <v>1038</v>
      </c>
      <c r="H709" t="s">
        <v>1174</v>
      </c>
      <c r="I709" t="s">
        <v>393</v>
      </c>
      <c r="J709">
        <v>390000</v>
      </c>
      <c r="K709" t="s">
        <v>394</v>
      </c>
      <c r="L709">
        <v>2801.6</v>
      </c>
      <c r="M709">
        <v>139.20616790405484</v>
      </c>
      <c r="N709" t="s">
        <v>395</v>
      </c>
      <c r="O709">
        <v>0</v>
      </c>
    </row>
    <row r="710" spans="1:15" x14ac:dyDescent="0.25">
      <c r="A710" t="s">
        <v>1175</v>
      </c>
      <c r="B710">
        <v>44</v>
      </c>
      <c r="C710" t="s">
        <v>1102</v>
      </c>
      <c r="D710" t="s">
        <v>1176</v>
      </c>
      <c r="E710">
        <v>6345</v>
      </c>
      <c r="F710">
        <v>6</v>
      </c>
      <c r="G710" t="s">
        <v>1038</v>
      </c>
      <c r="H710" t="s">
        <v>1177</v>
      </c>
      <c r="I710" t="s">
        <v>393</v>
      </c>
      <c r="J710">
        <v>150000</v>
      </c>
      <c r="K710" t="s">
        <v>394</v>
      </c>
      <c r="L710">
        <v>2801.6</v>
      </c>
      <c r="M710">
        <v>53.540833809251858</v>
      </c>
      <c r="N710" t="s">
        <v>395</v>
      </c>
      <c r="O710">
        <v>0</v>
      </c>
    </row>
    <row r="711" spans="1:15" x14ac:dyDescent="0.25">
      <c r="A711" t="s">
        <v>1175</v>
      </c>
      <c r="B711">
        <v>44</v>
      </c>
      <c r="C711" t="s">
        <v>1102</v>
      </c>
      <c r="D711" t="s">
        <v>1176</v>
      </c>
      <c r="E711">
        <v>6345</v>
      </c>
      <c r="F711">
        <v>6</v>
      </c>
      <c r="G711" t="s">
        <v>1038</v>
      </c>
      <c r="H711" t="s">
        <v>1178</v>
      </c>
      <c r="I711" t="s">
        <v>393</v>
      </c>
      <c r="J711">
        <v>117000</v>
      </c>
      <c r="K711" t="s">
        <v>394</v>
      </c>
      <c r="L711">
        <v>2801.6</v>
      </c>
      <c r="M711">
        <v>41.761850371216447</v>
      </c>
      <c r="N711" t="s">
        <v>395</v>
      </c>
      <c r="O711">
        <v>0</v>
      </c>
    </row>
    <row r="712" spans="1:15" x14ac:dyDescent="0.25">
      <c r="A712" t="s">
        <v>1175</v>
      </c>
      <c r="B712">
        <v>44</v>
      </c>
      <c r="C712" t="s">
        <v>1102</v>
      </c>
      <c r="D712" t="s">
        <v>1176</v>
      </c>
      <c r="E712">
        <v>6345</v>
      </c>
      <c r="F712">
        <v>6</v>
      </c>
      <c r="G712" t="s">
        <v>1038</v>
      </c>
      <c r="H712" t="s">
        <v>1179</v>
      </c>
      <c r="I712" t="s">
        <v>393</v>
      </c>
      <c r="J712">
        <v>364000</v>
      </c>
      <c r="K712" t="s">
        <v>394</v>
      </c>
      <c r="L712">
        <v>2801.6</v>
      </c>
      <c r="M712">
        <v>129.92575671045117</v>
      </c>
      <c r="N712" t="s">
        <v>395</v>
      </c>
      <c r="O712">
        <v>0</v>
      </c>
    </row>
    <row r="713" spans="1:15" x14ac:dyDescent="0.25">
      <c r="A713" t="s">
        <v>1180</v>
      </c>
      <c r="B713">
        <v>37</v>
      </c>
      <c r="C713" t="s">
        <v>1102</v>
      </c>
      <c r="D713" t="s">
        <v>1181</v>
      </c>
      <c r="E713">
        <v>6345</v>
      </c>
      <c r="F713">
        <v>6</v>
      </c>
      <c r="G713" t="s">
        <v>1038</v>
      </c>
      <c r="H713" t="s">
        <v>1182</v>
      </c>
      <c r="I713" t="s">
        <v>393</v>
      </c>
      <c r="J713">
        <v>150000</v>
      </c>
      <c r="K713" t="s">
        <v>394</v>
      </c>
      <c r="L713">
        <v>2801.6</v>
      </c>
      <c r="M713">
        <v>53.540833809251858</v>
      </c>
      <c r="N713" t="s">
        <v>395</v>
      </c>
      <c r="O713">
        <v>0</v>
      </c>
    </row>
    <row r="714" spans="1:15" x14ac:dyDescent="0.25">
      <c r="A714" t="s">
        <v>1180</v>
      </c>
      <c r="B714">
        <v>37</v>
      </c>
      <c r="C714" t="s">
        <v>1102</v>
      </c>
      <c r="D714" t="s">
        <v>1181</v>
      </c>
      <c r="E714">
        <v>6345</v>
      </c>
      <c r="F714">
        <v>6</v>
      </c>
      <c r="G714" t="s">
        <v>1038</v>
      </c>
      <c r="H714" t="s">
        <v>1183</v>
      </c>
      <c r="I714" t="s">
        <v>393</v>
      </c>
      <c r="J714">
        <v>130000</v>
      </c>
      <c r="K714" t="s">
        <v>394</v>
      </c>
      <c r="L714">
        <v>2801.6</v>
      </c>
      <c r="M714">
        <v>46.402055968018274</v>
      </c>
      <c r="N714" t="s">
        <v>395</v>
      </c>
      <c r="O714">
        <v>0</v>
      </c>
    </row>
    <row r="715" spans="1:15" x14ac:dyDescent="0.25">
      <c r="A715" t="s">
        <v>1180</v>
      </c>
      <c r="B715">
        <v>37</v>
      </c>
      <c r="C715" t="s">
        <v>1102</v>
      </c>
      <c r="D715" t="s">
        <v>1181</v>
      </c>
      <c r="E715">
        <v>6345</v>
      </c>
      <c r="F715">
        <v>6</v>
      </c>
      <c r="G715" t="s">
        <v>1038</v>
      </c>
      <c r="H715" t="s">
        <v>1184</v>
      </c>
      <c r="I715" t="s">
        <v>393</v>
      </c>
      <c r="J715">
        <v>364000</v>
      </c>
      <c r="K715" t="s">
        <v>394</v>
      </c>
      <c r="L715">
        <v>2801.6</v>
      </c>
      <c r="M715">
        <v>129.92575671045117</v>
      </c>
      <c r="N715" t="s">
        <v>395</v>
      </c>
      <c r="O715">
        <v>0</v>
      </c>
    </row>
    <row r="716" spans="1:15" x14ac:dyDescent="0.25">
      <c r="A716" t="s">
        <v>1185</v>
      </c>
      <c r="B716">
        <v>45</v>
      </c>
      <c r="C716" t="s">
        <v>1102</v>
      </c>
      <c r="D716" t="s">
        <v>1186</v>
      </c>
      <c r="E716">
        <v>6172</v>
      </c>
      <c r="F716">
        <v>6</v>
      </c>
      <c r="G716" t="s">
        <v>1038</v>
      </c>
      <c r="H716" t="s">
        <v>1187</v>
      </c>
      <c r="I716" t="s">
        <v>393</v>
      </c>
      <c r="J716">
        <v>341550</v>
      </c>
      <c r="K716" t="s">
        <v>394</v>
      </c>
      <c r="L716">
        <v>2801.6</v>
      </c>
      <c r="M716">
        <v>121.91247858366648</v>
      </c>
      <c r="N716" t="s">
        <v>395</v>
      </c>
      <c r="O716">
        <v>0</v>
      </c>
    </row>
    <row r="717" spans="1:15" x14ac:dyDescent="0.25">
      <c r="A717" t="s">
        <v>1188</v>
      </c>
      <c r="B717">
        <v>46</v>
      </c>
      <c r="C717" t="s">
        <v>1102</v>
      </c>
      <c r="D717" t="s">
        <v>1189</v>
      </c>
      <c r="E717">
        <v>6345</v>
      </c>
      <c r="F717">
        <v>6</v>
      </c>
      <c r="G717" t="s">
        <v>1038</v>
      </c>
      <c r="H717" t="s">
        <v>1170</v>
      </c>
      <c r="I717" t="s">
        <v>393</v>
      </c>
      <c r="J717">
        <v>200000</v>
      </c>
      <c r="K717" t="s">
        <v>394</v>
      </c>
      <c r="L717">
        <v>2801.6</v>
      </c>
      <c r="M717">
        <v>71.387778412335805</v>
      </c>
      <c r="N717" t="s">
        <v>395</v>
      </c>
      <c r="O717">
        <v>0</v>
      </c>
    </row>
    <row r="718" spans="1:15" x14ac:dyDescent="0.25">
      <c r="A718" t="s">
        <v>1190</v>
      </c>
      <c r="B718">
        <v>47</v>
      </c>
      <c r="C718" t="s">
        <v>1102</v>
      </c>
      <c r="D718" t="s">
        <v>1191</v>
      </c>
      <c r="E718">
        <v>6345</v>
      </c>
      <c r="F718">
        <v>6</v>
      </c>
      <c r="G718" t="s">
        <v>1038</v>
      </c>
      <c r="H718" t="s">
        <v>1192</v>
      </c>
      <c r="I718" t="s">
        <v>393</v>
      </c>
      <c r="J718">
        <v>140000</v>
      </c>
      <c r="K718" t="s">
        <v>394</v>
      </c>
      <c r="L718">
        <v>2801.6</v>
      </c>
      <c r="M718">
        <v>49.97144488863507</v>
      </c>
      <c r="N718" t="s">
        <v>395</v>
      </c>
      <c r="O718">
        <v>0</v>
      </c>
    </row>
    <row r="719" spans="1:15" x14ac:dyDescent="0.25">
      <c r="A719" t="s">
        <v>1190</v>
      </c>
      <c r="B719">
        <v>47</v>
      </c>
      <c r="C719" t="s">
        <v>1102</v>
      </c>
      <c r="D719" t="s">
        <v>1191</v>
      </c>
      <c r="E719">
        <v>6345</v>
      </c>
      <c r="F719">
        <v>6</v>
      </c>
      <c r="G719" t="s">
        <v>1038</v>
      </c>
      <c r="H719" t="s">
        <v>1193</v>
      </c>
      <c r="I719" t="s">
        <v>393</v>
      </c>
      <c r="J719">
        <v>104000</v>
      </c>
      <c r="K719" t="s">
        <v>394</v>
      </c>
      <c r="L719">
        <v>2801.6</v>
      </c>
      <c r="M719">
        <v>37.121644774414619</v>
      </c>
      <c r="N719" t="s">
        <v>395</v>
      </c>
      <c r="O719">
        <v>0</v>
      </c>
    </row>
    <row r="720" spans="1:15" x14ac:dyDescent="0.25">
      <c r="A720" t="s">
        <v>1190</v>
      </c>
      <c r="B720">
        <v>47</v>
      </c>
      <c r="C720" t="s">
        <v>1102</v>
      </c>
      <c r="D720" t="s">
        <v>1191</v>
      </c>
      <c r="E720">
        <v>6345</v>
      </c>
      <c r="F720">
        <v>6</v>
      </c>
      <c r="G720" t="s">
        <v>1038</v>
      </c>
      <c r="H720" t="s">
        <v>1194</v>
      </c>
      <c r="I720" t="s">
        <v>393</v>
      </c>
      <c r="J720">
        <v>364000</v>
      </c>
      <c r="K720" t="s">
        <v>394</v>
      </c>
      <c r="L720">
        <v>2801.6</v>
      </c>
      <c r="M720">
        <v>129.92575671045117</v>
      </c>
      <c r="N720" t="s">
        <v>395</v>
      </c>
      <c r="O720">
        <v>0</v>
      </c>
    </row>
    <row r="721" spans="1:15" x14ac:dyDescent="0.25">
      <c r="A721" t="s">
        <v>1195</v>
      </c>
      <c r="B721">
        <v>49</v>
      </c>
      <c r="C721" t="s">
        <v>1102</v>
      </c>
      <c r="D721" t="s">
        <v>1191</v>
      </c>
      <c r="E721">
        <v>6345</v>
      </c>
      <c r="F721">
        <v>6</v>
      </c>
      <c r="G721" t="s">
        <v>1038</v>
      </c>
      <c r="H721" t="s">
        <v>1196</v>
      </c>
      <c r="I721" t="s">
        <v>393</v>
      </c>
      <c r="J721">
        <v>150000</v>
      </c>
      <c r="K721" t="s">
        <v>394</v>
      </c>
      <c r="L721">
        <v>2801.6</v>
      </c>
      <c r="M721">
        <v>53.540833809251858</v>
      </c>
      <c r="N721" t="s">
        <v>395</v>
      </c>
      <c r="O721">
        <v>0</v>
      </c>
    </row>
    <row r="722" spans="1:15" x14ac:dyDescent="0.25">
      <c r="A722" t="s">
        <v>1195</v>
      </c>
      <c r="B722">
        <v>49</v>
      </c>
      <c r="C722" t="s">
        <v>1102</v>
      </c>
      <c r="D722" t="s">
        <v>1191</v>
      </c>
      <c r="E722">
        <v>6345</v>
      </c>
      <c r="F722">
        <v>6</v>
      </c>
      <c r="G722" t="s">
        <v>1038</v>
      </c>
      <c r="H722" t="s">
        <v>1197</v>
      </c>
      <c r="I722" t="s">
        <v>393</v>
      </c>
      <c r="J722">
        <v>130000</v>
      </c>
      <c r="K722" t="s">
        <v>394</v>
      </c>
      <c r="L722">
        <v>2801.6</v>
      </c>
      <c r="M722">
        <v>46.402055968018274</v>
      </c>
      <c r="N722" t="s">
        <v>395</v>
      </c>
      <c r="O722">
        <v>0</v>
      </c>
    </row>
    <row r="723" spans="1:15" x14ac:dyDescent="0.25">
      <c r="A723" t="s">
        <v>1195</v>
      </c>
      <c r="B723">
        <v>49</v>
      </c>
      <c r="C723" t="s">
        <v>1102</v>
      </c>
      <c r="D723" t="s">
        <v>1191</v>
      </c>
      <c r="E723">
        <v>6345</v>
      </c>
      <c r="F723">
        <v>6</v>
      </c>
      <c r="G723" t="s">
        <v>1038</v>
      </c>
      <c r="H723" t="s">
        <v>1198</v>
      </c>
      <c r="I723" t="s">
        <v>393</v>
      </c>
      <c r="J723">
        <v>390000</v>
      </c>
      <c r="K723" t="s">
        <v>394</v>
      </c>
      <c r="L723">
        <v>2801.6</v>
      </c>
      <c r="M723">
        <v>139.20616790405484</v>
      </c>
      <c r="N723" t="s">
        <v>395</v>
      </c>
      <c r="O723">
        <v>0</v>
      </c>
    </row>
    <row r="724" spans="1:15" x14ac:dyDescent="0.25">
      <c r="A724" t="s">
        <v>1199</v>
      </c>
      <c r="B724">
        <v>43</v>
      </c>
      <c r="C724" t="s">
        <v>1102</v>
      </c>
      <c r="D724" t="s">
        <v>1189</v>
      </c>
      <c r="E724">
        <v>6345</v>
      </c>
      <c r="F724">
        <v>6</v>
      </c>
      <c r="G724" t="s">
        <v>1038</v>
      </c>
      <c r="H724" t="s">
        <v>1162</v>
      </c>
      <c r="I724" t="s">
        <v>393</v>
      </c>
      <c r="J724">
        <v>20000</v>
      </c>
      <c r="K724" t="s">
        <v>394</v>
      </c>
      <c r="L724">
        <v>2801.6</v>
      </c>
      <c r="M724">
        <v>7.1387778412335807</v>
      </c>
      <c r="N724" t="s">
        <v>395</v>
      </c>
      <c r="O724">
        <v>0</v>
      </c>
    </row>
    <row r="725" spans="1:15" x14ac:dyDescent="0.25">
      <c r="A725" t="s">
        <v>1199</v>
      </c>
      <c r="B725">
        <v>43</v>
      </c>
      <c r="C725" t="s">
        <v>1102</v>
      </c>
      <c r="D725" t="s">
        <v>1189</v>
      </c>
      <c r="E725">
        <v>6345</v>
      </c>
      <c r="F725">
        <v>6</v>
      </c>
      <c r="G725" t="s">
        <v>1038</v>
      </c>
      <c r="H725" t="s">
        <v>1163</v>
      </c>
      <c r="I725" t="s">
        <v>393</v>
      </c>
      <c r="J725">
        <v>60000</v>
      </c>
      <c r="K725" t="s">
        <v>394</v>
      </c>
      <c r="L725">
        <v>2801.6</v>
      </c>
      <c r="M725">
        <v>21.416333523700743</v>
      </c>
      <c r="N725" t="s">
        <v>395</v>
      </c>
      <c r="O725">
        <v>0</v>
      </c>
    </row>
    <row r="726" spans="1:15" x14ac:dyDescent="0.25">
      <c r="A726" t="s">
        <v>1199</v>
      </c>
      <c r="B726">
        <v>43</v>
      </c>
      <c r="C726" t="s">
        <v>1102</v>
      </c>
      <c r="D726" t="s">
        <v>1189</v>
      </c>
      <c r="E726">
        <v>6345</v>
      </c>
      <c r="F726">
        <v>6</v>
      </c>
      <c r="G726" t="s">
        <v>1038</v>
      </c>
      <c r="H726" t="s">
        <v>1164</v>
      </c>
      <c r="I726" t="s">
        <v>393</v>
      </c>
      <c r="J726">
        <v>600000</v>
      </c>
      <c r="K726" t="s">
        <v>394</v>
      </c>
      <c r="L726">
        <v>2801.6</v>
      </c>
      <c r="M726">
        <v>214.16333523700743</v>
      </c>
      <c r="N726" t="s">
        <v>395</v>
      </c>
      <c r="O726">
        <v>0</v>
      </c>
    </row>
    <row r="727" spans="1:15" x14ac:dyDescent="0.25">
      <c r="A727" t="s">
        <v>1199</v>
      </c>
      <c r="B727">
        <v>43</v>
      </c>
      <c r="C727" t="s">
        <v>1102</v>
      </c>
      <c r="D727" t="s">
        <v>1189</v>
      </c>
      <c r="E727">
        <v>6345</v>
      </c>
      <c r="F727">
        <v>6</v>
      </c>
      <c r="G727" t="s">
        <v>1038</v>
      </c>
      <c r="H727" t="s">
        <v>352</v>
      </c>
      <c r="I727" t="s">
        <v>393</v>
      </c>
      <c r="J727">
        <v>240000</v>
      </c>
      <c r="K727" t="s">
        <v>394</v>
      </c>
      <c r="L727">
        <v>2801.6</v>
      </c>
      <c r="M727">
        <v>85.665334094802972</v>
      </c>
      <c r="N727" t="s">
        <v>395</v>
      </c>
      <c r="O727">
        <v>0</v>
      </c>
    </row>
    <row r="728" spans="1:15" x14ac:dyDescent="0.25">
      <c r="A728" t="s">
        <v>1200</v>
      </c>
      <c r="B728">
        <v>50</v>
      </c>
      <c r="C728" t="s">
        <v>1102</v>
      </c>
      <c r="D728" t="s">
        <v>1106</v>
      </c>
      <c r="E728">
        <v>6345</v>
      </c>
      <c r="F728">
        <v>6</v>
      </c>
      <c r="G728" t="s">
        <v>1038</v>
      </c>
      <c r="H728" t="s">
        <v>1170</v>
      </c>
      <c r="I728" t="s">
        <v>393</v>
      </c>
      <c r="J728">
        <v>150000</v>
      </c>
      <c r="K728" t="s">
        <v>394</v>
      </c>
      <c r="L728">
        <v>2801.6</v>
      </c>
      <c r="M728">
        <v>53.540833809251858</v>
      </c>
      <c r="N728" t="s">
        <v>395</v>
      </c>
      <c r="O728">
        <v>0</v>
      </c>
    </row>
    <row r="729" spans="1:15" x14ac:dyDescent="0.25">
      <c r="A729" t="s">
        <v>1201</v>
      </c>
      <c r="B729">
        <v>55</v>
      </c>
      <c r="C729" t="s">
        <v>1102</v>
      </c>
      <c r="D729" t="s">
        <v>1202</v>
      </c>
      <c r="E729">
        <v>6312</v>
      </c>
      <c r="F729">
        <v>6</v>
      </c>
      <c r="G729" t="s">
        <v>1038</v>
      </c>
      <c r="H729" t="s">
        <v>351</v>
      </c>
      <c r="I729" t="s">
        <v>393</v>
      </c>
      <c r="J729">
        <v>360000</v>
      </c>
      <c r="K729" t="s">
        <v>394</v>
      </c>
      <c r="L729">
        <v>2801.6</v>
      </c>
      <c r="M729">
        <v>128.49800114220446</v>
      </c>
      <c r="N729" t="s">
        <v>395</v>
      </c>
      <c r="O729">
        <v>0</v>
      </c>
    </row>
    <row r="730" spans="1:15" x14ac:dyDescent="0.25">
      <c r="A730" t="s">
        <v>1203</v>
      </c>
      <c r="B730">
        <v>56</v>
      </c>
      <c r="C730" t="s">
        <v>1102</v>
      </c>
      <c r="D730" t="s">
        <v>1202</v>
      </c>
      <c r="E730">
        <v>6312</v>
      </c>
      <c r="F730">
        <v>6</v>
      </c>
      <c r="G730" t="s">
        <v>1038</v>
      </c>
      <c r="H730" t="s">
        <v>351</v>
      </c>
      <c r="I730" t="s">
        <v>393</v>
      </c>
      <c r="J730">
        <v>720000</v>
      </c>
      <c r="K730" t="s">
        <v>394</v>
      </c>
      <c r="L730">
        <v>2801.6</v>
      </c>
      <c r="M730">
        <v>256.99600228440892</v>
      </c>
      <c r="N730" t="s">
        <v>395</v>
      </c>
      <c r="O730">
        <v>0</v>
      </c>
    </row>
    <row r="731" spans="1:15" x14ac:dyDescent="0.25">
      <c r="A731" t="s">
        <v>1204</v>
      </c>
      <c r="B731">
        <v>58</v>
      </c>
      <c r="C731" t="s">
        <v>1102</v>
      </c>
      <c r="D731" t="s">
        <v>1114</v>
      </c>
      <c r="E731">
        <v>6179</v>
      </c>
      <c r="F731">
        <v>6</v>
      </c>
      <c r="G731" t="s">
        <v>1038</v>
      </c>
      <c r="H731" t="s">
        <v>1205</v>
      </c>
      <c r="I731" t="s">
        <v>393</v>
      </c>
      <c r="J731">
        <v>30000</v>
      </c>
      <c r="K731" t="s">
        <v>394</v>
      </c>
      <c r="L731">
        <v>2801.6</v>
      </c>
      <c r="M731">
        <v>10.708166761850372</v>
      </c>
      <c r="N731" t="s">
        <v>395</v>
      </c>
      <c r="O731">
        <v>0</v>
      </c>
    </row>
    <row r="732" spans="1:15" x14ac:dyDescent="0.25">
      <c r="A732" t="s">
        <v>1356</v>
      </c>
      <c r="B732">
        <v>71</v>
      </c>
      <c r="C732" t="s">
        <v>997</v>
      </c>
      <c r="D732" s="609">
        <v>45162</v>
      </c>
      <c r="E732">
        <v>0</v>
      </c>
      <c r="F732">
        <v>6</v>
      </c>
      <c r="G732" t="s">
        <v>1038</v>
      </c>
      <c r="H732" t="s">
        <v>1357</v>
      </c>
      <c r="I732" t="s">
        <v>393</v>
      </c>
      <c r="J732">
        <v>100000</v>
      </c>
      <c r="K732" t="s">
        <v>394</v>
      </c>
      <c r="L732">
        <v>2802.3999950000002</v>
      </c>
      <c r="M732">
        <v>35.683699749649762</v>
      </c>
      <c r="N732" t="s">
        <v>395</v>
      </c>
      <c r="O732">
        <v>0</v>
      </c>
    </row>
    <row r="733" spans="1:15" x14ac:dyDescent="0.25">
      <c r="A733" t="s">
        <v>1356</v>
      </c>
      <c r="B733">
        <v>71</v>
      </c>
      <c r="C733" t="s">
        <v>997</v>
      </c>
      <c r="D733" s="609">
        <v>45162</v>
      </c>
      <c r="E733">
        <v>0</v>
      </c>
      <c r="F733">
        <v>6</v>
      </c>
      <c r="G733" t="s">
        <v>1038</v>
      </c>
      <c r="H733" t="s">
        <v>1358</v>
      </c>
      <c r="I733" t="s">
        <v>393</v>
      </c>
      <c r="J733">
        <v>112000</v>
      </c>
      <c r="K733" t="s">
        <v>394</v>
      </c>
      <c r="L733">
        <v>2802.3999950000002</v>
      </c>
      <c r="M733">
        <v>39.96574371960773</v>
      </c>
      <c r="N733" t="s">
        <v>395</v>
      </c>
      <c r="O733">
        <v>0</v>
      </c>
    </row>
    <row r="734" spans="1:15" x14ac:dyDescent="0.25">
      <c r="A734" t="s">
        <v>1356</v>
      </c>
      <c r="B734">
        <v>71</v>
      </c>
      <c r="C734" t="s">
        <v>997</v>
      </c>
      <c r="D734" s="609">
        <v>45162</v>
      </c>
      <c r="E734">
        <v>0</v>
      </c>
      <c r="F734">
        <v>6</v>
      </c>
      <c r="G734" t="s">
        <v>1038</v>
      </c>
      <c r="H734" t="s">
        <v>1359</v>
      </c>
      <c r="I734" t="s">
        <v>393</v>
      </c>
      <c r="J734">
        <v>196000</v>
      </c>
      <c r="K734" t="s">
        <v>394</v>
      </c>
      <c r="L734">
        <v>2802.3999950000002</v>
      </c>
      <c r="M734">
        <v>69.940051509313534</v>
      </c>
      <c r="N734" t="s">
        <v>395</v>
      </c>
      <c r="O734">
        <v>0</v>
      </c>
    </row>
    <row r="735" spans="1:15" x14ac:dyDescent="0.25">
      <c r="A735" t="s">
        <v>1356</v>
      </c>
      <c r="B735">
        <v>71</v>
      </c>
      <c r="C735" t="s">
        <v>997</v>
      </c>
      <c r="D735" s="609">
        <v>45162</v>
      </c>
      <c r="E735">
        <v>0</v>
      </c>
      <c r="F735">
        <v>6</v>
      </c>
      <c r="G735" t="s">
        <v>1038</v>
      </c>
      <c r="H735" t="s">
        <v>1360</v>
      </c>
      <c r="I735" t="s">
        <v>393</v>
      </c>
      <c r="J735">
        <v>56000</v>
      </c>
      <c r="K735" t="s">
        <v>394</v>
      </c>
      <c r="L735">
        <v>2802.3999950000002</v>
      </c>
      <c r="M735">
        <v>19.982871859803865</v>
      </c>
      <c r="N735" t="s">
        <v>395</v>
      </c>
      <c r="O735">
        <v>0</v>
      </c>
    </row>
    <row r="736" spans="1:15" x14ac:dyDescent="0.25">
      <c r="A736" t="s">
        <v>1361</v>
      </c>
      <c r="B736">
        <v>72</v>
      </c>
      <c r="C736" t="s">
        <v>997</v>
      </c>
      <c r="D736" s="609">
        <v>45162</v>
      </c>
      <c r="E736">
        <v>0</v>
      </c>
      <c r="F736">
        <v>6</v>
      </c>
      <c r="G736" t="s">
        <v>1038</v>
      </c>
      <c r="H736" t="s">
        <v>1362</v>
      </c>
      <c r="I736" t="s">
        <v>393</v>
      </c>
      <c r="J736">
        <v>100000</v>
      </c>
      <c r="K736" t="s">
        <v>394</v>
      </c>
      <c r="L736">
        <v>2802.3999950000002</v>
      </c>
      <c r="M736">
        <v>35.683699749649762</v>
      </c>
      <c r="N736" t="s">
        <v>395</v>
      </c>
      <c r="O736">
        <v>0</v>
      </c>
    </row>
    <row r="737" spans="1:15" x14ac:dyDescent="0.25">
      <c r="A737" t="s">
        <v>1361</v>
      </c>
      <c r="B737">
        <v>72</v>
      </c>
      <c r="C737" t="s">
        <v>997</v>
      </c>
      <c r="D737" s="609">
        <v>45162</v>
      </c>
      <c r="E737">
        <v>0</v>
      </c>
      <c r="F737">
        <v>6</v>
      </c>
      <c r="G737" t="s">
        <v>1038</v>
      </c>
      <c r="H737" t="s">
        <v>1363</v>
      </c>
      <c r="I737" t="s">
        <v>393</v>
      </c>
      <c r="J737">
        <v>112000</v>
      </c>
      <c r="K737" t="s">
        <v>394</v>
      </c>
      <c r="L737">
        <v>2802.3999950000002</v>
      </c>
      <c r="M737">
        <v>39.96574371960773</v>
      </c>
      <c r="N737" t="s">
        <v>395</v>
      </c>
      <c r="O737">
        <v>0</v>
      </c>
    </row>
    <row r="738" spans="1:15" x14ac:dyDescent="0.25">
      <c r="A738" t="s">
        <v>1361</v>
      </c>
      <c r="B738">
        <v>72</v>
      </c>
      <c r="C738" t="s">
        <v>997</v>
      </c>
      <c r="D738" s="609">
        <v>45162</v>
      </c>
      <c r="E738">
        <v>0</v>
      </c>
      <c r="F738">
        <v>6</v>
      </c>
      <c r="G738" t="s">
        <v>1038</v>
      </c>
      <c r="H738" t="s">
        <v>1364</v>
      </c>
      <c r="I738" t="s">
        <v>393</v>
      </c>
      <c r="J738">
        <v>224000</v>
      </c>
      <c r="K738" t="s">
        <v>394</v>
      </c>
      <c r="L738">
        <v>2802.3999950000002</v>
      </c>
      <c r="M738">
        <v>79.931487439215459</v>
      </c>
      <c r="N738" t="s">
        <v>395</v>
      </c>
      <c r="O738">
        <v>0</v>
      </c>
    </row>
    <row r="739" spans="1:15" x14ac:dyDescent="0.25">
      <c r="A739" t="s">
        <v>1361</v>
      </c>
      <c r="B739">
        <v>72</v>
      </c>
      <c r="C739" t="s">
        <v>997</v>
      </c>
      <c r="D739" s="609">
        <v>45162</v>
      </c>
      <c r="E739">
        <v>0</v>
      </c>
      <c r="F739">
        <v>6</v>
      </c>
      <c r="G739" t="s">
        <v>1038</v>
      </c>
      <c r="H739" t="s">
        <v>1365</v>
      </c>
      <c r="I739" t="s">
        <v>393</v>
      </c>
      <c r="J739">
        <v>56000</v>
      </c>
      <c r="K739" t="s">
        <v>394</v>
      </c>
      <c r="L739">
        <v>2802.3999950000002</v>
      </c>
      <c r="M739">
        <v>19.982871859803865</v>
      </c>
      <c r="N739" t="s">
        <v>395</v>
      </c>
      <c r="O739">
        <v>0</v>
      </c>
    </row>
    <row r="740" spans="1:15" x14ac:dyDescent="0.25">
      <c r="A740" t="s">
        <v>1366</v>
      </c>
      <c r="B740">
        <v>73</v>
      </c>
      <c r="C740" t="s">
        <v>997</v>
      </c>
      <c r="D740" s="609">
        <v>45162</v>
      </c>
      <c r="E740">
        <v>0</v>
      </c>
      <c r="F740">
        <v>6</v>
      </c>
      <c r="G740" t="s">
        <v>1038</v>
      </c>
      <c r="H740" t="s">
        <v>351</v>
      </c>
      <c r="I740" t="s">
        <v>393</v>
      </c>
      <c r="J740">
        <v>600000</v>
      </c>
      <c r="K740" t="s">
        <v>394</v>
      </c>
      <c r="L740">
        <v>2802.3999950000002</v>
      </c>
      <c r="M740">
        <v>214.10219849789857</v>
      </c>
      <c r="N740" t="s">
        <v>395</v>
      </c>
      <c r="O740">
        <v>0</v>
      </c>
    </row>
    <row r="741" spans="1:15" x14ac:dyDescent="0.25">
      <c r="A741" t="s">
        <v>1367</v>
      </c>
      <c r="B741">
        <v>74</v>
      </c>
      <c r="C741" t="s">
        <v>997</v>
      </c>
      <c r="D741" s="609">
        <v>45162</v>
      </c>
      <c r="E741">
        <v>0</v>
      </c>
      <c r="F741">
        <v>6</v>
      </c>
      <c r="G741" t="s">
        <v>1038</v>
      </c>
      <c r="H741" t="s">
        <v>1368</v>
      </c>
      <c r="I741" t="s">
        <v>393</v>
      </c>
      <c r="J741">
        <v>36000</v>
      </c>
      <c r="K741" t="s">
        <v>394</v>
      </c>
      <c r="L741">
        <v>2802.3999950000002</v>
      </c>
      <c r="M741">
        <v>12.846131909873915</v>
      </c>
      <c r="N741" t="s">
        <v>395</v>
      </c>
      <c r="O741">
        <v>0</v>
      </c>
    </row>
    <row r="742" spans="1:15" x14ac:dyDescent="0.25">
      <c r="A742" t="s">
        <v>1367</v>
      </c>
      <c r="B742">
        <v>74</v>
      </c>
      <c r="C742" t="s">
        <v>997</v>
      </c>
      <c r="D742" s="609">
        <v>45162</v>
      </c>
      <c r="E742">
        <v>0</v>
      </c>
      <c r="F742">
        <v>6</v>
      </c>
      <c r="G742" t="s">
        <v>1038</v>
      </c>
      <c r="H742" t="s">
        <v>1225</v>
      </c>
      <c r="I742" t="s">
        <v>393</v>
      </c>
      <c r="J742">
        <v>25000</v>
      </c>
      <c r="K742" t="s">
        <v>394</v>
      </c>
      <c r="L742">
        <v>2802.3999950000002</v>
      </c>
      <c r="M742">
        <v>8.9209249374124404</v>
      </c>
      <c r="N742" t="s">
        <v>395</v>
      </c>
      <c r="O742">
        <v>0</v>
      </c>
    </row>
    <row r="743" spans="1:15" x14ac:dyDescent="0.25">
      <c r="A743" t="s">
        <v>1367</v>
      </c>
      <c r="B743">
        <v>74</v>
      </c>
      <c r="C743" t="s">
        <v>997</v>
      </c>
      <c r="D743" s="609">
        <v>45162</v>
      </c>
      <c r="E743">
        <v>0</v>
      </c>
      <c r="F743">
        <v>6</v>
      </c>
      <c r="G743" t="s">
        <v>1038</v>
      </c>
      <c r="H743" t="s">
        <v>1369</v>
      </c>
      <c r="I743" t="s">
        <v>393</v>
      </c>
      <c r="J743">
        <v>66000</v>
      </c>
      <c r="K743" t="s">
        <v>394</v>
      </c>
      <c r="L743">
        <v>2802.3999950000002</v>
      </c>
      <c r="M743">
        <v>23.551241834768842</v>
      </c>
      <c r="N743" t="s">
        <v>395</v>
      </c>
      <c r="O743">
        <v>0</v>
      </c>
    </row>
    <row r="744" spans="1:15" x14ac:dyDescent="0.25">
      <c r="A744" t="s">
        <v>1367</v>
      </c>
      <c r="B744">
        <v>74</v>
      </c>
      <c r="C744" t="s">
        <v>997</v>
      </c>
      <c r="D744" s="609">
        <v>45162</v>
      </c>
      <c r="E744">
        <v>0</v>
      </c>
      <c r="F744">
        <v>6</v>
      </c>
      <c r="G744" t="s">
        <v>1038</v>
      </c>
      <c r="H744" t="s">
        <v>1226</v>
      </c>
      <c r="I744" t="s">
        <v>393</v>
      </c>
      <c r="J744">
        <v>15000</v>
      </c>
      <c r="K744" t="s">
        <v>394</v>
      </c>
      <c r="L744">
        <v>2802.3999950000002</v>
      </c>
      <c r="M744">
        <v>5.3525549624474644</v>
      </c>
      <c r="N744" t="s">
        <v>395</v>
      </c>
      <c r="O744">
        <v>0</v>
      </c>
    </row>
    <row r="745" spans="1:15" x14ac:dyDescent="0.25">
      <c r="A745" t="s">
        <v>1367</v>
      </c>
      <c r="B745">
        <v>74</v>
      </c>
      <c r="C745" t="s">
        <v>997</v>
      </c>
      <c r="D745" s="609">
        <v>45162</v>
      </c>
      <c r="E745">
        <v>0</v>
      </c>
      <c r="F745">
        <v>6</v>
      </c>
      <c r="G745" t="s">
        <v>1038</v>
      </c>
      <c r="H745" t="s">
        <v>1227</v>
      </c>
      <c r="I745" t="s">
        <v>393</v>
      </c>
      <c r="J745">
        <v>10500</v>
      </c>
      <c r="K745" t="s">
        <v>394</v>
      </c>
      <c r="L745">
        <v>2802.3999950000002</v>
      </c>
      <c r="M745">
        <v>3.7467884737132251</v>
      </c>
      <c r="N745" t="s">
        <v>395</v>
      </c>
      <c r="O745">
        <v>0</v>
      </c>
    </row>
    <row r="746" spans="1:15" x14ac:dyDescent="0.25">
      <c r="A746" t="s">
        <v>1367</v>
      </c>
      <c r="B746">
        <v>74</v>
      </c>
      <c r="C746" t="s">
        <v>997</v>
      </c>
      <c r="D746" s="609">
        <v>45162</v>
      </c>
      <c r="E746">
        <v>0</v>
      </c>
      <c r="F746">
        <v>6</v>
      </c>
      <c r="G746" t="s">
        <v>1038</v>
      </c>
      <c r="H746" t="s">
        <v>1370</v>
      </c>
      <c r="I746" t="s">
        <v>393</v>
      </c>
      <c r="J746">
        <v>66000</v>
      </c>
      <c r="K746" t="s">
        <v>394</v>
      </c>
      <c r="L746">
        <v>2802.3999950000002</v>
      </c>
      <c r="M746">
        <v>23.551241834768842</v>
      </c>
      <c r="N746" t="s">
        <v>395</v>
      </c>
      <c r="O746">
        <v>0</v>
      </c>
    </row>
    <row r="747" spans="1:15" x14ac:dyDescent="0.25">
      <c r="A747" t="s">
        <v>1371</v>
      </c>
      <c r="B747">
        <v>75</v>
      </c>
      <c r="C747" t="s">
        <v>997</v>
      </c>
      <c r="D747" s="609">
        <v>45162</v>
      </c>
      <c r="E747">
        <v>0</v>
      </c>
      <c r="F747">
        <v>6</v>
      </c>
      <c r="G747" t="s">
        <v>1038</v>
      </c>
      <c r="H747" t="s">
        <v>1372</v>
      </c>
      <c r="I747" t="s">
        <v>393</v>
      </c>
      <c r="J747">
        <v>100000</v>
      </c>
      <c r="K747" t="s">
        <v>394</v>
      </c>
      <c r="L747">
        <v>2802.3999950000002</v>
      </c>
      <c r="M747">
        <v>35.683699749649762</v>
      </c>
      <c r="N747" t="s">
        <v>395</v>
      </c>
      <c r="O747">
        <v>0</v>
      </c>
    </row>
    <row r="748" spans="1:15" x14ac:dyDescent="0.25">
      <c r="A748" t="s">
        <v>1371</v>
      </c>
      <c r="B748">
        <v>75</v>
      </c>
      <c r="C748" t="s">
        <v>997</v>
      </c>
      <c r="D748" s="609">
        <v>45162</v>
      </c>
      <c r="E748">
        <v>0</v>
      </c>
      <c r="F748">
        <v>6</v>
      </c>
      <c r="G748" t="s">
        <v>1038</v>
      </c>
      <c r="H748" t="s">
        <v>1373</v>
      </c>
      <c r="I748" t="s">
        <v>393</v>
      </c>
      <c r="J748">
        <v>140000</v>
      </c>
      <c r="K748" t="s">
        <v>394</v>
      </c>
      <c r="L748">
        <v>2802.3999950000002</v>
      </c>
      <c r="M748">
        <v>49.957179649509669</v>
      </c>
      <c r="N748" t="s">
        <v>395</v>
      </c>
      <c r="O748">
        <v>0</v>
      </c>
    </row>
    <row r="749" spans="1:15" x14ac:dyDescent="0.25">
      <c r="A749" t="s">
        <v>1371</v>
      </c>
      <c r="B749">
        <v>75</v>
      </c>
      <c r="C749" t="s">
        <v>997</v>
      </c>
      <c r="D749" s="609">
        <v>45162</v>
      </c>
      <c r="E749">
        <v>0</v>
      </c>
      <c r="F749">
        <v>6</v>
      </c>
      <c r="G749" t="s">
        <v>1038</v>
      </c>
      <c r="H749" t="s">
        <v>1374</v>
      </c>
      <c r="I749" t="s">
        <v>393</v>
      </c>
      <c r="J749">
        <v>336000</v>
      </c>
      <c r="K749" t="s">
        <v>394</v>
      </c>
      <c r="L749">
        <v>2802.3999950000002</v>
      </c>
      <c r="M749">
        <v>119.8972311588232</v>
      </c>
      <c r="N749" t="s">
        <v>395</v>
      </c>
      <c r="O749">
        <v>0</v>
      </c>
    </row>
    <row r="750" spans="1:15" x14ac:dyDescent="0.25">
      <c r="A750" t="s">
        <v>1371</v>
      </c>
      <c r="B750">
        <v>75</v>
      </c>
      <c r="C750" t="s">
        <v>997</v>
      </c>
      <c r="D750" s="609">
        <v>45162</v>
      </c>
      <c r="E750">
        <v>0</v>
      </c>
      <c r="F750">
        <v>6</v>
      </c>
      <c r="G750" t="s">
        <v>1038</v>
      </c>
      <c r="H750" t="s">
        <v>1375</v>
      </c>
      <c r="I750" t="s">
        <v>393</v>
      </c>
      <c r="J750">
        <v>56000</v>
      </c>
      <c r="K750" t="s">
        <v>394</v>
      </c>
      <c r="L750">
        <v>2802.3999950000002</v>
      </c>
      <c r="M750">
        <v>19.982871859803865</v>
      </c>
      <c r="N750" t="s">
        <v>395</v>
      </c>
      <c r="O750">
        <v>0</v>
      </c>
    </row>
    <row r="751" spans="1:15" x14ac:dyDescent="0.25">
      <c r="A751" t="s">
        <v>1376</v>
      </c>
      <c r="B751">
        <v>76</v>
      </c>
      <c r="C751" t="s">
        <v>997</v>
      </c>
      <c r="D751" s="609">
        <v>45162</v>
      </c>
      <c r="E751">
        <v>0</v>
      </c>
      <c r="F751">
        <v>6</v>
      </c>
      <c r="G751" t="s">
        <v>1038</v>
      </c>
      <c r="H751" t="s">
        <v>1205</v>
      </c>
      <c r="I751" t="s">
        <v>393</v>
      </c>
      <c r="J751">
        <v>60000</v>
      </c>
      <c r="K751" t="s">
        <v>394</v>
      </c>
      <c r="L751">
        <v>2802.3999950000002</v>
      </c>
      <c r="M751">
        <v>21.410219849789858</v>
      </c>
      <c r="N751" t="s">
        <v>395</v>
      </c>
      <c r="O751">
        <v>0</v>
      </c>
    </row>
    <row r="752" spans="1:15" x14ac:dyDescent="0.25">
      <c r="A752" t="s">
        <v>1377</v>
      </c>
      <c r="B752">
        <v>77</v>
      </c>
      <c r="C752" t="s">
        <v>997</v>
      </c>
      <c r="D752" s="609">
        <v>45162</v>
      </c>
      <c r="E752">
        <v>0</v>
      </c>
      <c r="F752">
        <v>6</v>
      </c>
      <c r="G752" t="s">
        <v>1038</v>
      </c>
      <c r="H752" t="s">
        <v>351</v>
      </c>
      <c r="I752" t="s">
        <v>393</v>
      </c>
      <c r="J752">
        <v>360000</v>
      </c>
      <c r="K752" t="s">
        <v>394</v>
      </c>
      <c r="L752">
        <v>2802.3999950000002</v>
      </c>
      <c r="M752">
        <v>128.46131909873915</v>
      </c>
      <c r="N752" t="s">
        <v>395</v>
      </c>
      <c r="O752">
        <v>0</v>
      </c>
    </row>
    <row r="753" spans="1:15" x14ac:dyDescent="0.25">
      <c r="A753" t="s">
        <v>1378</v>
      </c>
      <c r="B753">
        <v>78</v>
      </c>
      <c r="C753" t="s">
        <v>997</v>
      </c>
      <c r="D753" s="609">
        <v>45142</v>
      </c>
      <c r="E753">
        <v>0</v>
      </c>
      <c r="F753">
        <v>6</v>
      </c>
      <c r="G753" t="s">
        <v>1038</v>
      </c>
      <c r="H753" t="s">
        <v>352</v>
      </c>
      <c r="I753" t="s">
        <v>393</v>
      </c>
      <c r="J753">
        <v>300000</v>
      </c>
      <c r="K753" t="s">
        <v>394</v>
      </c>
      <c r="L753">
        <v>2802.3999950000002</v>
      </c>
      <c r="M753">
        <v>107.05109924894928</v>
      </c>
      <c r="N753" t="s">
        <v>395</v>
      </c>
      <c r="O753">
        <v>0</v>
      </c>
    </row>
    <row r="754" spans="1:15" x14ac:dyDescent="0.25">
      <c r="A754" t="s">
        <v>1378</v>
      </c>
      <c r="B754">
        <v>79</v>
      </c>
      <c r="C754" t="s">
        <v>997</v>
      </c>
      <c r="D754" s="609">
        <v>45142</v>
      </c>
      <c r="E754">
        <v>0</v>
      </c>
      <c r="F754">
        <v>6</v>
      </c>
      <c r="G754" t="s">
        <v>1038</v>
      </c>
      <c r="H754" t="s">
        <v>1162</v>
      </c>
      <c r="I754" t="s">
        <v>393</v>
      </c>
      <c r="J754">
        <v>25000</v>
      </c>
      <c r="K754" t="s">
        <v>394</v>
      </c>
      <c r="L754">
        <v>2802.3999950000002</v>
      </c>
      <c r="M754">
        <v>8.9209249374124404</v>
      </c>
      <c r="N754" t="s">
        <v>395</v>
      </c>
      <c r="O754">
        <v>0</v>
      </c>
    </row>
    <row r="755" spans="1:15" x14ac:dyDescent="0.25">
      <c r="A755" t="s">
        <v>1378</v>
      </c>
      <c r="B755">
        <v>80</v>
      </c>
      <c r="C755" t="s">
        <v>997</v>
      </c>
      <c r="D755" s="609">
        <v>45142</v>
      </c>
      <c r="E755">
        <v>0</v>
      </c>
      <c r="F755">
        <v>6</v>
      </c>
      <c r="G755" t="s">
        <v>1038</v>
      </c>
      <c r="H755" t="s">
        <v>1379</v>
      </c>
      <c r="I755" t="s">
        <v>393</v>
      </c>
      <c r="J755">
        <v>75000</v>
      </c>
      <c r="K755" t="s">
        <v>394</v>
      </c>
      <c r="L755">
        <v>2802.3999950000002</v>
      </c>
      <c r="M755">
        <v>26.762774812237321</v>
      </c>
      <c r="N755" t="s">
        <v>395</v>
      </c>
      <c r="O755">
        <v>0</v>
      </c>
    </row>
    <row r="756" spans="1:15" x14ac:dyDescent="0.25">
      <c r="A756" t="s">
        <v>1378</v>
      </c>
      <c r="B756">
        <v>81</v>
      </c>
      <c r="C756" t="s">
        <v>997</v>
      </c>
      <c r="D756" s="609">
        <v>45142</v>
      </c>
      <c r="E756">
        <v>0</v>
      </c>
      <c r="F756">
        <v>6</v>
      </c>
      <c r="G756" t="s">
        <v>1038</v>
      </c>
      <c r="H756" t="s">
        <v>1380</v>
      </c>
      <c r="I756" t="s">
        <v>393</v>
      </c>
      <c r="J756">
        <v>180000</v>
      </c>
      <c r="K756" t="s">
        <v>394</v>
      </c>
      <c r="L756">
        <v>2802.3999950000002</v>
      </c>
      <c r="M756">
        <v>64.230659549369577</v>
      </c>
      <c r="N756" t="s">
        <v>395</v>
      </c>
      <c r="O756">
        <v>0</v>
      </c>
    </row>
    <row r="757" spans="1:15" x14ac:dyDescent="0.25">
      <c r="A757" t="s">
        <v>1378</v>
      </c>
      <c r="B757">
        <v>82</v>
      </c>
      <c r="C757" t="s">
        <v>997</v>
      </c>
      <c r="D757" s="609">
        <v>45142</v>
      </c>
      <c r="E757">
        <v>0</v>
      </c>
      <c r="F757">
        <v>6</v>
      </c>
      <c r="G757" t="s">
        <v>1038</v>
      </c>
      <c r="H757" t="s">
        <v>1381</v>
      </c>
      <c r="I757" t="s">
        <v>393</v>
      </c>
      <c r="J757">
        <v>200000</v>
      </c>
      <c r="K757" t="s">
        <v>394</v>
      </c>
      <c r="L757">
        <v>2802.3999950000002</v>
      </c>
      <c r="M757">
        <v>71.367399499299523</v>
      </c>
      <c r="N757" t="s">
        <v>395</v>
      </c>
      <c r="O757">
        <v>0</v>
      </c>
    </row>
    <row r="758" spans="1:15" x14ac:dyDescent="0.25">
      <c r="A758" t="s">
        <v>1378</v>
      </c>
      <c r="B758">
        <v>83</v>
      </c>
      <c r="C758" t="s">
        <v>997</v>
      </c>
      <c r="D758" s="609">
        <v>45142</v>
      </c>
      <c r="E758">
        <v>0</v>
      </c>
      <c r="F758">
        <v>6</v>
      </c>
      <c r="G758" t="s">
        <v>1038</v>
      </c>
      <c r="H758" t="s">
        <v>1382</v>
      </c>
      <c r="I758" t="s">
        <v>393</v>
      </c>
      <c r="J758">
        <v>180000</v>
      </c>
      <c r="K758" t="s">
        <v>394</v>
      </c>
      <c r="L758">
        <v>2802.3999950000002</v>
      </c>
      <c r="M758">
        <v>64.230659549369577</v>
      </c>
      <c r="N758" t="s">
        <v>395</v>
      </c>
      <c r="O758">
        <v>0</v>
      </c>
    </row>
    <row r="759" spans="1:15" x14ac:dyDescent="0.25">
      <c r="A759" t="s">
        <v>1378</v>
      </c>
      <c r="B759">
        <v>84</v>
      </c>
      <c r="C759" t="s">
        <v>997</v>
      </c>
      <c r="D759" s="609">
        <v>45142</v>
      </c>
      <c r="E759">
        <v>0</v>
      </c>
      <c r="F759">
        <v>6</v>
      </c>
      <c r="G759" t="s">
        <v>1038</v>
      </c>
      <c r="H759" t="s">
        <v>1355</v>
      </c>
      <c r="I759" t="s">
        <v>393</v>
      </c>
      <c r="J759">
        <v>300000</v>
      </c>
      <c r="K759" t="s">
        <v>394</v>
      </c>
      <c r="L759">
        <v>2802.3999950000002</v>
      </c>
      <c r="M759">
        <v>107.05109924894928</v>
      </c>
      <c r="N759" t="s">
        <v>395</v>
      </c>
      <c r="O759">
        <v>0</v>
      </c>
    </row>
    <row r="760" spans="1:15" x14ac:dyDescent="0.25">
      <c r="A760" t="s">
        <v>1378</v>
      </c>
      <c r="B760">
        <v>85</v>
      </c>
      <c r="C760" t="s">
        <v>997</v>
      </c>
      <c r="D760" s="609">
        <v>45142</v>
      </c>
      <c r="E760">
        <v>0</v>
      </c>
      <c r="F760">
        <v>6</v>
      </c>
      <c r="G760" t="s">
        <v>1038</v>
      </c>
      <c r="H760" t="s">
        <v>1168</v>
      </c>
      <c r="I760" t="s">
        <v>393</v>
      </c>
      <c r="J760">
        <v>639600</v>
      </c>
      <c r="K760" t="s">
        <v>394</v>
      </c>
      <c r="L760">
        <v>2802.3999950000002</v>
      </c>
      <c r="M760">
        <v>228.23294359875987</v>
      </c>
      <c r="N760" t="s">
        <v>395</v>
      </c>
      <c r="O760">
        <v>0</v>
      </c>
    </row>
    <row r="761" spans="1:15" x14ac:dyDescent="0.25">
      <c r="A761" t="s">
        <v>1052</v>
      </c>
      <c r="B761">
        <v>24</v>
      </c>
      <c r="C761" t="s">
        <v>997</v>
      </c>
      <c r="D761" s="609">
        <v>45149</v>
      </c>
      <c r="E761">
        <v>0</v>
      </c>
      <c r="F761">
        <v>6</v>
      </c>
      <c r="G761" t="s">
        <v>1053</v>
      </c>
      <c r="H761" t="s">
        <v>1054</v>
      </c>
      <c r="I761" t="s">
        <v>393</v>
      </c>
      <c r="J761">
        <v>177000</v>
      </c>
      <c r="K761" t="s">
        <v>394</v>
      </c>
      <c r="L761">
        <v>2803.6597999999999</v>
      </c>
      <c r="M761">
        <v>63.131767984118476</v>
      </c>
      <c r="N761" t="s">
        <v>395</v>
      </c>
      <c r="O761">
        <v>0</v>
      </c>
    </row>
    <row r="762" spans="1:15" x14ac:dyDescent="0.25">
      <c r="A762" t="s">
        <v>1055</v>
      </c>
      <c r="B762">
        <v>24</v>
      </c>
      <c r="C762" t="s">
        <v>997</v>
      </c>
      <c r="D762" s="609">
        <v>45156</v>
      </c>
      <c r="E762">
        <v>0</v>
      </c>
      <c r="F762">
        <v>6</v>
      </c>
      <c r="G762" t="s">
        <v>1053</v>
      </c>
      <c r="H762" t="s">
        <v>1056</v>
      </c>
      <c r="I762" t="s">
        <v>393</v>
      </c>
      <c r="J762">
        <v>100000</v>
      </c>
      <c r="K762" t="s">
        <v>394</v>
      </c>
      <c r="L762">
        <v>2803.6597999999999</v>
      </c>
      <c r="M762">
        <v>35.66766552775055</v>
      </c>
      <c r="N762" t="s">
        <v>395</v>
      </c>
      <c r="O762">
        <v>0</v>
      </c>
    </row>
    <row r="763" spans="1:15" x14ac:dyDescent="0.25">
      <c r="A763" t="s">
        <v>1057</v>
      </c>
      <c r="B763">
        <v>24</v>
      </c>
      <c r="C763" t="s">
        <v>997</v>
      </c>
      <c r="D763" s="609">
        <v>45156</v>
      </c>
      <c r="E763">
        <v>0</v>
      </c>
      <c r="F763">
        <v>6</v>
      </c>
      <c r="G763" t="s">
        <v>1053</v>
      </c>
      <c r="H763" t="s">
        <v>1058</v>
      </c>
      <c r="I763" t="s">
        <v>393</v>
      </c>
      <c r="J763">
        <v>70000</v>
      </c>
      <c r="K763" t="s">
        <v>394</v>
      </c>
      <c r="L763">
        <v>2803.6597999999999</v>
      </c>
      <c r="M763">
        <v>24.967365869425386</v>
      </c>
      <c r="N763" t="s">
        <v>395</v>
      </c>
      <c r="O763">
        <v>0</v>
      </c>
    </row>
    <row r="764" spans="1:15" x14ac:dyDescent="0.25">
      <c r="A764" t="s">
        <v>1383</v>
      </c>
      <c r="B764">
        <v>54</v>
      </c>
      <c r="C764" t="s">
        <v>1287</v>
      </c>
      <c r="D764" s="609">
        <v>45138</v>
      </c>
      <c r="E764">
        <v>0</v>
      </c>
      <c r="F764">
        <v>6</v>
      </c>
      <c r="G764" t="s">
        <v>1384</v>
      </c>
      <c r="H764" t="s">
        <v>1385</v>
      </c>
      <c r="I764" t="s">
        <v>393</v>
      </c>
      <c r="J764">
        <v>61065</v>
      </c>
      <c r="K764" t="s">
        <v>394</v>
      </c>
      <c r="L764">
        <v>2802.3999950000002</v>
      </c>
      <c r="M764">
        <v>21.790251252123628</v>
      </c>
      <c r="N764" t="s">
        <v>395</v>
      </c>
      <c r="O764">
        <v>0</v>
      </c>
    </row>
    <row r="765" spans="1:15" x14ac:dyDescent="0.25">
      <c r="A765" t="s">
        <v>1386</v>
      </c>
      <c r="B765">
        <v>98</v>
      </c>
      <c r="C765" t="s">
        <v>1330</v>
      </c>
      <c r="D765" s="609">
        <v>45176</v>
      </c>
      <c r="E765">
        <v>0</v>
      </c>
      <c r="F765">
        <v>6</v>
      </c>
      <c r="G765" t="s">
        <v>1384</v>
      </c>
      <c r="H765" t="s">
        <v>1385</v>
      </c>
      <c r="I765" t="s">
        <v>393</v>
      </c>
      <c r="J765">
        <v>194899</v>
      </c>
      <c r="K765" t="s">
        <v>394</v>
      </c>
      <c r="L765">
        <v>2802.3999950000002</v>
      </c>
      <c r="M765">
        <v>69.547173975069882</v>
      </c>
      <c r="N765" t="s">
        <v>395</v>
      </c>
      <c r="O765">
        <v>0</v>
      </c>
    </row>
    <row r="766" spans="1:15" x14ac:dyDescent="0.25">
      <c r="A766" t="s">
        <v>838</v>
      </c>
      <c r="B766">
        <v>8</v>
      </c>
      <c r="C766" s="609">
        <v>45194</v>
      </c>
      <c r="D766" s="609">
        <v>45194</v>
      </c>
      <c r="F766">
        <v>6</v>
      </c>
      <c r="G766" t="s">
        <v>839</v>
      </c>
      <c r="H766" t="s">
        <v>840</v>
      </c>
      <c r="I766" t="s">
        <v>393</v>
      </c>
      <c r="J766">
        <v>7663000</v>
      </c>
      <c r="K766" t="s">
        <v>394</v>
      </c>
      <c r="L766">
        <v>2830.26</v>
      </c>
      <c r="M766">
        <v>2707.5251037007197</v>
      </c>
      <c r="N766" t="s">
        <v>395</v>
      </c>
      <c r="O766">
        <v>0</v>
      </c>
    </row>
    <row r="767" spans="1:15" x14ac:dyDescent="0.25">
      <c r="A767" t="s">
        <v>841</v>
      </c>
      <c r="B767">
        <v>9</v>
      </c>
      <c r="C767" s="609">
        <v>45194</v>
      </c>
      <c r="D767" s="609">
        <v>45194</v>
      </c>
      <c r="F767">
        <v>6</v>
      </c>
      <c r="G767" t="s">
        <v>839</v>
      </c>
      <c r="H767" t="s">
        <v>842</v>
      </c>
      <c r="I767" t="s">
        <v>393</v>
      </c>
      <c r="J767">
        <v>7358670</v>
      </c>
      <c r="K767" t="s">
        <v>394</v>
      </c>
      <c r="L767">
        <v>2830.26</v>
      </c>
      <c r="M767">
        <v>2599.9978800534223</v>
      </c>
      <c r="N767" t="s">
        <v>395</v>
      </c>
      <c r="O767">
        <v>0</v>
      </c>
    </row>
    <row r="768" spans="1:15" x14ac:dyDescent="0.25">
      <c r="A768" t="s">
        <v>1206</v>
      </c>
      <c r="B768">
        <v>66</v>
      </c>
      <c r="C768" t="s">
        <v>1137</v>
      </c>
      <c r="D768" t="s">
        <v>1207</v>
      </c>
      <c r="E768">
        <v>6345</v>
      </c>
      <c r="F768">
        <v>6</v>
      </c>
      <c r="G768" t="s">
        <v>1208</v>
      </c>
      <c r="H768" t="s">
        <v>1209</v>
      </c>
      <c r="I768" t="s">
        <v>393</v>
      </c>
      <c r="J768">
        <v>150000</v>
      </c>
      <c r="K768" t="s">
        <v>394</v>
      </c>
      <c r="L768">
        <v>2801.6</v>
      </c>
      <c r="M768">
        <v>53.540833809251858</v>
      </c>
      <c r="N768" t="s">
        <v>395</v>
      </c>
      <c r="O768">
        <v>0</v>
      </c>
    </row>
    <row r="769" spans="1:15" x14ac:dyDescent="0.25">
      <c r="A769" t="s">
        <v>1210</v>
      </c>
      <c r="B769">
        <v>60</v>
      </c>
      <c r="C769" t="s">
        <v>1137</v>
      </c>
      <c r="D769" t="s">
        <v>1207</v>
      </c>
      <c r="E769">
        <v>6345</v>
      </c>
      <c r="F769">
        <v>6</v>
      </c>
      <c r="G769" t="s">
        <v>1208</v>
      </c>
      <c r="H769" t="s">
        <v>1211</v>
      </c>
      <c r="I769" t="s">
        <v>393</v>
      </c>
      <c r="J769">
        <v>9850000</v>
      </c>
      <c r="K769" t="s">
        <v>394</v>
      </c>
      <c r="L769">
        <v>2801.6</v>
      </c>
      <c r="M769">
        <v>3515.8480868075385</v>
      </c>
      <c r="N769" t="s">
        <v>395</v>
      </c>
      <c r="O769">
        <v>0</v>
      </c>
    </row>
    <row r="770" spans="1:15" x14ac:dyDescent="0.25">
      <c r="A770" t="s">
        <v>1212</v>
      </c>
      <c r="B770">
        <v>60</v>
      </c>
      <c r="C770" t="s">
        <v>1137</v>
      </c>
      <c r="D770" t="s">
        <v>1213</v>
      </c>
      <c r="E770">
        <v>6345</v>
      </c>
      <c r="F770">
        <v>6</v>
      </c>
      <c r="G770" t="s">
        <v>1208</v>
      </c>
      <c r="H770" t="s">
        <v>1211</v>
      </c>
      <c r="I770" t="s">
        <v>393</v>
      </c>
      <c r="J770">
        <v>4400000</v>
      </c>
      <c r="K770" t="s">
        <v>394</v>
      </c>
      <c r="L770">
        <v>2801.6</v>
      </c>
      <c r="M770">
        <v>1570.5311250713878</v>
      </c>
      <c r="N770" t="s">
        <v>395</v>
      </c>
      <c r="O770">
        <v>0</v>
      </c>
    </row>
    <row r="771" spans="1:15" x14ac:dyDescent="0.25">
      <c r="A771" t="s">
        <v>1212</v>
      </c>
      <c r="B771">
        <v>60</v>
      </c>
      <c r="C771" t="s">
        <v>1137</v>
      </c>
      <c r="D771" t="s">
        <v>1213</v>
      </c>
      <c r="E771">
        <v>6345</v>
      </c>
      <c r="F771">
        <v>6</v>
      </c>
      <c r="G771" t="s">
        <v>1208</v>
      </c>
      <c r="H771" t="s">
        <v>1214</v>
      </c>
      <c r="I771" t="s">
        <v>393</v>
      </c>
      <c r="J771">
        <v>360000</v>
      </c>
      <c r="K771" t="s">
        <v>394</v>
      </c>
      <c r="L771">
        <v>2801.6</v>
      </c>
      <c r="M771">
        <v>128.49800114220446</v>
      </c>
      <c r="N771" t="s">
        <v>395</v>
      </c>
      <c r="O771">
        <v>0</v>
      </c>
    </row>
    <row r="772" spans="1:15" x14ac:dyDescent="0.25">
      <c r="A772" t="s">
        <v>1212</v>
      </c>
      <c r="B772">
        <v>60</v>
      </c>
      <c r="C772" t="s">
        <v>1137</v>
      </c>
      <c r="D772" t="s">
        <v>1213</v>
      </c>
      <c r="E772">
        <v>6345</v>
      </c>
      <c r="F772">
        <v>6</v>
      </c>
      <c r="G772" t="s">
        <v>1208</v>
      </c>
      <c r="H772" t="s">
        <v>1215</v>
      </c>
      <c r="I772" t="s">
        <v>393</v>
      </c>
      <c r="J772">
        <v>60000</v>
      </c>
      <c r="K772" t="s">
        <v>394</v>
      </c>
      <c r="L772">
        <v>2801.6</v>
      </c>
      <c r="M772">
        <v>21.416333523700743</v>
      </c>
      <c r="N772" t="s">
        <v>395</v>
      </c>
      <c r="O772">
        <v>0</v>
      </c>
    </row>
    <row r="773" spans="1:15" x14ac:dyDescent="0.25">
      <c r="A773" t="s">
        <v>1212</v>
      </c>
      <c r="B773">
        <v>60</v>
      </c>
      <c r="C773" t="s">
        <v>1137</v>
      </c>
      <c r="D773" t="s">
        <v>1213</v>
      </c>
      <c r="E773">
        <v>6345</v>
      </c>
      <c r="F773">
        <v>6</v>
      </c>
      <c r="G773" t="s">
        <v>1208</v>
      </c>
      <c r="H773" t="s">
        <v>1216</v>
      </c>
      <c r="I773" t="s">
        <v>393</v>
      </c>
      <c r="J773">
        <v>30000</v>
      </c>
      <c r="K773" t="s">
        <v>394</v>
      </c>
      <c r="L773">
        <v>2801.6</v>
      </c>
      <c r="M773">
        <v>10.708166761850372</v>
      </c>
      <c r="N773" t="s">
        <v>395</v>
      </c>
      <c r="O773">
        <v>0</v>
      </c>
    </row>
    <row r="774" spans="1:15" x14ac:dyDescent="0.25">
      <c r="A774" t="s">
        <v>1212</v>
      </c>
      <c r="B774">
        <v>60</v>
      </c>
      <c r="C774" t="s">
        <v>1137</v>
      </c>
      <c r="D774" t="s">
        <v>1213</v>
      </c>
      <c r="E774">
        <v>6345</v>
      </c>
      <c r="F774">
        <v>6</v>
      </c>
      <c r="G774" t="s">
        <v>1208</v>
      </c>
      <c r="H774" t="s">
        <v>1217</v>
      </c>
      <c r="I774" t="s">
        <v>393</v>
      </c>
      <c r="J774">
        <v>10000</v>
      </c>
      <c r="K774" t="s">
        <v>394</v>
      </c>
      <c r="L774">
        <v>2801.6</v>
      </c>
      <c r="M774">
        <v>3.5693889206167904</v>
      </c>
      <c r="N774" t="s">
        <v>395</v>
      </c>
      <c r="O774">
        <v>0</v>
      </c>
    </row>
    <row r="775" spans="1:15" x14ac:dyDescent="0.25">
      <c r="A775" t="s">
        <v>1218</v>
      </c>
      <c r="B775">
        <v>63</v>
      </c>
      <c r="C775" t="s">
        <v>1137</v>
      </c>
      <c r="D775" t="s">
        <v>1207</v>
      </c>
      <c r="E775">
        <v>6345</v>
      </c>
      <c r="F775">
        <v>6</v>
      </c>
      <c r="G775" t="s">
        <v>1208</v>
      </c>
      <c r="H775" t="s">
        <v>1219</v>
      </c>
      <c r="I775" t="s">
        <v>393</v>
      </c>
      <c r="J775">
        <v>1440000</v>
      </c>
      <c r="K775" t="s">
        <v>394</v>
      </c>
      <c r="L775">
        <v>2801.6</v>
      </c>
      <c r="M775">
        <v>513.99200456881783</v>
      </c>
      <c r="N775" t="s">
        <v>395</v>
      </c>
      <c r="O775">
        <v>0</v>
      </c>
    </row>
    <row r="776" spans="1:15" x14ac:dyDescent="0.25">
      <c r="A776" t="s">
        <v>1220</v>
      </c>
      <c r="B776">
        <v>63</v>
      </c>
      <c r="C776" t="s">
        <v>1137</v>
      </c>
      <c r="D776" t="s">
        <v>1207</v>
      </c>
      <c r="E776">
        <v>6345</v>
      </c>
      <c r="F776">
        <v>6</v>
      </c>
      <c r="G776" t="s">
        <v>1208</v>
      </c>
      <c r="H776" t="s">
        <v>1221</v>
      </c>
      <c r="I776" t="s">
        <v>393</v>
      </c>
      <c r="J776">
        <v>720000</v>
      </c>
      <c r="K776" t="s">
        <v>394</v>
      </c>
      <c r="L776">
        <v>2801.6</v>
      </c>
      <c r="M776">
        <v>256.99600228440892</v>
      </c>
      <c r="N776" t="s">
        <v>395</v>
      </c>
      <c r="O776">
        <v>0</v>
      </c>
    </row>
    <row r="777" spans="1:15" x14ac:dyDescent="0.25">
      <c r="A777" t="s">
        <v>1222</v>
      </c>
      <c r="B777">
        <v>69</v>
      </c>
      <c r="C777" t="s">
        <v>1137</v>
      </c>
      <c r="D777" t="s">
        <v>1207</v>
      </c>
      <c r="E777">
        <v>6172</v>
      </c>
      <c r="F777">
        <v>6</v>
      </c>
      <c r="G777" t="s">
        <v>1208</v>
      </c>
      <c r="H777" t="s">
        <v>1168</v>
      </c>
      <c r="I777" t="s">
        <v>393</v>
      </c>
      <c r="J777">
        <v>1707750</v>
      </c>
      <c r="K777" t="s">
        <v>394</v>
      </c>
      <c r="L777">
        <v>2801.6</v>
      </c>
      <c r="M777">
        <v>609.56239291833242</v>
      </c>
      <c r="N777" t="s">
        <v>395</v>
      </c>
      <c r="O777">
        <v>0</v>
      </c>
    </row>
    <row r="778" spans="1:15" x14ac:dyDescent="0.25">
      <c r="A778" t="s">
        <v>1223</v>
      </c>
      <c r="B778">
        <v>79</v>
      </c>
      <c r="C778" t="s">
        <v>1137</v>
      </c>
      <c r="D778" t="s">
        <v>1207</v>
      </c>
      <c r="E778">
        <v>6179</v>
      </c>
      <c r="F778">
        <v>6</v>
      </c>
      <c r="G778" t="s">
        <v>1208</v>
      </c>
      <c r="H778" t="s">
        <v>1224</v>
      </c>
      <c r="I778" t="s">
        <v>393</v>
      </c>
      <c r="J778">
        <v>540000</v>
      </c>
      <c r="K778" t="s">
        <v>394</v>
      </c>
      <c r="L778">
        <v>2801.6</v>
      </c>
      <c r="M778">
        <v>192.7470017133067</v>
      </c>
      <c r="N778" t="s">
        <v>395</v>
      </c>
      <c r="O778">
        <v>0</v>
      </c>
    </row>
    <row r="779" spans="1:15" x14ac:dyDescent="0.25">
      <c r="A779" t="s">
        <v>1223</v>
      </c>
      <c r="B779">
        <v>79</v>
      </c>
      <c r="C779" t="s">
        <v>1137</v>
      </c>
      <c r="D779" t="s">
        <v>1207</v>
      </c>
      <c r="E779">
        <v>6179</v>
      </c>
      <c r="F779">
        <v>6</v>
      </c>
      <c r="G779" t="s">
        <v>1208</v>
      </c>
      <c r="H779" t="s">
        <v>1225</v>
      </c>
      <c r="I779" t="s">
        <v>393</v>
      </c>
      <c r="J779">
        <v>180000</v>
      </c>
      <c r="K779" t="s">
        <v>394</v>
      </c>
      <c r="L779">
        <v>2801.6</v>
      </c>
      <c r="M779">
        <v>64.249000571102229</v>
      </c>
      <c r="N779" t="s">
        <v>395</v>
      </c>
      <c r="O779">
        <v>0</v>
      </c>
    </row>
    <row r="780" spans="1:15" x14ac:dyDescent="0.25">
      <c r="A780" t="s">
        <v>1223</v>
      </c>
      <c r="B780">
        <v>79</v>
      </c>
      <c r="C780" t="s">
        <v>1137</v>
      </c>
      <c r="D780" t="s">
        <v>1207</v>
      </c>
      <c r="E780">
        <v>6179</v>
      </c>
      <c r="F780">
        <v>6</v>
      </c>
      <c r="G780" t="s">
        <v>1208</v>
      </c>
      <c r="H780" t="s">
        <v>1226</v>
      </c>
      <c r="I780" t="s">
        <v>393</v>
      </c>
      <c r="J780">
        <v>90000</v>
      </c>
      <c r="K780" t="s">
        <v>394</v>
      </c>
      <c r="L780">
        <v>2801.6</v>
      </c>
      <c r="M780">
        <v>32.124500285551115</v>
      </c>
      <c r="N780" t="s">
        <v>395</v>
      </c>
      <c r="O780">
        <v>0</v>
      </c>
    </row>
    <row r="781" spans="1:15" x14ac:dyDescent="0.25">
      <c r="A781" t="s">
        <v>1223</v>
      </c>
      <c r="B781">
        <v>79</v>
      </c>
      <c r="C781" t="s">
        <v>1137</v>
      </c>
      <c r="D781" t="s">
        <v>1207</v>
      </c>
      <c r="E781">
        <v>6179</v>
      </c>
      <c r="F781">
        <v>6</v>
      </c>
      <c r="G781" t="s">
        <v>1208</v>
      </c>
      <c r="H781" t="s">
        <v>1227</v>
      </c>
      <c r="I781" t="s">
        <v>393</v>
      </c>
      <c r="J781">
        <v>30000</v>
      </c>
      <c r="K781" t="s">
        <v>394</v>
      </c>
      <c r="L781">
        <v>2801.6</v>
      </c>
      <c r="M781">
        <v>10.708166761850372</v>
      </c>
      <c r="N781" t="s">
        <v>395</v>
      </c>
      <c r="O781">
        <v>0</v>
      </c>
    </row>
    <row r="782" spans="1:15" x14ac:dyDescent="0.25">
      <c r="A782" t="s">
        <v>1223</v>
      </c>
      <c r="B782">
        <v>79</v>
      </c>
      <c r="C782" t="s">
        <v>1137</v>
      </c>
      <c r="D782" t="s">
        <v>1207</v>
      </c>
      <c r="E782">
        <v>6179</v>
      </c>
      <c r="F782">
        <v>6</v>
      </c>
      <c r="G782" t="s">
        <v>1208</v>
      </c>
      <c r="H782" t="s">
        <v>1228</v>
      </c>
      <c r="I782" t="s">
        <v>393</v>
      </c>
      <c r="J782">
        <v>108000</v>
      </c>
      <c r="K782" t="s">
        <v>394</v>
      </c>
      <c r="L782">
        <v>2801.6</v>
      </c>
      <c r="M782">
        <v>38.549400342661336</v>
      </c>
      <c r="N782" t="s">
        <v>395</v>
      </c>
      <c r="O782">
        <v>0</v>
      </c>
    </row>
    <row r="783" spans="1:15" x14ac:dyDescent="0.25">
      <c r="A783" t="s">
        <v>1223</v>
      </c>
      <c r="B783">
        <v>79</v>
      </c>
      <c r="C783" t="s">
        <v>1137</v>
      </c>
      <c r="D783" t="s">
        <v>1207</v>
      </c>
      <c r="E783">
        <v>6179</v>
      </c>
      <c r="F783">
        <v>6</v>
      </c>
      <c r="G783" t="s">
        <v>1208</v>
      </c>
      <c r="H783" t="s">
        <v>1229</v>
      </c>
      <c r="I783" t="s">
        <v>393</v>
      </c>
      <c r="J783">
        <v>22000</v>
      </c>
      <c r="K783" t="s">
        <v>394</v>
      </c>
      <c r="L783">
        <v>2801.6</v>
      </c>
      <c r="M783">
        <v>7.8526556253569391</v>
      </c>
      <c r="N783" t="s">
        <v>395</v>
      </c>
      <c r="O783">
        <v>0</v>
      </c>
    </row>
    <row r="784" spans="1:15" x14ac:dyDescent="0.25">
      <c r="A784" t="s">
        <v>1230</v>
      </c>
      <c r="B784">
        <v>71</v>
      </c>
      <c r="C784" t="s">
        <v>1137</v>
      </c>
      <c r="D784" t="s">
        <v>1231</v>
      </c>
      <c r="E784">
        <v>6311</v>
      </c>
      <c r="F784">
        <v>6</v>
      </c>
      <c r="G784" t="s">
        <v>1208</v>
      </c>
      <c r="H784" t="s">
        <v>1232</v>
      </c>
      <c r="I784" t="s">
        <v>393</v>
      </c>
      <c r="J784">
        <v>150000</v>
      </c>
      <c r="K784" t="s">
        <v>394</v>
      </c>
      <c r="L784">
        <v>2801.6</v>
      </c>
      <c r="M784">
        <v>53.540833809251858</v>
      </c>
      <c r="N784" t="s">
        <v>395</v>
      </c>
      <c r="O784">
        <v>0</v>
      </c>
    </row>
    <row r="785" spans="1:15" x14ac:dyDescent="0.25">
      <c r="A785" t="s">
        <v>1230</v>
      </c>
      <c r="B785">
        <v>71</v>
      </c>
      <c r="C785" t="s">
        <v>1137</v>
      </c>
      <c r="D785" t="s">
        <v>1231</v>
      </c>
      <c r="E785">
        <v>6349</v>
      </c>
      <c r="F785">
        <v>6</v>
      </c>
      <c r="G785" t="s">
        <v>1208</v>
      </c>
      <c r="H785" t="s">
        <v>1233</v>
      </c>
      <c r="I785" t="s">
        <v>393</v>
      </c>
      <c r="J785">
        <v>124000</v>
      </c>
      <c r="K785" t="s">
        <v>394</v>
      </c>
      <c r="L785">
        <v>2801.6</v>
      </c>
      <c r="M785">
        <v>44.260422615648203</v>
      </c>
      <c r="N785" t="s">
        <v>395</v>
      </c>
      <c r="O785">
        <v>0</v>
      </c>
    </row>
    <row r="786" spans="1:15" x14ac:dyDescent="0.25">
      <c r="A786" t="s">
        <v>1230</v>
      </c>
      <c r="B786">
        <v>71</v>
      </c>
      <c r="C786" t="s">
        <v>1137</v>
      </c>
      <c r="D786" t="s">
        <v>1231</v>
      </c>
      <c r="E786">
        <v>6349</v>
      </c>
      <c r="F786">
        <v>6</v>
      </c>
      <c r="G786" t="s">
        <v>1208</v>
      </c>
      <c r="H786" t="s">
        <v>1016</v>
      </c>
      <c r="I786" t="s">
        <v>393</v>
      </c>
      <c r="J786">
        <v>558000</v>
      </c>
      <c r="K786" t="s">
        <v>394</v>
      </c>
      <c r="L786">
        <v>2801.6</v>
      </c>
      <c r="M786">
        <v>199.17190177041692</v>
      </c>
      <c r="N786" t="s">
        <v>395</v>
      </c>
      <c r="O786">
        <v>0</v>
      </c>
    </row>
    <row r="787" spans="1:15" x14ac:dyDescent="0.25">
      <c r="A787" t="s">
        <v>1230</v>
      </c>
      <c r="B787">
        <v>71</v>
      </c>
      <c r="C787" t="s">
        <v>1137</v>
      </c>
      <c r="D787" t="s">
        <v>1231</v>
      </c>
      <c r="E787">
        <v>6349</v>
      </c>
      <c r="F787">
        <v>6</v>
      </c>
      <c r="G787" t="s">
        <v>1208</v>
      </c>
      <c r="H787" t="s">
        <v>1234</v>
      </c>
      <c r="I787" t="s">
        <v>393</v>
      </c>
      <c r="J787">
        <v>1736000</v>
      </c>
      <c r="K787" t="s">
        <v>394</v>
      </c>
      <c r="L787">
        <v>2801.6</v>
      </c>
      <c r="M787">
        <v>619.6459166190748</v>
      </c>
      <c r="N787" t="s">
        <v>395</v>
      </c>
      <c r="O787">
        <v>0</v>
      </c>
    </row>
    <row r="788" spans="1:15" x14ac:dyDescent="0.25">
      <c r="A788" t="s">
        <v>1235</v>
      </c>
      <c r="B788">
        <v>81</v>
      </c>
      <c r="C788" t="s">
        <v>1137</v>
      </c>
      <c r="D788" t="s">
        <v>1231</v>
      </c>
      <c r="E788">
        <v>6311</v>
      </c>
      <c r="F788">
        <v>6</v>
      </c>
      <c r="G788" t="s">
        <v>1208</v>
      </c>
      <c r="H788" t="s">
        <v>1232</v>
      </c>
      <c r="I788" t="s">
        <v>393</v>
      </c>
      <c r="J788">
        <v>140000</v>
      </c>
      <c r="K788" t="s">
        <v>394</v>
      </c>
      <c r="L788">
        <v>2801.6</v>
      </c>
      <c r="M788">
        <v>49.97144488863507</v>
      </c>
      <c r="N788" t="s">
        <v>395</v>
      </c>
      <c r="O788">
        <v>0</v>
      </c>
    </row>
    <row r="789" spans="1:15" x14ac:dyDescent="0.25">
      <c r="A789" t="s">
        <v>1235</v>
      </c>
      <c r="B789">
        <v>81</v>
      </c>
      <c r="C789" t="s">
        <v>1137</v>
      </c>
      <c r="D789" t="s">
        <v>1231</v>
      </c>
      <c r="E789">
        <v>6349</v>
      </c>
      <c r="F789">
        <v>6</v>
      </c>
      <c r="G789" t="s">
        <v>1208</v>
      </c>
      <c r="H789" t="s">
        <v>1233</v>
      </c>
      <c r="I789" t="s">
        <v>393</v>
      </c>
      <c r="J789">
        <v>124000</v>
      </c>
      <c r="K789" t="s">
        <v>394</v>
      </c>
      <c r="L789">
        <v>2801.6</v>
      </c>
      <c r="M789">
        <v>44.260422615648203</v>
      </c>
      <c r="N789" t="s">
        <v>395</v>
      </c>
      <c r="O789">
        <v>0</v>
      </c>
    </row>
    <row r="790" spans="1:15" x14ac:dyDescent="0.25">
      <c r="A790" t="s">
        <v>1235</v>
      </c>
      <c r="B790">
        <v>81</v>
      </c>
      <c r="C790" t="s">
        <v>1137</v>
      </c>
      <c r="D790" t="s">
        <v>1231</v>
      </c>
      <c r="E790">
        <v>6349</v>
      </c>
      <c r="F790">
        <v>6</v>
      </c>
      <c r="G790" t="s">
        <v>1208</v>
      </c>
      <c r="H790" t="s">
        <v>1016</v>
      </c>
      <c r="I790" t="s">
        <v>393</v>
      </c>
      <c r="J790">
        <v>496000</v>
      </c>
      <c r="K790" t="s">
        <v>394</v>
      </c>
      <c r="L790">
        <v>2801.6</v>
      </c>
      <c r="M790">
        <v>177.04169046259281</v>
      </c>
      <c r="N790" t="s">
        <v>395</v>
      </c>
      <c r="O790">
        <v>0</v>
      </c>
    </row>
    <row r="791" spans="1:15" x14ac:dyDescent="0.25">
      <c r="A791" t="s">
        <v>1235</v>
      </c>
      <c r="B791">
        <v>81</v>
      </c>
      <c r="C791" t="s">
        <v>1137</v>
      </c>
      <c r="D791" t="s">
        <v>1231</v>
      </c>
      <c r="E791">
        <v>6349</v>
      </c>
      <c r="F791">
        <v>6</v>
      </c>
      <c r="G791" t="s">
        <v>1208</v>
      </c>
      <c r="H791" t="s">
        <v>1234</v>
      </c>
      <c r="I791" t="s">
        <v>393</v>
      </c>
      <c r="J791">
        <v>1736000</v>
      </c>
      <c r="K791" t="s">
        <v>394</v>
      </c>
      <c r="L791">
        <v>2801.6</v>
      </c>
      <c r="M791">
        <v>619.6459166190748</v>
      </c>
      <c r="N791" t="s">
        <v>395</v>
      </c>
      <c r="O791">
        <v>0</v>
      </c>
    </row>
    <row r="792" spans="1:15" x14ac:dyDescent="0.25">
      <c r="A792" t="s">
        <v>1236</v>
      </c>
      <c r="B792">
        <v>74</v>
      </c>
      <c r="C792" t="s">
        <v>1137</v>
      </c>
      <c r="D792" t="s">
        <v>1237</v>
      </c>
      <c r="E792">
        <v>6349</v>
      </c>
      <c r="F792">
        <v>6</v>
      </c>
      <c r="G792" t="s">
        <v>1208</v>
      </c>
      <c r="H792" t="s">
        <v>1232</v>
      </c>
      <c r="I792" t="s">
        <v>393</v>
      </c>
      <c r="J792">
        <v>150000</v>
      </c>
      <c r="K792" t="s">
        <v>394</v>
      </c>
      <c r="L792">
        <v>2801.6</v>
      </c>
      <c r="M792">
        <v>53.540833809251858</v>
      </c>
      <c r="N792" t="s">
        <v>395</v>
      </c>
      <c r="O792">
        <v>0</v>
      </c>
    </row>
    <row r="793" spans="1:15" x14ac:dyDescent="0.25">
      <c r="A793" t="s">
        <v>1236</v>
      </c>
      <c r="B793">
        <v>74</v>
      </c>
      <c r="C793" t="s">
        <v>1137</v>
      </c>
      <c r="D793" t="s">
        <v>1237</v>
      </c>
      <c r="E793">
        <v>6349</v>
      </c>
      <c r="F793">
        <v>6</v>
      </c>
      <c r="G793" t="s">
        <v>1208</v>
      </c>
      <c r="H793" t="s">
        <v>1233</v>
      </c>
      <c r="I793" t="s">
        <v>393</v>
      </c>
      <c r="J793">
        <v>124000</v>
      </c>
      <c r="K793" t="s">
        <v>394</v>
      </c>
      <c r="L793">
        <v>2801.6</v>
      </c>
      <c r="M793">
        <v>44.260422615648203</v>
      </c>
      <c r="N793" t="s">
        <v>395</v>
      </c>
      <c r="O793">
        <v>0</v>
      </c>
    </row>
    <row r="794" spans="1:15" x14ac:dyDescent="0.25">
      <c r="A794" t="s">
        <v>1236</v>
      </c>
      <c r="B794">
        <v>74</v>
      </c>
      <c r="C794" t="s">
        <v>1137</v>
      </c>
      <c r="D794" t="s">
        <v>1237</v>
      </c>
      <c r="E794">
        <v>6349</v>
      </c>
      <c r="F794">
        <v>6</v>
      </c>
      <c r="G794" t="s">
        <v>1208</v>
      </c>
      <c r="H794" t="s">
        <v>1016</v>
      </c>
      <c r="I794" t="s">
        <v>393</v>
      </c>
      <c r="J794">
        <v>620000</v>
      </c>
      <c r="K794" t="s">
        <v>394</v>
      </c>
      <c r="L794">
        <v>2801.6</v>
      </c>
      <c r="M794">
        <v>221.30211307824101</v>
      </c>
      <c r="N794" t="s">
        <v>395</v>
      </c>
      <c r="O794">
        <v>0</v>
      </c>
    </row>
    <row r="795" spans="1:15" x14ac:dyDescent="0.25">
      <c r="A795" t="s">
        <v>1236</v>
      </c>
      <c r="B795">
        <v>74</v>
      </c>
      <c r="C795" t="s">
        <v>1137</v>
      </c>
      <c r="D795" t="s">
        <v>1237</v>
      </c>
      <c r="E795">
        <v>6349</v>
      </c>
      <c r="F795">
        <v>6</v>
      </c>
      <c r="G795" t="s">
        <v>1208</v>
      </c>
      <c r="H795" t="s">
        <v>1234</v>
      </c>
      <c r="I795" t="s">
        <v>393</v>
      </c>
      <c r="J795">
        <v>1736000</v>
      </c>
      <c r="K795" t="s">
        <v>394</v>
      </c>
      <c r="L795">
        <v>2801.6</v>
      </c>
      <c r="M795">
        <v>619.6459166190748</v>
      </c>
      <c r="N795" t="s">
        <v>395</v>
      </c>
      <c r="O795">
        <v>0</v>
      </c>
    </row>
    <row r="796" spans="1:15" x14ac:dyDescent="0.25">
      <c r="A796" t="s">
        <v>1238</v>
      </c>
      <c r="B796">
        <v>64</v>
      </c>
      <c r="C796" t="s">
        <v>1137</v>
      </c>
      <c r="D796" t="s">
        <v>1138</v>
      </c>
      <c r="E796">
        <v>0</v>
      </c>
      <c r="F796">
        <v>6</v>
      </c>
      <c r="G796" t="s">
        <v>1208</v>
      </c>
      <c r="H796" t="s">
        <v>1239</v>
      </c>
      <c r="I796" t="s">
        <v>393</v>
      </c>
      <c r="J796">
        <v>3600000</v>
      </c>
      <c r="K796" t="s">
        <v>394</v>
      </c>
      <c r="L796">
        <v>2801.6</v>
      </c>
      <c r="M796">
        <v>1284.9800114220445</v>
      </c>
      <c r="N796" t="s">
        <v>395</v>
      </c>
      <c r="O796">
        <v>0</v>
      </c>
    </row>
    <row r="797" spans="1:15" x14ac:dyDescent="0.25">
      <c r="A797" t="s">
        <v>1240</v>
      </c>
      <c r="B797">
        <v>72</v>
      </c>
      <c r="C797" t="s">
        <v>1137</v>
      </c>
      <c r="D797" t="s">
        <v>983</v>
      </c>
      <c r="E797">
        <v>0</v>
      </c>
      <c r="F797">
        <v>6</v>
      </c>
      <c r="G797" t="s">
        <v>1208</v>
      </c>
      <c r="H797" t="s">
        <v>1232</v>
      </c>
      <c r="I797" t="s">
        <v>393</v>
      </c>
      <c r="J797">
        <v>140000</v>
      </c>
      <c r="K797" t="s">
        <v>394</v>
      </c>
      <c r="L797">
        <v>2801.6</v>
      </c>
      <c r="M797">
        <v>49.97144488863507</v>
      </c>
      <c r="N797" t="s">
        <v>395</v>
      </c>
      <c r="O797">
        <v>0</v>
      </c>
    </row>
    <row r="798" spans="1:15" x14ac:dyDescent="0.25">
      <c r="A798" t="s">
        <v>1240</v>
      </c>
      <c r="B798">
        <v>72</v>
      </c>
      <c r="C798" t="s">
        <v>1137</v>
      </c>
      <c r="D798" t="s">
        <v>983</v>
      </c>
      <c r="E798">
        <v>0</v>
      </c>
      <c r="F798">
        <v>6</v>
      </c>
      <c r="G798" t="s">
        <v>1208</v>
      </c>
      <c r="H798" t="s">
        <v>1233</v>
      </c>
      <c r="I798" t="s">
        <v>393</v>
      </c>
      <c r="J798">
        <v>124000</v>
      </c>
      <c r="K798" t="s">
        <v>394</v>
      </c>
      <c r="L798">
        <v>2801.6</v>
      </c>
      <c r="M798">
        <v>44.260422615648203</v>
      </c>
      <c r="N798" t="s">
        <v>395</v>
      </c>
      <c r="O798">
        <v>0</v>
      </c>
    </row>
    <row r="799" spans="1:15" x14ac:dyDescent="0.25">
      <c r="A799" t="s">
        <v>1240</v>
      </c>
      <c r="B799">
        <v>72</v>
      </c>
      <c r="C799" t="s">
        <v>1137</v>
      </c>
      <c r="D799" t="s">
        <v>983</v>
      </c>
      <c r="E799">
        <v>0</v>
      </c>
      <c r="F799">
        <v>6</v>
      </c>
      <c r="G799" t="s">
        <v>1208</v>
      </c>
      <c r="H799" t="s">
        <v>1016</v>
      </c>
      <c r="I799" t="s">
        <v>393</v>
      </c>
      <c r="J799">
        <v>496000</v>
      </c>
      <c r="K799" t="s">
        <v>394</v>
      </c>
      <c r="L799">
        <v>2801.6</v>
      </c>
      <c r="M799">
        <v>177.04169046259281</v>
      </c>
      <c r="N799" t="s">
        <v>395</v>
      </c>
      <c r="O799">
        <v>0</v>
      </c>
    </row>
    <row r="800" spans="1:15" x14ac:dyDescent="0.25">
      <c r="A800" t="s">
        <v>1240</v>
      </c>
      <c r="B800">
        <v>72</v>
      </c>
      <c r="C800" t="s">
        <v>1137</v>
      </c>
      <c r="D800" t="s">
        <v>983</v>
      </c>
      <c r="E800">
        <v>0</v>
      </c>
      <c r="F800">
        <v>6</v>
      </c>
      <c r="G800" t="s">
        <v>1208</v>
      </c>
      <c r="H800" t="s">
        <v>1234</v>
      </c>
      <c r="I800" t="s">
        <v>393</v>
      </c>
      <c r="J800">
        <v>1860000</v>
      </c>
      <c r="K800" t="s">
        <v>394</v>
      </c>
      <c r="L800">
        <v>2801.6</v>
      </c>
      <c r="M800">
        <v>663.90633923472308</v>
      </c>
      <c r="N800" t="s">
        <v>395</v>
      </c>
      <c r="O800">
        <v>0</v>
      </c>
    </row>
    <row r="801" spans="1:15" x14ac:dyDescent="0.25">
      <c r="A801" t="s">
        <v>1241</v>
      </c>
      <c r="B801">
        <v>78</v>
      </c>
      <c r="C801" t="s">
        <v>1137</v>
      </c>
      <c r="D801" t="s">
        <v>1242</v>
      </c>
      <c r="E801">
        <v>6312</v>
      </c>
      <c r="F801">
        <v>6</v>
      </c>
      <c r="G801" t="s">
        <v>1208</v>
      </c>
      <c r="H801" t="s">
        <v>1243</v>
      </c>
      <c r="I801" t="s">
        <v>393</v>
      </c>
      <c r="J801">
        <v>1800000</v>
      </c>
      <c r="K801" t="s">
        <v>394</v>
      </c>
      <c r="L801">
        <v>2801.6</v>
      </c>
      <c r="M801">
        <v>642.49000571102226</v>
      </c>
      <c r="N801" t="s">
        <v>395</v>
      </c>
      <c r="O801">
        <v>0</v>
      </c>
    </row>
    <row r="802" spans="1:15" x14ac:dyDescent="0.25">
      <c r="A802" t="s">
        <v>1244</v>
      </c>
      <c r="B802">
        <v>83</v>
      </c>
      <c r="C802" t="s">
        <v>1137</v>
      </c>
      <c r="D802" t="s">
        <v>1245</v>
      </c>
      <c r="E802">
        <v>6345</v>
      </c>
      <c r="F802">
        <v>6</v>
      </c>
      <c r="G802" t="s">
        <v>1208</v>
      </c>
      <c r="H802" t="s">
        <v>1246</v>
      </c>
      <c r="I802" t="s">
        <v>393</v>
      </c>
      <c r="J802">
        <v>640000</v>
      </c>
      <c r="K802" t="s">
        <v>394</v>
      </c>
      <c r="L802">
        <v>2801.6</v>
      </c>
      <c r="M802">
        <v>228.44089091947458</v>
      </c>
      <c r="N802" t="s">
        <v>395</v>
      </c>
      <c r="O802">
        <v>0</v>
      </c>
    </row>
    <row r="803" spans="1:15" x14ac:dyDescent="0.25">
      <c r="A803" t="s">
        <v>1244</v>
      </c>
      <c r="B803">
        <v>83</v>
      </c>
      <c r="C803" t="s">
        <v>1137</v>
      </c>
      <c r="D803" t="s">
        <v>1245</v>
      </c>
      <c r="E803">
        <v>6345</v>
      </c>
      <c r="F803">
        <v>6</v>
      </c>
      <c r="G803" t="s">
        <v>1208</v>
      </c>
      <c r="H803" t="s">
        <v>1221</v>
      </c>
      <c r="I803" t="s">
        <v>393</v>
      </c>
      <c r="J803">
        <v>360000</v>
      </c>
      <c r="K803" t="s">
        <v>394</v>
      </c>
      <c r="L803">
        <v>2801.6</v>
      </c>
      <c r="M803">
        <v>128.49800114220446</v>
      </c>
      <c r="N803" t="s">
        <v>395</v>
      </c>
      <c r="O803">
        <v>0</v>
      </c>
    </row>
    <row r="804" spans="1:15" x14ac:dyDescent="0.25">
      <c r="A804" t="s">
        <v>1244</v>
      </c>
      <c r="B804">
        <v>83</v>
      </c>
      <c r="C804" t="s">
        <v>1137</v>
      </c>
      <c r="D804" t="s">
        <v>1245</v>
      </c>
      <c r="E804">
        <v>6345</v>
      </c>
      <c r="F804">
        <v>6</v>
      </c>
      <c r="G804" t="s">
        <v>1208</v>
      </c>
      <c r="H804" t="s">
        <v>1247</v>
      </c>
      <c r="I804" t="s">
        <v>393</v>
      </c>
      <c r="J804">
        <v>200000</v>
      </c>
      <c r="K804" t="s">
        <v>394</v>
      </c>
      <c r="L804">
        <v>2801.6</v>
      </c>
      <c r="M804">
        <v>71.387778412335805</v>
      </c>
      <c r="N804" t="s">
        <v>395</v>
      </c>
      <c r="O804">
        <v>0</v>
      </c>
    </row>
    <row r="805" spans="1:15" x14ac:dyDescent="0.25">
      <c r="A805" t="s">
        <v>1248</v>
      </c>
      <c r="B805">
        <v>67</v>
      </c>
      <c r="C805" t="s">
        <v>1137</v>
      </c>
      <c r="D805" t="s">
        <v>1245</v>
      </c>
      <c r="E805">
        <v>6172</v>
      </c>
      <c r="F805">
        <v>6</v>
      </c>
      <c r="G805" t="s">
        <v>1208</v>
      </c>
      <c r="H805" t="s">
        <v>1249</v>
      </c>
      <c r="I805" t="s">
        <v>393</v>
      </c>
      <c r="J805">
        <v>1201500</v>
      </c>
      <c r="K805" t="s">
        <v>394</v>
      </c>
      <c r="L805">
        <v>2801.6</v>
      </c>
      <c r="M805">
        <v>428.86207881210737</v>
      </c>
      <c r="N805" t="s">
        <v>395</v>
      </c>
      <c r="O805">
        <v>0</v>
      </c>
    </row>
    <row r="806" spans="1:15" x14ac:dyDescent="0.25">
      <c r="A806" t="s">
        <v>1250</v>
      </c>
      <c r="B806">
        <v>65</v>
      </c>
      <c r="C806" t="s">
        <v>1137</v>
      </c>
      <c r="D806" t="s">
        <v>1245</v>
      </c>
      <c r="E806">
        <v>6179</v>
      </c>
      <c r="F806">
        <v>6</v>
      </c>
      <c r="G806" t="s">
        <v>1208</v>
      </c>
      <c r="H806" t="s">
        <v>1251</v>
      </c>
      <c r="I806" t="s">
        <v>393</v>
      </c>
      <c r="J806">
        <v>400000</v>
      </c>
      <c r="K806" t="s">
        <v>394</v>
      </c>
      <c r="L806">
        <v>2801.6</v>
      </c>
      <c r="M806">
        <v>142.77555682467161</v>
      </c>
      <c r="N806" t="s">
        <v>395</v>
      </c>
      <c r="O806">
        <v>0</v>
      </c>
    </row>
    <row r="807" spans="1:15" x14ac:dyDescent="0.25">
      <c r="A807" t="s">
        <v>1250</v>
      </c>
      <c r="B807">
        <v>65</v>
      </c>
      <c r="C807" t="s">
        <v>1137</v>
      </c>
      <c r="D807" t="s">
        <v>1245</v>
      </c>
      <c r="E807">
        <v>6179</v>
      </c>
      <c r="F807">
        <v>6</v>
      </c>
      <c r="G807" t="s">
        <v>1208</v>
      </c>
      <c r="H807" t="s">
        <v>1252</v>
      </c>
      <c r="I807" t="s">
        <v>393</v>
      </c>
      <c r="J807">
        <v>150000</v>
      </c>
      <c r="K807" t="s">
        <v>394</v>
      </c>
      <c r="L807">
        <v>2801.6</v>
      </c>
      <c r="M807">
        <v>53.540833809251858</v>
      </c>
      <c r="N807" t="s">
        <v>395</v>
      </c>
      <c r="O807">
        <v>0</v>
      </c>
    </row>
    <row r="808" spans="1:15" x14ac:dyDescent="0.25">
      <c r="A808" t="s">
        <v>1250</v>
      </c>
      <c r="B808">
        <v>65</v>
      </c>
      <c r="C808" t="s">
        <v>1137</v>
      </c>
      <c r="D808" t="s">
        <v>1245</v>
      </c>
      <c r="E808">
        <v>6179</v>
      </c>
      <c r="F808">
        <v>6</v>
      </c>
      <c r="G808" t="s">
        <v>1208</v>
      </c>
      <c r="H808" t="s">
        <v>1253</v>
      </c>
      <c r="I808" t="s">
        <v>393</v>
      </c>
      <c r="J808">
        <v>300000</v>
      </c>
      <c r="K808" t="s">
        <v>394</v>
      </c>
      <c r="L808">
        <v>2801.6</v>
      </c>
      <c r="M808">
        <v>107.08166761850372</v>
      </c>
      <c r="N808" t="s">
        <v>395</v>
      </c>
      <c r="O808">
        <v>0</v>
      </c>
    </row>
    <row r="809" spans="1:15" x14ac:dyDescent="0.25">
      <c r="A809" t="s">
        <v>1250</v>
      </c>
      <c r="B809">
        <v>65</v>
      </c>
      <c r="C809" t="s">
        <v>1137</v>
      </c>
      <c r="D809" t="s">
        <v>1245</v>
      </c>
      <c r="E809">
        <v>6179</v>
      </c>
      <c r="F809">
        <v>6</v>
      </c>
      <c r="G809" t="s">
        <v>1208</v>
      </c>
      <c r="H809" t="s">
        <v>1254</v>
      </c>
      <c r="I809" t="s">
        <v>393</v>
      </c>
      <c r="J809">
        <v>150000</v>
      </c>
      <c r="K809" t="s">
        <v>394</v>
      </c>
      <c r="L809">
        <v>2801.6</v>
      </c>
      <c r="M809">
        <v>53.540833809251858</v>
      </c>
      <c r="N809" t="s">
        <v>395</v>
      </c>
      <c r="O809">
        <v>0</v>
      </c>
    </row>
    <row r="810" spans="1:15" x14ac:dyDescent="0.25">
      <c r="A810" t="s">
        <v>1250</v>
      </c>
      <c r="B810">
        <v>65</v>
      </c>
      <c r="C810" t="s">
        <v>1137</v>
      </c>
      <c r="D810" t="s">
        <v>1245</v>
      </c>
      <c r="E810">
        <v>6179</v>
      </c>
      <c r="F810">
        <v>6</v>
      </c>
      <c r="G810" t="s">
        <v>1208</v>
      </c>
      <c r="H810" t="s">
        <v>1255</v>
      </c>
      <c r="I810" t="s">
        <v>393</v>
      </c>
      <c r="J810">
        <v>60000</v>
      </c>
      <c r="K810" t="s">
        <v>394</v>
      </c>
      <c r="L810">
        <v>2801.6</v>
      </c>
      <c r="M810">
        <v>21.416333523700743</v>
      </c>
      <c r="N810" t="s">
        <v>395</v>
      </c>
      <c r="O810">
        <v>0</v>
      </c>
    </row>
    <row r="811" spans="1:15" x14ac:dyDescent="0.25">
      <c r="A811" t="s">
        <v>1250</v>
      </c>
      <c r="B811">
        <v>65</v>
      </c>
      <c r="C811" t="s">
        <v>1137</v>
      </c>
      <c r="D811" t="s">
        <v>1245</v>
      </c>
      <c r="E811">
        <v>6179</v>
      </c>
      <c r="F811">
        <v>6</v>
      </c>
      <c r="G811" t="s">
        <v>1208</v>
      </c>
      <c r="H811" t="s">
        <v>1256</v>
      </c>
      <c r="I811" t="s">
        <v>393</v>
      </c>
      <c r="J811">
        <v>70000</v>
      </c>
      <c r="K811" t="s">
        <v>394</v>
      </c>
      <c r="L811">
        <v>2801.6</v>
      </c>
      <c r="M811">
        <v>24.985722444317535</v>
      </c>
      <c r="N811" t="s">
        <v>395</v>
      </c>
      <c r="O811">
        <v>0</v>
      </c>
    </row>
    <row r="812" spans="1:15" x14ac:dyDescent="0.25">
      <c r="A812" t="s">
        <v>1257</v>
      </c>
      <c r="B812">
        <v>82</v>
      </c>
      <c r="C812" t="s">
        <v>1137</v>
      </c>
      <c r="D812" t="s">
        <v>1245</v>
      </c>
      <c r="E812">
        <v>6345</v>
      </c>
      <c r="F812">
        <v>6</v>
      </c>
      <c r="G812" t="s">
        <v>1208</v>
      </c>
      <c r="H812" t="s">
        <v>1258</v>
      </c>
      <c r="I812" t="s">
        <v>393</v>
      </c>
      <c r="J812">
        <v>5000</v>
      </c>
      <c r="K812" t="s">
        <v>394</v>
      </c>
      <c r="L812">
        <v>2801.6</v>
      </c>
      <c r="M812">
        <v>1.7846944603083952</v>
      </c>
      <c r="N812" t="s">
        <v>395</v>
      </c>
      <c r="O812">
        <v>0</v>
      </c>
    </row>
    <row r="813" spans="1:15" x14ac:dyDescent="0.25">
      <c r="A813" t="s">
        <v>1257</v>
      </c>
      <c r="B813">
        <v>82</v>
      </c>
      <c r="C813" t="s">
        <v>1137</v>
      </c>
      <c r="D813" t="s">
        <v>1245</v>
      </c>
      <c r="E813">
        <v>6345</v>
      </c>
      <c r="F813">
        <v>6</v>
      </c>
      <c r="G813" t="s">
        <v>1208</v>
      </c>
      <c r="H813" t="s">
        <v>1259</v>
      </c>
      <c r="I813" t="s">
        <v>393</v>
      </c>
      <c r="J813">
        <v>10000</v>
      </c>
      <c r="K813" t="s">
        <v>394</v>
      </c>
      <c r="L813">
        <v>2801.6</v>
      </c>
      <c r="M813">
        <v>3.5693889206167904</v>
      </c>
      <c r="N813" t="s">
        <v>395</v>
      </c>
      <c r="O813">
        <v>0</v>
      </c>
    </row>
    <row r="814" spans="1:15" x14ac:dyDescent="0.25">
      <c r="A814" t="s">
        <v>1257</v>
      </c>
      <c r="B814">
        <v>82</v>
      </c>
      <c r="C814" t="s">
        <v>1137</v>
      </c>
      <c r="D814" t="s">
        <v>1245</v>
      </c>
      <c r="E814">
        <v>6345</v>
      </c>
      <c r="F814">
        <v>6</v>
      </c>
      <c r="G814" t="s">
        <v>1208</v>
      </c>
      <c r="H814" t="s">
        <v>1260</v>
      </c>
      <c r="I814" t="s">
        <v>393</v>
      </c>
      <c r="J814">
        <v>20000</v>
      </c>
      <c r="K814" t="s">
        <v>394</v>
      </c>
      <c r="L814">
        <v>2801.6</v>
      </c>
      <c r="M814">
        <v>7.1387778412335807</v>
      </c>
      <c r="N814" t="s">
        <v>395</v>
      </c>
      <c r="O814">
        <v>0</v>
      </c>
    </row>
    <row r="815" spans="1:15" x14ac:dyDescent="0.25">
      <c r="A815" t="s">
        <v>1257</v>
      </c>
      <c r="B815">
        <v>82</v>
      </c>
      <c r="C815" t="s">
        <v>1137</v>
      </c>
      <c r="D815" t="s">
        <v>1245</v>
      </c>
      <c r="E815">
        <v>6345</v>
      </c>
      <c r="F815">
        <v>6</v>
      </c>
      <c r="G815" t="s">
        <v>1208</v>
      </c>
      <c r="H815" t="s">
        <v>1261</v>
      </c>
      <c r="I815" t="s">
        <v>393</v>
      </c>
      <c r="J815">
        <v>160000</v>
      </c>
      <c r="K815" t="s">
        <v>394</v>
      </c>
      <c r="L815">
        <v>2801.6</v>
      </c>
      <c r="M815">
        <v>57.110222729868646</v>
      </c>
      <c r="N815" t="s">
        <v>395</v>
      </c>
      <c r="O815">
        <v>0</v>
      </c>
    </row>
    <row r="816" spans="1:15" x14ac:dyDescent="0.25">
      <c r="A816" t="s">
        <v>1257</v>
      </c>
      <c r="B816">
        <v>82</v>
      </c>
      <c r="C816" t="s">
        <v>1137</v>
      </c>
      <c r="D816" t="s">
        <v>1245</v>
      </c>
      <c r="E816">
        <v>6345</v>
      </c>
      <c r="F816">
        <v>6</v>
      </c>
      <c r="G816" t="s">
        <v>1208</v>
      </c>
      <c r="H816" t="s">
        <v>1262</v>
      </c>
      <c r="I816" t="s">
        <v>393</v>
      </c>
      <c r="J816">
        <v>60000</v>
      </c>
      <c r="K816" t="s">
        <v>394</v>
      </c>
      <c r="L816">
        <v>2801.6</v>
      </c>
      <c r="M816">
        <v>21.416333523700743</v>
      </c>
      <c r="N816" t="s">
        <v>395</v>
      </c>
      <c r="O816">
        <v>0</v>
      </c>
    </row>
    <row r="817" spans="1:15" x14ac:dyDescent="0.25">
      <c r="A817" t="s">
        <v>1263</v>
      </c>
      <c r="B817">
        <v>73</v>
      </c>
      <c r="C817" t="s">
        <v>1137</v>
      </c>
      <c r="D817" t="s">
        <v>1264</v>
      </c>
      <c r="E817">
        <v>6345</v>
      </c>
      <c r="F817">
        <v>6</v>
      </c>
      <c r="G817" t="s">
        <v>1208</v>
      </c>
      <c r="H817" t="s">
        <v>1232</v>
      </c>
      <c r="I817" t="s">
        <v>393</v>
      </c>
      <c r="J817">
        <v>150000</v>
      </c>
      <c r="K817" t="s">
        <v>394</v>
      </c>
      <c r="L817">
        <v>2801.6</v>
      </c>
      <c r="M817">
        <v>53.540833809251858</v>
      </c>
      <c r="N817" t="s">
        <v>395</v>
      </c>
      <c r="O817">
        <v>0</v>
      </c>
    </row>
    <row r="818" spans="1:15" x14ac:dyDescent="0.25">
      <c r="A818" t="s">
        <v>1263</v>
      </c>
      <c r="B818">
        <v>73</v>
      </c>
      <c r="C818" t="s">
        <v>1137</v>
      </c>
      <c r="D818" t="s">
        <v>1264</v>
      </c>
      <c r="E818">
        <v>6345</v>
      </c>
      <c r="F818">
        <v>6</v>
      </c>
      <c r="G818" t="s">
        <v>1208</v>
      </c>
      <c r="H818" t="s">
        <v>1233</v>
      </c>
      <c r="I818" t="s">
        <v>393</v>
      </c>
      <c r="J818">
        <v>124000</v>
      </c>
      <c r="K818" t="s">
        <v>394</v>
      </c>
      <c r="L818">
        <v>2801.6</v>
      </c>
      <c r="M818">
        <v>44.260422615648203</v>
      </c>
      <c r="N818" t="s">
        <v>395</v>
      </c>
      <c r="O818">
        <v>0</v>
      </c>
    </row>
    <row r="819" spans="1:15" x14ac:dyDescent="0.25">
      <c r="A819" t="s">
        <v>1263</v>
      </c>
      <c r="B819">
        <v>73</v>
      </c>
      <c r="C819" t="s">
        <v>1137</v>
      </c>
      <c r="D819" t="s">
        <v>1264</v>
      </c>
      <c r="E819">
        <v>6345</v>
      </c>
      <c r="F819">
        <v>6</v>
      </c>
      <c r="G819" t="s">
        <v>1208</v>
      </c>
      <c r="H819" t="s">
        <v>1016</v>
      </c>
      <c r="I819" t="s">
        <v>393</v>
      </c>
      <c r="J819">
        <v>620000</v>
      </c>
      <c r="K819" t="s">
        <v>394</v>
      </c>
      <c r="L819">
        <v>2801.6</v>
      </c>
      <c r="M819">
        <v>221.30211307824101</v>
      </c>
      <c r="N819" t="s">
        <v>395</v>
      </c>
      <c r="O819">
        <v>0</v>
      </c>
    </row>
    <row r="820" spans="1:15" x14ac:dyDescent="0.25">
      <c r="A820" t="s">
        <v>1263</v>
      </c>
      <c r="B820">
        <v>73</v>
      </c>
      <c r="C820" t="s">
        <v>1137</v>
      </c>
      <c r="D820" t="s">
        <v>1264</v>
      </c>
      <c r="E820">
        <v>6345</v>
      </c>
      <c r="F820">
        <v>6</v>
      </c>
      <c r="G820" t="s">
        <v>1208</v>
      </c>
      <c r="H820" t="s">
        <v>1234</v>
      </c>
      <c r="I820" t="s">
        <v>393</v>
      </c>
      <c r="J820">
        <v>1736000</v>
      </c>
      <c r="K820" t="s">
        <v>394</v>
      </c>
      <c r="L820">
        <v>2801.6</v>
      </c>
      <c r="M820">
        <v>619.6459166190748</v>
      </c>
      <c r="N820" t="s">
        <v>395</v>
      </c>
      <c r="O820">
        <v>0</v>
      </c>
    </row>
    <row r="821" spans="1:15" x14ac:dyDescent="0.25">
      <c r="A821" t="s">
        <v>1265</v>
      </c>
      <c r="B821">
        <v>62</v>
      </c>
      <c r="C821" t="s">
        <v>1137</v>
      </c>
      <c r="D821" t="s">
        <v>1266</v>
      </c>
      <c r="E821">
        <v>6311</v>
      </c>
      <c r="F821">
        <v>6</v>
      </c>
      <c r="G821" t="s">
        <v>1208</v>
      </c>
      <c r="H821" t="s">
        <v>1232</v>
      </c>
      <c r="I821" t="s">
        <v>393</v>
      </c>
      <c r="J821">
        <v>150000</v>
      </c>
      <c r="K821" t="s">
        <v>394</v>
      </c>
      <c r="L821">
        <v>2801.6</v>
      </c>
      <c r="M821">
        <v>53.540833809251858</v>
      </c>
      <c r="N821" t="s">
        <v>395</v>
      </c>
      <c r="O821">
        <v>0</v>
      </c>
    </row>
    <row r="822" spans="1:15" x14ac:dyDescent="0.25">
      <c r="A822" t="s">
        <v>1265</v>
      </c>
      <c r="B822">
        <v>62</v>
      </c>
      <c r="C822" t="s">
        <v>1137</v>
      </c>
      <c r="D822" t="s">
        <v>1266</v>
      </c>
      <c r="E822">
        <v>6349</v>
      </c>
      <c r="F822">
        <v>6</v>
      </c>
      <c r="G822" t="s">
        <v>1208</v>
      </c>
      <c r="H822" t="s">
        <v>1233</v>
      </c>
      <c r="I822" t="s">
        <v>393</v>
      </c>
      <c r="J822">
        <v>124000</v>
      </c>
      <c r="K822" t="s">
        <v>394</v>
      </c>
      <c r="L822">
        <v>2801.6</v>
      </c>
      <c r="M822">
        <v>44.260422615648203</v>
      </c>
      <c r="N822" t="s">
        <v>395</v>
      </c>
      <c r="O822">
        <v>0</v>
      </c>
    </row>
    <row r="823" spans="1:15" x14ac:dyDescent="0.25">
      <c r="A823" t="s">
        <v>1265</v>
      </c>
      <c r="B823">
        <v>62</v>
      </c>
      <c r="C823" t="s">
        <v>1137</v>
      </c>
      <c r="D823" t="s">
        <v>1266</v>
      </c>
      <c r="E823">
        <v>6349</v>
      </c>
      <c r="F823">
        <v>6</v>
      </c>
      <c r="G823" t="s">
        <v>1208</v>
      </c>
      <c r="H823" t="s">
        <v>1016</v>
      </c>
      <c r="I823" t="s">
        <v>393</v>
      </c>
      <c r="J823">
        <v>620000</v>
      </c>
      <c r="K823" t="s">
        <v>394</v>
      </c>
      <c r="L823">
        <v>2801.6</v>
      </c>
      <c r="M823">
        <v>221.30211307824101</v>
      </c>
      <c r="N823" t="s">
        <v>395</v>
      </c>
      <c r="O823">
        <v>0</v>
      </c>
    </row>
    <row r="824" spans="1:15" x14ac:dyDescent="0.25">
      <c r="A824" t="s">
        <v>1265</v>
      </c>
      <c r="B824">
        <v>62</v>
      </c>
      <c r="C824" t="s">
        <v>1137</v>
      </c>
      <c r="D824" t="s">
        <v>1266</v>
      </c>
      <c r="E824">
        <v>6349</v>
      </c>
      <c r="F824">
        <v>6</v>
      </c>
      <c r="G824" t="s">
        <v>1208</v>
      </c>
      <c r="H824" t="s">
        <v>1234</v>
      </c>
      <c r="I824" t="s">
        <v>393</v>
      </c>
      <c r="J824">
        <v>1860000</v>
      </c>
      <c r="K824" t="s">
        <v>394</v>
      </c>
      <c r="L824">
        <v>2801.6</v>
      </c>
      <c r="M824">
        <v>663.90633923472308</v>
      </c>
      <c r="N824" t="s">
        <v>395</v>
      </c>
      <c r="O824">
        <v>0</v>
      </c>
    </row>
    <row r="825" spans="1:15" x14ac:dyDescent="0.25">
      <c r="A825" t="s">
        <v>1267</v>
      </c>
      <c r="B825">
        <v>61</v>
      </c>
      <c r="C825" t="s">
        <v>1137</v>
      </c>
      <c r="D825" t="s">
        <v>1268</v>
      </c>
      <c r="E825">
        <v>6345</v>
      </c>
      <c r="F825">
        <v>6</v>
      </c>
      <c r="G825" t="s">
        <v>1208</v>
      </c>
      <c r="H825" t="s">
        <v>1243</v>
      </c>
      <c r="I825" t="s">
        <v>393</v>
      </c>
      <c r="J825">
        <v>1080000</v>
      </c>
      <c r="K825" t="s">
        <v>394</v>
      </c>
      <c r="L825">
        <v>2801.6</v>
      </c>
      <c r="M825">
        <v>385.4940034266134</v>
      </c>
      <c r="N825" t="s">
        <v>395</v>
      </c>
      <c r="O825">
        <v>0</v>
      </c>
    </row>
    <row r="826" spans="1:15" x14ac:dyDescent="0.25">
      <c r="A826" t="s">
        <v>1387</v>
      </c>
      <c r="B826">
        <v>99</v>
      </c>
      <c r="C826" t="s">
        <v>1330</v>
      </c>
      <c r="D826" s="609">
        <v>45176</v>
      </c>
      <c r="E826">
        <v>0</v>
      </c>
      <c r="F826">
        <v>6</v>
      </c>
      <c r="G826" t="s">
        <v>1208</v>
      </c>
      <c r="H826" t="s">
        <v>1388</v>
      </c>
      <c r="I826" t="s">
        <v>393</v>
      </c>
      <c r="J826">
        <v>2520000</v>
      </c>
      <c r="K826" t="s">
        <v>394</v>
      </c>
      <c r="L826">
        <v>2802.3999950000002</v>
      </c>
      <c r="M826">
        <v>899.22923369117393</v>
      </c>
      <c r="N826" t="s">
        <v>395</v>
      </c>
      <c r="O826">
        <v>0</v>
      </c>
    </row>
    <row r="827" spans="1:15" x14ac:dyDescent="0.25">
      <c r="A827" t="s">
        <v>1389</v>
      </c>
      <c r="B827">
        <v>99</v>
      </c>
      <c r="C827" t="s">
        <v>1330</v>
      </c>
      <c r="D827" s="609">
        <v>45202</v>
      </c>
      <c r="E827">
        <v>0</v>
      </c>
      <c r="F827">
        <v>6</v>
      </c>
      <c r="G827" t="s">
        <v>1208</v>
      </c>
      <c r="H827" t="s">
        <v>1388</v>
      </c>
      <c r="I827" t="s">
        <v>393</v>
      </c>
      <c r="J827">
        <v>3780000</v>
      </c>
      <c r="K827" t="s">
        <v>394</v>
      </c>
      <c r="L827">
        <v>2802.3999950000002</v>
      </c>
      <c r="M827">
        <v>1348.843850536761</v>
      </c>
      <c r="N827" t="s">
        <v>395</v>
      </c>
      <c r="O827">
        <v>0</v>
      </c>
    </row>
    <row r="828" spans="1:15" x14ac:dyDescent="0.25">
      <c r="A828" t="s">
        <v>1390</v>
      </c>
      <c r="B828">
        <v>100</v>
      </c>
      <c r="C828" t="s">
        <v>1330</v>
      </c>
      <c r="D828" s="609">
        <v>45175</v>
      </c>
      <c r="E828">
        <v>0</v>
      </c>
      <c r="F828">
        <v>6</v>
      </c>
      <c r="G828" t="s">
        <v>1208</v>
      </c>
      <c r="H828" t="s">
        <v>1354</v>
      </c>
      <c r="I828" t="s">
        <v>393</v>
      </c>
      <c r="J828">
        <v>70000</v>
      </c>
      <c r="K828" t="s">
        <v>394</v>
      </c>
      <c r="L828">
        <v>2802.3999950000002</v>
      </c>
      <c r="M828">
        <v>24.978589824754835</v>
      </c>
      <c r="N828" t="s">
        <v>395</v>
      </c>
      <c r="O828">
        <v>0</v>
      </c>
    </row>
    <row r="829" spans="1:15" x14ac:dyDescent="0.25">
      <c r="A829" t="s">
        <v>1390</v>
      </c>
      <c r="B829">
        <v>101</v>
      </c>
      <c r="C829" t="s">
        <v>1330</v>
      </c>
      <c r="D829" s="609">
        <v>45175</v>
      </c>
      <c r="E829">
        <v>0</v>
      </c>
      <c r="F829">
        <v>6</v>
      </c>
      <c r="G829" t="s">
        <v>1208</v>
      </c>
      <c r="H829" t="s">
        <v>1354</v>
      </c>
      <c r="I829" t="s">
        <v>393</v>
      </c>
      <c r="J829">
        <v>10000</v>
      </c>
      <c r="K829" t="s">
        <v>394</v>
      </c>
      <c r="L829">
        <v>2802.3999950000002</v>
      </c>
      <c r="M829">
        <v>3.568369974964976</v>
      </c>
      <c r="N829" t="s">
        <v>395</v>
      </c>
      <c r="O829">
        <v>0</v>
      </c>
    </row>
    <row r="830" spans="1:15" x14ac:dyDescent="0.25">
      <c r="A830" t="s">
        <v>1390</v>
      </c>
      <c r="B830">
        <v>102</v>
      </c>
      <c r="C830" t="s">
        <v>1330</v>
      </c>
      <c r="D830" s="609">
        <v>45175</v>
      </c>
      <c r="E830">
        <v>0</v>
      </c>
      <c r="F830">
        <v>6</v>
      </c>
      <c r="G830" t="s">
        <v>1208</v>
      </c>
      <c r="H830" t="s">
        <v>1164</v>
      </c>
      <c r="I830" t="s">
        <v>393</v>
      </c>
      <c r="J830">
        <v>450000</v>
      </c>
      <c r="K830" t="s">
        <v>394</v>
      </c>
      <c r="L830">
        <v>2802.3999950000002</v>
      </c>
      <c r="M830">
        <v>160.57664887342392</v>
      </c>
      <c r="N830" t="s">
        <v>395</v>
      </c>
      <c r="O830">
        <v>0</v>
      </c>
    </row>
    <row r="831" spans="1:15" x14ac:dyDescent="0.25">
      <c r="A831" t="s">
        <v>1390</v>
      </c>
      <c r="B831">
        <v>103</v>
      </c>
      <c r="C831" t="s">
        <v>1330</v>
      </c>
      <c r="D831" s="609">
        <v>45175</v>
      </c>
      <c r="E831">
        <v>0</v>
      </c>
      <c r="F831">
        <v>6</v>
      </c>
      <c r="G831" t="s">
        <v>1208</v>
      </c>
      <c r="H831" t="s">
        <v>1164</v>
      </c>
      <c r="I831" t="s">
        <v>393</v>
      </c>
      <c r="J831">
        <v>450000</v>
      </c>
      <c r="K831" t="s">
        <v>394</v>
      </c>
      <c r="L831">
        <v>2802.3999950000002</v>
      </c>
      <c r="M831">
        <v>160.57664887342392</v>
      </c>
      <c r="N831" t="s">
        <v>395</v>
      </c>
      <c r="O831">
        <v>0</v>
      </c>
    </row>
    <row r="832" spans="1:15" x14ac:dyDescent="0.25">
      <c r="A832" t="s">
        <v>1390</v>
      </c>
      <c r="B832">
        <v>104</v>
      </c>
      <c r="C832" t="s">
        <v>1330</v>
      </c>
      <c r="D832" s="609">
        <v>45175</v>
      </c>
      <c r="E832">
        <v>0</v>
      </c>
      <c r="F832">
        <v>6</v>
      </c>
      <c r="G832" t="s">
        <v>1208</v>
      </c>
      <c r="H832" t="s">
        <v>1164</v>
      </c>
      <c r="I832" t="s">
        <v>393</v>
      </c>
      <c r="J832">
        <v>390000</v>
      </c>
      <c r="K832" t="s">
        <v>394</v>
      </c>
      <c r="L832">
        <v>2802.3999950000002</v>
      </c>
      <c r="M832">
        <v>139.16642902363407</v>
      </c>
      <c r="N832" t="s">
        <v>395</v>
      </c>
      <c r="O832">
        <v>0</v>
      </c>
    </row>
    <row r="833" spans="1:15" x14ac:dyDescent="0.25">
      <c r="A833" t="s">
        <v>1390</v>
      </c>
      <c r="B833">
        <v>105</v>
      </c>
      <c r="C833" t="s">
        <v>1330</v>
      </c>
      <c r="D833" s="609">
        <v>45175</v>
      </c>
      <c r="E833">
        <v>0</v>
      </c>
      <c r="F833">
        <v>6</v>
      </c>
      <c r="G833" t="s">
        <v>1208</v>
      </c>
      <c r="H833" t="s">
        <v>1164</v>
      </c>
      <c r="I833" t="s">
        <v>393</v>
      </c>
      <c r="J833">
        <v>390000</v>
      </c>
      <c r="K833" t="s">
        <v>394</v>
      </c>
      <c r="L833">
        <v>2802.3999950000002</v>
      </c>
      <c r="M833">
        <v>139.16642902363407</v>
      </c>
      <c r="N833" t="s">
        <v>395</v>
      </c>
      <c r="O833">
        <v>0</v>
      </c>
    </row>
    <row r="834" spans="1:15" x14ac:dyDescent="0.25">
      <c r="A834" t="s">
        <v>1390</v>
      </c>
      <c r="B834">
        <v>106</v>
      </c>
      <c r="C834" t="s">
        <v>1330</v>
      </c>
      <c r="D834" s="609">
        <v>45175</v>
      </c>
      <c r="E834">
        <v>0</v>
      </c>
      <c r="F834">
        <v>6</v>
      </c>
      <c r="G834" t="s">
        <v>1208</v>
      </c>
      <c r="H834" t="s">
        <v>1164</v>
      </c>
      <c r="I834" t="s">
        <v>393</v>
      </c>
      <c r="J834">
        <v>330000</v>
      </c>
      <c r="K834" t="s">
        <v>394</v>
      </c>
      <c r="L834">
        <v>2802.3999950000002</v>
      </c>
      <c r="M834">
        <v>117.75620917384421</v>
      </c>
      <c r="N834" t="s">
        <v>395</v>
      </c>
      <c r="O834">
        <v>0</v>
      </c>
    </row>
    <row r="835" spans="1:15" x14ac:dyDescent="0.25">
      <c r="A835" t="s">
        <v>1390</v>
      </c>
      <c r="B835">
        <v>107</v>
      </c>
      <c r="C835" t="s">
        <v>1330</v>
      </c>
      <c r="D835" s="609">
        <v>45175</v>
      </c>
      <c r="E835">
        <v>0</v>
      </c>
      <c r="F835">
        <v>6</v>
      </c>
      <c r="G835" t="s">
        <v>1208</v>
      </c>
      <c r="H835" t="s">
        <v>1164</v>
      </c>
      <c r="I835" t="s">
        <v>393</v>
      </c>
      <c r="J835">
        <v>330000</v>
      </c>
      <c r="K835" t="s">
        <v>394</v>
      </c>
      <c r="L835">
        <v>2802.3999950000002</v>
      </c>
      <c r="M835">
        <v>117.75620917384421</v>
      </c>
      <c r="N835" t="s">
        <v>395</v>
      </c>
      <c r="O835">
        <v>0</v>
      </c>
    </row>
    <row r="836" spans="1:15" x14ac:dyDescent="0.25">
      <c r="A836" t="s">
        <v>1390</v>
      </c>
      <c r="B836">
        <v>108</v>
      </c>
      <c r="C836" t="s">
        <v>1330</v>
      </c>
      <c r="D836" s="609">
        <v>45175</v>
      </c>
      <c r="E836">
        <v>0</v>
      </c>
      <c r="F836">
        <v>6</v>
      </c>
      <c r="G836" t="s">
        <v>1208</v>
      </c>
      <c r="H836" t="s">
        <v>1164</v>
      </c>
      <c r="I836" t="s">
        <v>393</v>
      </c>
      <c r="J836">
        <v>450000</v>
      </c>
      <c r="K836" t="s">
        <v>394</v>
      </c>
      <c r="L836">
        <v>2802.3999950000002</v>
      </c>
      <c r="M836">
        <v>160.57664887342392</v>
      </c>
      <c r="N836" t="s">
        <v>395</v>
      </c>
      <c r="O836">
        <v>0</v>
      </c>
    </row>
    <row r="837" spans="1:15" x14ac:dyDescent="0.25">
      <c r="A837" t="s">
        <v>1390</v>
      </c>
      <c r="B837">
        <v>109</v>
      </c>
      <c r="C837" t="s">
        <v>1330</v>
      </c>
      <c r="D837" s="609">
        <v>45175</v>
      </c>
      <c r="E837">
        <v>0</v>
      </c>
      <c r="F837">
        <v>6</v>
      </c>
      <c r="G837" t="s">
        <v>1208</v>
      </c>
      <c r="H837" t="s">
        <v>1164</v>
      </c>
      <c r="I837" t="s">
        <v>393</v>
      </c>
      <c r="J837">
        <v>450000</v>
      </c>
      <c r="K837" t="s">
        <v>394</v>
      </c>
      <c r="L837">
        <v>2802.3999950000002</v>
      </c>
      <c r="M837">
        <v>160.57664887342392</v>
      </c>
      <c r="N837" t="s">
        <v>395</v>
      </c>
      <c r="O837">
        <v>0</v>
      </c>
    </row>
    <row r="838" spans="1:15" x14ac:dyDescent="0.25">
      <c r="A838" t="s">
        <v>1390</v>
      </c>
      <c r="B838">
        <v>110</v>
      </c>
      <c r="C838" t="s">
        <v>1330</v>
      </c>
      <c r="D838" s="609">
        <v>45175</v>
      </c>
      <c r="E838">
        <v>0</v>
      </c>
      <c r="F838">
        <v>6</v>
      </c>
      <c r="G838" t="s">
        <v>1208</v>
      </c>
      <c r="H838" t="s">
        <v>1164</v>
      </c>
      <c r="I838" t="s">
        <v>393</v>
      </c>
      <c r="J838">
        <v>450000</v>
      </c>
      <c r="K838" t="s">
        <v>394</v>
      </c>
      <c r="L838">
        <v>2802.3999950000002</v>
      </c>
      <c r="M838">
        <v>160.57664887342392</v>
      </c>
      <c r="N838" t="s">
        <v>395</v>
      </c>
      <c r="O838">
        <v>0</v>
      </c>
    </row>
    <row r="839" spans="1:15" x14ac:dyDescent="0.25">
      <c r="A839" t="s">
        <v>1390</v>
      </c>
      <c r="B839">
        <v>111</v>
      </c>
      <c r="C839" t="s">
        <v>1330</v>
      </c>
      <c r="D839" s="609">
        <v>45175</v>
      </c>
      <c r="E839">
        <v>0</v>
      </c>
      <c r="F839">
        <v>6</v>
      </c>
      <c r="G839" t="s">
        <v>1208</v>
      </c>
      <c r="H839" t="s">
        <v>1164</v>
      </c>
      <c r="I839" t="s">
        <v>393</v>
      </c>
      <c r="J839">
        <v>450000</v>
      </c>
      <c r="K839" t="s">
        <v>394</v>
      </c>
      <c r="L839">
        <v>2802.3999950000002</v>
      </c>
      <c r="M839">
        <v>160.57664887342392</v>
      </c>
      <c r="N839" t="s">
        <v>395</v>
      </c>
      <c r="O839">
        <v>0</v>
      </c>
    </row>
    <row r="840" spans="1:15" x14ac:dyDescent="0.25">
      <c r="A840" t="s">
        <v>1390</v>
      </c>
      <c r="B840">
        <v>112</v>
      </c>
      <c r="C840" t="s">
        <v>1330</v>
      </c>
      <c r="D840" s="609">
        <v>45175</v>
      </c>
      <c r="E840">
        <v>0</v>
      </c>
      <c r="F840">
        <v>6</v>
      </c>
      <c r="G840" t="s">
        <v>1208</v>
      </c>
      <c r="H840" t="s">
        <v>1164</v>
      </c>
      <c r="I840" t="s">
        <v>393</v>
      </c>
      <c r="J840">
        <v>450000</v>
      </c>
      <c r="K840" t="s">
        <v>394</v>
      </c>
      <c r="L840">
        <v>2802.3999950000002</v>
      </c>
      <c r="M840">
        <v>160.57664887342392</v>
      </c>
      <c r="N840" t="s">
        <v>395</v>
      </c>
      <c r="O840">
        <v>0</v>
      </c>
    </row>
    <row r="841" spans="1:15" x14ac:dyDescent="0.25">
      <c r="A841" t="s">
        <v>1390</v>
      </c>
      <c r="B841">
        <v>113</v>
      </c>
      <c r="C841" t="s">
        <v>1330</v>
      </c>
      <c r="D841" s="609">
        <v>45175</v>
      </c>
      <c r="E841">
        <v>0</v>
      </c>
      <c r="F841">
        <v>6</v>
      </c>
      <c r="G841" t="s">
        <v>1208</v>
      </c>
      <c r="H841" t="s">
        <v>1164</v>
      </c>
      <c r="I841" t="s">
        <v>393</v>
      </c>
      <c r="J841">
        <v>450000</v>
      </c>
      <c r="K841" t="s">
        <v>394</v>
      </c>
      <c r="L841">
        <v>2802.3999950000002</v>
      </c>
      <c r="M841">
        <v>160.57664887342392</v>
      </c>
      <c r="N841" t="s">
        <v>395</v>
      </c>
      <c r="O841">
        <v>0</v>
      </c>
    </row>
    <row r="842" spans="1:15" x14ac:dyDescent="0.25">
      <c r="A842" t="s">
        <v>1390</v>
      </c>
      <c r="B842">
        <v>114</v>
      </c>
      <c r="C842" t="s">
        <v>1330</v>
      </c>
      <c r="D842" s="609">
        <v>45175</v>
      </c>
      <c r="E842">
        <v>0</v>
      </c>
      <c r="F842">
        <v>6</v>
      </c>
      <c r="G842" t="s">
        <v>1208</v>
      </c>
      <c r="H842" t="s">
        <v>1164</v>
      </c>
      <c r="I842" t="s">
        <v>393</v>
      </c>
      <c r="J842">
        <v>450000</v>
      </c>
      <c r="K842" t="s">
        <v>394</v>
      </c>
      <c r="L842">
        <v>2802.3999950000002</v>
      </c>
      <c r="M842">
        <v>160.57664887342392</v>
      </c>
      <c r="N842" t="s">
        <v>395</v>
      </c>
      <c r="O842">
        <v>0</v>
      </c>
    </row>
    <row r="843" spans="1:15" x14ac:dyDescent="0.25">
      <c r="A843" t="s">
        <v>1390</v>
      </c>
      <c r="B843">
        <v>115</v>
      </c>
      <c r="C843" t="s">
        <v>1330</v>
      </c>
      <c r="D843" s="609">
        <v>45175</v>
      </c>
      <c r="E843">
        <v>0</v>
      </c>
      <c r="F843">
        <v>6</v>
      </c>
      <c r="G843" t="s">
        <v>1208</v>
      </c>
      <c r="H843" t="s">
        <v>1164</v>
      </c>
      <c r="I843" t="s">
        <v>393</v>
      </c>
      <c r="J843">
        <v>450000</v>
      </c>
      <c r="K843" t="s">
        <v>394</v>
      </c>
      <c r="L843">
        <v>2802.3999950000002</v>
      </c>
      <c r="M843">
        <v>160.57664887342392</v>
      </c>
      <c r="N843" t="s">
        <v>395</v>
      </c>
      <c r="O843">
        <v>0</v>
      </c>
    </row>
    <row r="844" spans="1:15" x14ac:dyDescent="0.25">
      <c r="A844" t="s">
        <v>1390</v>
      </c>
      <c r="B844">
        <v>116</v>
      </c>
      <c r="C844" t="s">
        <v>1330</v>
      </c>
      <c r="D844" s="609">
        <v>45175</v>
      </c>
      <c r="E844">
        <v>0</v>
      </c>
      <c r="F844">
        <v>6</v>
      </c>
      <c r="G844" t="s">
        <v>1208</v>
      </c>
      <c r="H844" t="s">
        <v>352</v>
      </c>
      <c r="I844" t="s">
        <v>393</v>
      </c>
      <c r="J844">
        <v>210000</v>
      </c>
      <c r="K844" t="s">
        <v>394</v>
      </c>
      <c r="L844">
        <v>2802.3999950000002</v>
      </c>
      <c r="M844">
        <v>74.935769474264504</v>
      </c>
      <c r="N844" t="s">
        <v>395</v>
      </c>
      <c r="O844">
        <v>0</v>
      </c>
    </row>
    <row r="845" spans="1:15" x14ac:dyDescent="0.25">
      <c r="A845" t="s">
        <v>1390</v>
      </c>
      <c r="B845">
        <v>117</v>
      </c>
      <c r="C845" t="s">
        <v>1330</v>
      </c>
      <c r="D845" s="609">
        <v>45175</v>
      </c>
      <c r="E845">
        <v>0</v>
      </c>
      <c r="F845">
        <v>6</v>
      </c>
      <c r="G845" t="s">
        <v>1208</v>
      </c>
      <c r="H845" t="s">
        <v>1379</v>
      </c>
      <c r="I845" t="s">
        <v>393</v>
      </c>
      <c r="J845">
        <v>240000</v>
      </c>
      <c r="K845" t="s">
        <v>394</v>
      </c>
      <c r="L845">
        <v>2802.3999950000002</v>
      </c>
      <c r="M845">
        <v>85.640879399159431</v>
      </c>
      <c r="N845" t="s">
        <v>395</v>
      </c>
      <c r="O845">
        <v>0</v>
      </c>
    </row>
    <row r="846" spans="1:15" x14ac:dyDescent="0.25">
      <c r="A846" t="s">
        <v>1390</v>
      </c>
      <c r="B846">
        <v>118</v>
      </c>
      <c r="C846" t="s">
        <v>1330</v>
      </c>
      <c r="D846" s="609">
        <v>45175</v>
      </c>
      <c r="E846">
        <v>0</v>
      </c>
      <c r="F846">
        <v>6</v>
      </c>
      <c r="G846" t="s">
        <v>1208</v>
      </c>
      <c r="H846" t="s">
        <v>1391</v>
      </c>
      <c r="I846" t="s">
        <v>393</v>
      </c>
      <c r="J846">
        <v>750000</v>
      </c>
      <c r="K846" t="s">
        <v>394</v>
      </c>
      <c r="L846">
        <v>2802.3999950000002</v>
      </c>
      <c r="M846">
        <v>267.62774812237319</v>
      </c>
      <c r="N846" t="s">
        <v>395</v>
      </c>
      <c r="O846">
        <v>0</v>
      </c>
    </row>
    <row r="847" spans="1:15" x14ac:dyDescent="0.25">
      <c r="A847" t="s">
        <v>1390</v>
      </c>
      <c r="B847">
        <v>119</v>
      </c>
      <c r="C847" t="s">
        <v>1330</v>
      </c>
      <c r="D847" s="609">
        <v>45175</v>
      </c>
      <c r="E847">
        <v>0</v>
      </c>
      <c r="F847">
        <v>6</v>
      </c>
      <c r="G847" t="s">
        <v>1208</v>
      </c>
      <c r="H847" t="s">
        <v>1168</v>
      </c>
      <c r="I847" t="s">
        <v>393</v>
      </c>
      <c r="J847">
        <v>1508748</v>
      </c>
      <c r="K847" t="s">
        <v>394</v>
      </c>
      <c r="L847">
        <v>2802.3999950000002</v>
      </c>
      <c r="M847">
        <v>538.37710629884577</v>
      </c>
      <c r="N847" t="s">
        <v>395</v>
      </c>
      <c r="O847">
        <v>0</v>
      </c>
    </row>
    <row r="848" spans="1:15" x14ac:dyDescent="0.25">
      <c r="A848" t="s">
        <v>1390</v>
      </c>
      <c r="B848">
        <v>120</v>
      </c>
      <c r="C848" t="s">
        <v>1330</v>
      </c>
      <c r="D848" s="609">
        <v>45175</v>
      </c>
      <c r="E848">
        <v>0</v>
      </c>
      <c r="F848">
        <v>6</v>
      </c>
      <c r="G848" t="s">
        <v>1208</v>
      </c>
      <c r="H848" t="s">
        <v>1392</v>
      </c>
      <c r="I848" t="s">
        <v>393</v>
      </c>
      <c r="J848">
        <v>23000</v>
      </c>
      <c r="K848" t="s">
        <v>394</v>
      </c>
      <c r="L848">
        <v>2802.3999950000002</v>
      </c>
      <c r="M848">
        <v>8.2072509424194457</v>
      </c>
      <c r="N848" t="s">
        <v>395</v>
      </c>
      <c r="O848">
        <v>0</v>
      </c>
    </row>
    <row r="849" spans="1:15" x14ac:dyDescent="0.25">
      <c r="A849" t="s">
        <v>1393</v>
      </c>
      <c r="B849">
        <v>121</v>
      </c>
      <c r="C849" t="s">
        <v>1330</v>
      </c>
      <c r="D849" s="609">
        <v>45188</v>
      </c>
      <c r="E849">
        <v>0</v>
      </c>
      <c r="F849">
        <v>6</v>
      </c>
      <c r="G849" t="s">
        <v>1208</v>
      </c>
      <c r="H849" t="s">
        <v>351</v>
      </c>
      <c r="I849" t="s">
        <v>393</v>
      </c>
      <c r="J849">
        <v>2400000</v>
      </c>
      <c r="K849" t="s">
        <v>394</v>
      </c>
      <c r="L849">
        <v>2802.3999950000002</v>
      </c>
      <c r="M849">
        <v>856.40879399159428</v>
      </c>
      <c r="N849" t="s">
        <v>395</v>
      </c>
      <c r="O849">
        <v>0</v>
      </c>
    </row>
    <row r="850" spans="1:15" x14ac:dyDescent="0.25">
      <c r="A850" t="s">
        <v>1394</v>
      </c>
      <c r="B850">
        <v>122</v>
      </c>
      <c r="C850" t="s">
        <v>1330</v>
      </c>
      <c r="D850" s="609">
        <v>45188</v>
      </c>
      <c r="E850">
        <v>0</v>
      </c>
      <c r="F850">
        <v>6</v>
      </c>
      <c r="G850" t="s">
        <v>1208</v>
      </c>
      <c r="H850" t="s">
        <v>1395</v>
      </c>
      <c r="I850" t="s">
        <v>393</v>
      </c>
      <c r="J850">
        <v>8580000</v>
      </c>
      <c r="K850" t="s">
        <v>394</v>
      </c>
      <c r="L850">
        <v>2802.3999950000002</v>
      </c>
      <c r="M850">
        <v>3061.6614385199496</v>
      </c>
      <c r="N850" t="s">
        <v>395</v>
      </c>
      <c r="O850">
        <v>0</v>
      </c>
    </row>
    <row r="851" spans="1:15" x14ac:dyDescent="0.25">
      <c r="A851" t="s">
        <v>1396</v>
      </c>
      <c r="B851">
        <v>123</v>
      </c>
      <c r="C851" t="s">
        <v>1330</v>
      </c>
      <c r="D851" s="609">
        <v>45179</v>
      </c>
      <c r="E851">
        <v>0</v>
      </c>
      <c r="F851">
        <v>6</v>
      </c>
      <c r="G851" t="s">
        <v>1208</v>
      </c>
      <c r="H851" t="s">
        <v>1368</v>
      </c>
      <c r="I851" t="s">
        <v>393</v>
      </c>
      <c r="J851">
        <v>252000</v>
      </c>
      <c r="K851" t="s">
        <v>394</v>
      </c>
      <c r="L851">
        <v>2802.3999950000002</v>
      </c>
      <c r="M851">
        <v>89.922923369117399</v>
      </c>
      <c r="N851" t="s">
        <v>395</v>
      </c>
      <c r="O851">
        <v>0</v>
      </c>
    </row>
    <row r="852" spans="1:15" x14ac:dyDescent="0.25">
      <c r="A852" t="s">
        <v>1396</v>
      </c>
      <c r="B852">
        <v>123</v>
      </c>
      <c r="C852" t="s">
        <v>1330</v>
      </c>
      <c r="D852" s="609">
        <v>45179</v>
      </c>
      <c r="E852">
        <v>0</v>
      </c>
      <c r="F852">
        <v>6</v>
      </c>
      <c r="G852" t="s">
        <v>1208</v>
      </c>
      <c r="H852" t="s">
        <v>1225</v>
      </c>
      <c r="I852" t="s">
        <v>393</v>
      </c>
      <c r="J852">
        <v>125000</v>
      </c>
      <c r="K852" t="s">
        <v>394</v>
      </c>
      <c r="L852">
        <v>2802.3999950000002</v>
      </c>
      <c r="M852">
        <v>44.604624687062199</v>
      </c>
      <c r="N852" t="s">
        <v>395</v>
      </c>
      <c r="O852">
        <v>0</v>
      </c>
    </row>
    <row r="853" spans="1:15" x14ac:dyDescent="0.25">
      <c r="A853" t="s">
        <v>1396</v>
      </c>
      <c r="B853">
        <v>123</v>
      </c>
      <c r="C853" t="s">
        <v>1330</v>
      </c>
      <c r="D853" s="609">
        <v>45179</v>
      </c>
      <c r="E853">
        <v>0</v>
      </c>
      <c r="F853">
        <v>6</v>
      </c>
      <c r="G853" t="s">
        <v>1208</v>
      </c>
      <c r="H853" t="s">
        <v>1227</v>
      </c>
      <c r="I853" t="s">
        <v>393</v>
      </c>
      <c r="J853">
        <v>24500</v>
      </c>
      <c r="K853" t="s">
        <v>394</v>
      </c>
      <c r="L853">
        <v>2802.3999950000002</v>
      </c>
      <c r="M853">
        <v>8.7425064386641917</v>
      </c>
      <c r="N853" t="s">
        <v>395</v>
      </c>
      <c r="O853">
        <v>0</v>
      </c>
    </row>
    <row r="854" spans="1:15" x14ac:dyDescent="0.25">
      <c r="A854" t="s">
        <v>1396</v>
      </c>
      <c r="B854">
        <v>123</v>
      </c>
      <c r="C854" t="s">
        <v>1330</v>
      </c>
      <c r="D854" s="609">
        <v>45179</v>
      </c>
      <c r="E854">
        <v>0</v>
      </c>
      <c r="F854">
        <v>6</v>
      </c>
      <c r="G854" t="s">
        <v>1208</v>
      </c>
      <c r="H854" t="s">
        <v>1226</v>
      </c>
      <c r="I854" t="s">
        <v>393</v>
      </c>
      <c r="J854">
        <v>35000</v>
      </c>
      <c r="K854" t="s">
        <v>394</v>
      </c>
      <c r="L854">
        <v>2802.3999950000002</v>
      </c>
      <c r="M854">
        <v>12.489294912377417</v>
      </c>
      <c r="N854" t="s">
        <v>395</v>
      </c>
      <c r="O854">
        <v>0</v>
      </c>
    </row>
    <row r="855" spans="1:15" x14ac:dyDescent="0.25">
      <c r="A855" t="s">
        <v>1396</v>
      </c>
      <c r="B855">
        <v>123</v>
      </c>
      <c r="C855" t="s">
        <v>1330</v>
      </c>
      <c r="D855" s="609">
        <v>45179</v>
      </c>
      <c r="E855">
        <v>0</v>
      </c>
      <c r="F855">
        <v>6</v>
      </c>
      <c r="G855" t="s">
        <v>1208</v>
      </c>
      <c r="H855" t="s">
        <v>1369</v>
      </c>
      <c r="I855" t="s">
        <v>393</v>
      </c>
      <c r="J855">
        <v>77000</v>
      </c>
      <c r="K855" t="s">
        <v>394</v>
      </c>
      <c r="L855">
        <v>2802.3999950000002</v>
      </c>
      <c r="M855">
        <v>27.476448807230316</v>
      </c>
      <c r="N855" t="s">
        <v>395</v>
      </c>
      <c r="O855">
        <v>0</v>
      </c>
    </row>
    <row r="856" spans="1:15" x14ac:dyDescent="0.25">
      <c r="A856" t="s">
        <v>1396</v>
      </c>
      <c r="B856">
        <v>123</v>
      </c>
      <c r="C856" t="s">
        <v>1330</v>
      </c>
      <c r="D856" s="609">
        <v>45179</v>
      </c>
      <c r="E856">
        <v>0</v>
      </c>
      <c r="F856">
        <v>6</v>
      </c>
      <c r="G856" t="s">
        <v>1208</v>
      </c>
      <c r="H856" t="s">
        <v>1229</v>
      </c>
      <c r="I856" t="s">
        <v>393</v>
      </c>
      <c r="J856">
        <v>22000</v>
      </c>
      <c r="K856" t="s">
        <v>394</v>
      </c>
      <c r="L856">
        <v>2802.3999950000002</v>
      </c>
      <c r="M856">
        <v>7.8504139449229475</v>
      </c>
      <c r="N856" t="s">
        <v>395</v>
      </c>
      <c r="O856">
        <v>0</v>
      </c>
    </row>
    <row r="857" spans="1:15" x14ac:dyDescent="0.25">
      <c r="A857" t="s">
        <v>1397</v>
      </c>
      <c r="B857">
        <v>124</v>
      </c>
      <c r="C857" t="s">
        <v>1330</v>
      </c>
      <c r="D857" s="609">
        <v>45187</v>
      </c>
      <c r="E857">
        <v>0</v>
      </c>
      <c r="F857">
        <v>6</v>
      </c>
      <c r="G857" t="s">
        <v>1208</v>
      </c>
      <c r="H857" t="s">
        <v>1392</v>
      </c>
      <c r="I857" t="s">
        <v>393</v>
      </c>
      <c r="J857">
        <v>8600</v>
      </c>
      <c r="K857" t="s">
        <v>394</v>
      </c>
      <c r="L857">
        <v>2802.3999950000002</v>
      </c>
      <c r="M857">
        <v>3.0687981784698795</v>
      </c>
      <c r="N857" t="s">
        <v>395</v>
      </c>
      <c r="O857">
        <v>0</v>
      </c>
    </row>
    <row r="858" spans="1:15" x14ac:dyDescent="0.25">
      <c r="A858" t="s">
        <v>1397</v>
      </c>
      <c r="B858">
        <v>125</v>
      </c>
      <c r="C858" t="s">
        <v>1330</v>
      </c>
      <c r="D858" s="609">
        <v>45187</v>
      </c>
      <c r="E858">
        <v>0</v>
      </c>
      <c r="F858">
        <v>6</v>
      </c>
      <c r="G858" t="s">
        <v>1208</v>
      </c>
      <c r="H858" t="s">
        <v>1354</v>
      </c>
      <c r="I858" t="s">
        <v>393</v>
      </c>
      <c r="J858">
        <v>45000</v>
      </c>
      <c r="K858" t="s">
        <v>394</v>
      </c>
      <c r="L858">
        <v>2802.3999950000002</v>
      </c>
      <c r="M858">
        <v>16.057664887342394</v>
      </c>
      <c r="N858" t="s">
        <v>395</v>
      </c>
      <c r="O858">
        <v>0</v>
      </c>
    </row>
    <row r="859" spans="1:15" x14ac:dyDescent="0.25">
      <c r="A859" t="s">
        <v>1397</v>
      </c>
      <c r="B859">
        <v>126</v>
      </c>
      <c r="C859" t="s">
        <v>1330</v>
      </c>
      <c r="D859" s="609">
        <v>45187</v>
      </c>
      <c r="E859">
        <v>0</v>
      </c>
      <c r="F859">
        <v>6</v>
      </c>
      <c r="G859" t="s">
        <v>1208</v>
      </c>
      <c r="H859" t="s">
        <v>1391</v>
      </c>
      <c r="I859" t="s">
        <v>393</v>
      </c>
      <c r="J859">
        <v>1500000</v>
      </c>
      <c r="K859" t="s">
        <v>394</v>
      </c>
      <c r="L859">
        <v>2802.3999950000002</v>
      </c>
      <c r="M859">
        <v>535.25549624474638</v>
      </c>
      <c r="N859" t="s">
        <v>395</v>
      </c>
      <c r="O859">
        <v>0</v>
      </c>
    </row>
    <row r="860" spans="1:15" x14ac:dyDescent="0.25">
      <c r="A860" t="s">
        <v>1397</v>
      </c>
      <c r="B860">
        <v>127</v>
      </c>
      <c r="C860" t="s">
        <v>1330</v>
      </c>
      <c r="D860" s="609">
        <v>45187</v>
      </c>
      <c r="E860">
        <v>0</v>
      </c>
      <c r="F860">
        <v>6</v>
      </c>
      <c r="G860" t="s">
        <v>1208</v>
      </c>
      <c r="H860" t="s">
        <v>1164</v>
      </c>
      <c r="I860" t="s">
        <v>393</v>
      </c>
      <c r="J860">
        <v>450000</v>
      </c>
      <c r="K860" t="s">
        <v>394</v>
      </c>
      <c r="L860">
        <v>2802.3999950000002</v>
      </c>
      <c r="M860">
        <v>160.57664887342392</v>
      </c>
      <c r="N860" t="s">
        <v>395</v>
      </c>
      <c r="O860">
        <v>0</v>
      </c>
    </row>
    <row r="861" spans="1:15" x14ac:dyDescent="0.25">
      <c r="A861" t="s">
        <v>1397</v>
      </c>
      <c r="B861">
        <v>128</v>
      </c>
      <c r="C861" t="s">
        <v>1330</v>
      </c>
      <c r="D861" s="609">
        <v>45187</v>
      </c>
      <c r="E861">
        <v>0</v>
      </c>
      <c r="F861">
        <v>6</v>
      </c>
      <c r="G861" t="s">
        <v>1208</v>
      </c>
      <c r="H861" t="s">
        <v>1164</v>
      </c>
      <c r="I861" t="s">
        <v>393</v>
      </c>
      <c r="J861">
        <v>450000</v>
      </c>
      <c r="K861" t="s">
        <v>394</v>
      </c>
      <c r="L861">
        <v>2802.3999950000002</v>
      </c>
      <c r="M861">
        <v>160.57664887342392</v>
      </c>
      <c r="N861" t="s">
        <v>395</v>
      </c>
      <c r="O861">
        <v>0</v>
      </c>
    </row>
    <row r="862" spans="1:15" x14ac:dyDescent="0.25">
      <c r="A862" t="s">
        <v>1397</v>
      </c>
      <c r="B862">
        <v>129</v>
      </c>
      <c r="C862" t="s">
        <v>1330</v>
      </c>
      <c r="D862" s="609">
        <v>45187</v>
      </c>
      <c r="E862">
        <v>0</v>
      </c>
      <c r="F862">
        <v>6</v>
      </c>
      <c r="G862" t="s">
        <v>1208</v>
      </c>
      <c r="H862" t="s">
        <v>1164</v>
      </c>
      <c r="I862" t="s">
        <v>393</v>
      </c>
      <c r="J862">
        <v>540000</v>
      </c>
      <c r="K862" t="s">
        <v>394</v>
      </c>
      <c r="L862">
        <v>2802.3999950000002</v>
      </c>
      <c r="M862">
        <v>192.69197864810872</v>
      </c>
      <c r="N862" t="s">
        <v>395</v>
      </c>
      <c r="O862">
        <v>0</v>
      </c>
    </row>
    <row r="863" spans="1:15" x14ac:dyDescent="0.25">
      <c r="A863" t="s">
        <v>1397</v>
      </c>
      <c r="B863">
        <v>130</v>
      </c>
      <c r="C863" t="s">
        <v>1330</v>
      </c>
      <c r="D863" s="609">
        <v>45187</v>
      </c>
      <c r="E863">
        <v>0</v>
      </c>
      <c r="F863">
        <v>6</v>
      </c>
      <c r="G863" t="s">
        <v>1208</v>
      </c>
      <c r="H863" t="s">
        <v>1164</v>
      </c>
      <c r="I863" t="s">
        <v>393</v>
      </c>
      <c r="J863">
        <v>540000</v>
      </c>
      <c r="K863" t="s">
        <v>394</v>
      </c>
      <c r="L863">
        <v>2802.3999950000002</v>
      </c>
      <c r="M863">
        <v>192.69197864810872</v>
      </c>
      <c r="N863" t="s">
        <v>395</v>
      </c>
      <c r="O863">
        <v>0</v>
      </c>
    </row>
    <row r="864" spans="1:15" x14ac:dyDescent="0.25">
      <c r="A864" t="s">
        <v>1397</v>
      </c>
      <c r="B864">
        <v>131</v>
      </c>
      <c r="C864" t="s">
        <v>1330</v>
      </c>
      <c r="D864" s="609">
        <v>45187</v>
      </c>
      <c r="E864">
        <v>0</v>
      </c>
      <c r="F864">
        <v>6</v>
      </c>
      <c r="G864" t="s">
        <v>1208</v>
      </c>
      <c r="H864" t="s">
        <v>1164</v>
      </c>
      <c r="I864" t="s">
        <v>393</v>
      </c>
      <c r="J864">
        <v>450000</v>
      </c>
      <c r="K864" t="s">
        <v>394</v>
      </c>
      <c r="L864">
        <v>2802.3999950000002</v>
      </c>
      <c r="M864">
        <v>160.57664887342392</v>
      </c>
      <c r="N864" t="s">
        <v>395</v>
      </c>
      <c r="O864">
        <v>0</v>
      </c>
    </row>
    <row r="865" spans="1:15" x14ac:dyDescent="0.25">
      <c r="A865" t="s">
        <v>1397</v>
      </c>
      <c r="B865">
        <v>132</v>
      </c>
      <c r="C865" t="s">
        <v>1330</v>
      </c>
      <c r="D865" s="609">
        <v>45187</v>
      </c>
      <c r="E865">
        <v>0</v>
      </c>
      <c r="F865">
        <v>6</v>
      </c>
      <c r="G865" t="s">
        <v>1208</v>
      </c>
      <c r="H865" t="s">
        <v>1164</v>
      </c>
      <c r="I865" t="s">
        <v>393</v>
      </c>
      <c r="J865">
        <v>420000</v>
      </c>
      <c r="K865" t="s">
        <v>394</v>
      </c>
      <c r="L865">
        <v>2802.3999950000002</v>
      </c>
      <c r="M865">
        <v>149.87153894852901</v>
      </c>
      <c r="N865" t="s">
        <v>395</v>
      </c>
      <c r="O865">
        <v>0</v>
      </c>
    </row>
    <row r="866" spans="1:15" x14ac:dyDescent="0.25">
      <c r="A866" t="s">
        <v>1397</v>
      </c>
      <c r="B866">
        <v>133</v>
      </c>
      <c r="C866" t="s">
        <v>1330</v>
      </c>
      <c r="D866" s="609">
        <v>45187</v>
      </c>
      <c r="E866">
        <v>0</v>
      </c>
      <c r="F866">
        <v>6</v>
      </c>
      <c r="G866" t="s">
        <v>1208</v>
      </c>
      <c r="H866" t="s">
        <v>1164</v>
      </c>
      <c r="I866" t="s">
        <v>393</v>
      </c>
      <c r="J866">
        <v>420000</v>
      </c>
      <c r="K866" t="s">
        <v>394</v>
      </c>
      <c r="L866">
        <v>2802.3999950000002</v>
      </c>
      <c r="M866">
        <v>149.87153894852901</v>
      </c>
      <c r="N866" t="s">
        <v>395</v>
      </c>
      <c r="O866">
        <v>0</v>
      </c>
    </row>
    <row r="867" spans="1:15" x14ac:dyDescent="0.25">
      <c r="A867" t="s">
        <v>1397</v>
      </c>
      <c r="B867">
        <v>134</v>
      </c>
      <c r="C867" t="s">
        <v>1330</v>
      </c>
      <c r="D867" s="609">
        <v>45187</v>
      </c>
      <c r="E867">
        <v>0</v>
      </c>
      <c r="F867">
        <v>6</v>
      </c>
      <c r="G867" t="s">
        <v>1208</v>
      </c>
      <c r="H867" t="s">
        <v>1164</v>
      </c>
      <c r="I867" t="s">
        <v>393</v>
      </c>
      <c r="J867">
        <v>420000</v>
      </c>
      <c r="K867" t="s">
        <v>394</v>
      </c>
      <c r="L867">
        <v>2802.3999950000002</v>
      </c>
      <c r="M867">
        <v>149.87153894852901</v>
      </c>
      <c r="N867" t="s">
        <v>395</v>
      </c>
      <c r="O867">
        <v>0</v>
      </c>
    </row>
    <row r="868" spans="1:15" x14ac:dyDescent="0.25">
      <c r="A868" t="s">
        <v>1397</v>
      </c>
      <c r="B868">
        <v>135</v>
      </c>
      <c r="C868" t="s">
        <v>1330</v>
      </c>
      <c r="D868" s="609">
        <v>45187</v>
      </c>
      <c r="E868">
        <v>0</v>
      </c>
      <c r="F868">
        <v>6</v>
      </c>
      <c r="G868" t="s">
        <v>1208</v>
      </c>
      <c r="H868" t="s">
        <v>1164</v>
      </c>
      <c r="I868" t="s">
        <v>393</v>
      </c>
      <c r="J868">
        <v>510000</v>
      </c>
      <c r="K868" t="s">
        <v>394</v>
      </c>
      <c r="L868">
        <v>2802.3999950000002</v>
      </c>
      <c r="M868">
        <v>181.98686872321377</v>
      </c>
      <c r="N868" t="s">
        <v>395</v>
      </c>
      <c r="O868">
        <v>0</v>
      </c>
    </row>
    <row r="869" spans="1:15" x14ac:dyDescent="0.25">
      <c r="A869" t="s">
        <v>1397</v>
      </c>
      <c r="B869">
        <v>136</v>
      </c>
      <c r="C869" t="s">
        <v>1330</v>
      </c>
      <c r="D869" s="609">
        <v>45187</v>
      </c>
      <c r="E869">
        <v>0</v>
      </c>
      <c r="F869">
        <v>6</v>
      </c>
      <c r="G869" t="s">
        <v>1208</v>
      </c>
      <c r="H869" t="s">
        <v>1164</v>
      </c>
      <c r="I869" t="s">
        <v>393</v>
      </c>
      <c r="J869">
        <v>510000</v>
      </c>
      <c r="K869" t="s">
        <v>394</v>
      </c>
      <c r="L869">
        <v>2802.3999950000002</v>
      </c>
      <c r="M869">
        <v>181.98686872321377</v>
      </c>
      <c r="N869" t="s">
        <v>395</v>
      </c>
      <c r="O869">
        <v>0</v>
      </c>
    </row>
    <row r="870" spans="1:15" x14ac:dyDescent="0.25">
      <c r="A870" t="s">
        <v>1397</v>
      </c>
      <c r="B870">
        <v>137</v>
      </c>
      <c r="C870" t="s">
        <v>1330</v>
      </c>
      <c r="D870" s="609">
        <v>45187</v>
      </c>
      <c r="E870">
        <v>0</v>
      </c>
      <c r="F870">
        <v>6</v>
      </c>
      <c r="G870" t="s">
        <v>1208</v>
      </c>
      <c r="H870" t="s">
        <v>1164</v>
      </c>
      <c r="I870" t="s">
        <v>393</v>
      </c>
      <c r="J870">
        <v>450000</v>
      </c>
      <c r="K870" t="s">
        <v>394</v>
      </c>
      <c r="L870">
        <v>2802.3999950000002</v>
      </c>
      <c r="M870">
        <v>160.57664887342392</v>
      </c>
      <c r="N870" t="s">
        <v>395</v>
      </c>
      <c r="O870">
        <v>0</v>
      </c>
    </row>
    <row r="871" spans="1:15" x14ac:dyDescent="0.25">
      <c r="A871" t="s">
        <v>1397</v>
      </c>
      <c r="B871">
        <v>138</v>
      </c>
      <c r="C871" t="s">
        <v>1330</v>
      </c>
      <c r="D871" s="609">
        <v>45187</v>
      </c>
      <c r="E871">
        <v>0</v>
      </c>
      <c r="F871">
        <v>6</v>
      </c>
      <c r="G871" t="s">
        <v>1208</v>
      </c>
      <c r="H871" t="s">
        <v>1164</v>
      </c>
      <c r="I871" t="s">
        <v>393</v>
      </c>
      <c r="J871">
        <v>450000</v>
      </c>
      <c r="K871" t="s">
        <v>394</v>
      </c>
      <c r="L871">
        <v>2802.3999950000002</v>
      </c>
      <c r="M871">
        <v>160.57664887342392</v>
      </c>
      <c r="N871" t="s">
        <v>395</v>
      </c>
      <c r="O871">
        <v>0</v>
      </c>
    </row>
    <row r="872" spans="1:15" x14ac:dyDescent="0.25">
      <c r="A872" t="s">
        <v>1397</v>
      </c>
      <c r="B872">
        <v>139</v>
      </c>
      <c r="C872" t="s">
        <v>1330</v>
      </c>
      <c r="D872" s="609">
        <v>45187</v>
      </c>
      <c r="E872">
        <v>0</v>
      </c>
      <c r="F872">
        <v>6</v>
      </c>
      <c r="G872" t="s">
        <v>1208</v>
      </c>
      <c r="H872" t="s">
        <v>1164</v>
      </c>
      <c r="I872" t="s">
        <v>393</v>
      </c>
      <c r="J872">
        <v>450000</v>
      </c>
      <c r="K872" t="s">
        <v>394</v>
      </c>
      <c r="L872">
        <v>2802.3999950000002</v>
      </c>
      <c r="M872">
        <v>160.57664887342392</v>
      </c>
      <c r="N872" t="s">
        <v>395</v>
      </c>
      <c r="O872">
        <v>0</v>
      </c>
    </row>
    <row r="873" spans="1:15" x14ac:dyDescent="0.25">
      <c r="A873" t="s">
        <v>1397</v>
      </c>
      <c r="B873">
        <v>140</v>
      </c>
      <c r="C873" t="s">
        <v>1330</v>
      </c>
      <c r="D873" s="609">
        <v>45187</v>
      </c>
      <c r="E873">
        <v>0</v>
      </c>
      <c r="F873">
        <v>6</v>
      </c>
      <c r="G873" t="s">
        <v>1208</v>
      </c>
      <c r="H873" t="s">
        <v>1164</v>
      </c>
      <c r="I873" t="s">
        <v>393</v>
      </c>
      <c r="J873">
        <v>450000</v>
      </c>
      <c r="K873" t="s">
        <v>394</v>
      </c>
      <c r="L873">
        <v>2802.3999950000002</v>
      </c>
      <c r="M873">
        <v>160.57664887342392</v>
      </c>
      <c r="N873" t="s">
        <v>395</v>
      </c>
      <c r="O873">
        <v>0</v>
      </c>
    </row>
    <row r="874" spans="1:15" x14ac:dyDescent="0.25">
      <c r="A874" t="s">
        <v>1397</v>
      </c>
      <c r="B874">
        <v>141</v>
      </c>
      <c r="C874" t="s">
        <v>1330</v>
      </c>
      <c r="D874" s="609">
        <v>45187</v>
      </c>
      <c r="E874">
        <v>0</v>
      </c>
      <c r="F874">
        <v>6</v>
      </c>
      <c r="G874" t="s">
        <v>1208</v>
      </c>
      <c r="H874" t="s">
        <v>1398</v>
      </c>
      <c r="I874" t="s">
        <v>393</v>
      </c>
      <c r="J874">
        <v>427472</v>
      </c>
      <c r="K874" t="s">
        <v>394</v>
      </c>
      <c r="L874">
        <v>2802.3999950000002</v>
      </c>
      <c r="M874">
        <v>152.53782499382282</v>
      </c>
      <c r="N874" t="s">
        <v>395</v>
      </c>
      <c r="O874">
        <v>0</v>
      </c>
    </row>
    <row r="875" spans="1:15" x14ac:dyDescent="0.25">
      <c r="A875" t="s">
        <v>1397</v>
      </c>
      <c r="B875">
        <v>142</v>
      </c>
      <c r="C875" t="s">
        <v>1330</v>
      </c>
      <c r="D875" s="609">
        <v>45187</v>
      </c>
      <c r="E875">
        <v>0</v>
      </c>
      <c r="F875">
        <v>6</v>
      </c>
      <c r="G875" t="s">
        <v>1208</v>
      </c>
      <c r="H875" t="s">
        <v>1399</v>
      </c>
      <c r="I875" t="s">
        <v>393</v>
      </c>
      <c r="J875">
        <v>309052</v>
      </c>
      <c r="K875" t="s">
        <v>394</v>
      </c>
      <c r="L875">
        <v>2802.3999950000002</v>
      </c>
      <c r="M875">
        <v>110.28118775028759</v>
      </c>
      <c r="N875" t="s">
        <v>395</v>
      </c>
      <c r="O875">
        <v>0</v>
      </c>
    </row>
    <row r="876" spans="1:15" x14ac:dyDescent="0.25">
      <c r="A876" t="s">
        <v>1397</v>
      </c>
      <c r="B876">
        <v>143</v>
      </c>
      <c r="C876" t="s">
        <v>1330</v>
      </c>
      <c r="D876" s="609">
        <v>45187</v>
      </c>
      <c r="E876">
        <v>0</v>
      </c>
      <c r="F876">
        <v>6</v>
      </c>
      <c r="G876" t="s">
        <v>1208</v>
      </c>
      <c r="H876" t="s">
        <v>1400</v>
      </c>
      <c r="I876" t="s">
        <v>393</v>
      </c>
      <c r="J876">
        <v>325500</v>
      </c>
      <c r="K876" t="s">
        <v>394</v>
      </c>
      <c r="L876">
        <v>2802.3999950000002</v>
      </c>
      <c r="M876">
        <v>116.15044268510998</v>
      </c>
      <c r="N876" t="s">
        <v>395</v>
      </c>
      <c r="O876">
        <v>0</v>
      </c>
    </row>
    <row r="877" spans="1:15" x14ac:dyDescent="0.25">
      <c r="A877" t="s">
        <v>1397</v>
      </c>
      <c r="B877">
        <v>144</v>
      </c>
      <c r="C877" t="s">
        <v>1330</v>
      </c>
      <c r="D877" s="609">
        <v>45187</v>
      </c>
      <c r="E877">
        <v>0</v>
      </c>
      <c r="F877">
        <v>6</v>
      </c>
      <c r="G877" t="s">
        <v>1208</v>
      </c>
      <c r="H877" t="s">
        <v>1401</v>
      </c>
      <c r="I877" t="s">
        <v>393</v>
      </c>
      <c r="J877">
        <v>536485</v>
      </c>
      <c r="K877" t="s">
        <v>394</v>
      </c>
      <c r="L877">
        <v>2802.3999950000002</v>
      </c>
      <c r="M877">
        <v>191.43769660190853</v>
      </c>
      <c r="N877" t="s">
        <v>395</v>
      </c>
      <c r="O877">
        <v>0</v>
      </c>
    </row>
    <row r="878" spans="1:15" x14ac:dyDescent="0.25">
      <c r="A878" t="s">
        <v>1402</v>
      </c>
      <c r="B878">
        <v>145</v>
      </c>
      <c r="C878" t="s">
        <v>1330</v>
      </c>
      <c r="D878" s="609">
        <v>45196</v>
      </c>
      <c r="E878">
        <v>0</v>
      </c>
      <c r="F878">
        <v>6</v>
      </c>
      <c r="G878" t="s">
        <v>1208</v>
      </c>
      <c r="H878" t="s">
        <v>351</v>
      </c>
      <c r="I878" t="s">
        <v>393</v>
      </c>
      <c r="J878">
        <v>2160000</v>
      </c>
      <c r="K878" t="s">
        <v>394</v>
      </c>
      <c r="L878">
        <v>2802.3999950000002</v>
      </c>
      <c r="M878">
        <v>770.76791459243486</v>
      </c>
      <c r="N878" t="s">
        <v>395</v>
      </c>
      <c r="O878">
        <v>0</v>
      </c>
    </row>
    <row r="879" spans="1:15" x14ac:dyDescent="0.25">
      <c r="A879" t="s">
        <v>1403</v>
      </c>
      <c r="B879">
        <v>146</v>
      </c>
      <c r="C879" t="s">
        <v>1330</v>
      </c>
      <c r="D879" s="609">
        <v>45202</v>
      </c>
      <c r="E879">
        <v>0</v>
      </c>
      <c r="F879">
        <v>6</v>
      </c>
      <c r="G879" t="s">
        <v>1208</v>
      </c>
      <c r="H879" t="s">
        <v>1368</v>
      </c>
      <c r="I879" t="s">
        <v>393</v>
      </c>
      <c r="J879">
        <v>252000</v>
      </c>
      <c r="K879" t="s">
        <v>394</v>
      </c>
      <c r="L879">
        <v>2802.3999950000002</v>
      </c>
      <c r="M879">
        <v>89.922923369117399</v>
      </c>
      <c r="N879" t="s">
        <v>395</v>
      </c>
      <c r="O879">
        <v>0</v>
      </c>
    </row>
    <row r="880" spans="1:15" x14ac:dyDescent="0.25">
      <c r="A880" t="s">
        <v>1403</v>
      </c>
      <c r="B880">
        <v>146</v>
      </c>
      <c r="C880" t="s">
        <v>1330</v>
      </c>
      <c r="D880" s="609">
        <v>45202</v>
      </c>
      <c r="E880">
        <v>0</v>
      </c>
      <c r="F880">
        <v>6</v>
      </c>
      <c r="G880" t="s">
        <v>1208</v>
      </c>
      <c r="H880" t="s">
        <v>1225</v>
      </c>
      <c r="I880" t="s">
        <v>393</v>
      </c>
      <c r="J880">
        <v>125000</v>
      </c>
      <c r="K880" t="s">
        <v>394</v>
      </c>
      <c r="L880">
        <v>2802.3999950000002</v>
      </c>
      <c r="M880">
        <v>44.604624687062199</v>
      </c>
      <c r="N880" t="s">
        <v>395</v>
      </c>
      <c r="O880">
        <v>0</v>
      </c>
    </row>
    <row r="881" spans="1:15" x14ac:dyDescent="0.25">
      <c r="A881" t="s">
        <v>1403</v>
      </c>
      <c r="B881">
        <v>146</v>
      </c>
      <c r="C881" t="s">
        <v>1330</v>
      </c>
      <c r="D881" s="609">
        <v>45202</v>
      </c>
      <c r="E881">
        <v>0</v>
      </c>
      <c r="F881">
        <v>6</v>
      </c>
      <c r="G881" t="s">
        <v>1208</v>
      </c>
      <c r="H881" t="s">
        <v>1227</v>
      </c>
      <c r="I881" t="s">
        <v>393</v>
      </c>
      <c r="J881">
        <v>24500</v>
      </c>
      <c r="K881" t="s">
        <v>394</v>
      </c>
      <c r="L881">
        <v>2802.3999950000002</v>
      </c>
      <c r="M881">
        <v>8.7425064386641917</v>
      </c>
      <c r="N881" t="s">
        <v>395</v>
      </c>
      <c r="O881">
        <v>0</v>
      </c>
    </row>
    <row r="882" spans="1:15" x14ac:dyDescent="0.25">
      <c r="A882" t="s">
        <v>1403</v>
      </c>
      <c r="B882">
        <v>146</v>
      </c>
      <c r="C882" t="s">
        <v>1330</v>
      </c>
      <c r="D882" s="609">
        <v>45202</v>
      </c>
      <c r="E882">
        <v>0</v>
      </c>
      <c r="F882">
        <v>6</v>
      </c>
      <c r="G882" t="s">
        <v>1208</v>
      </c>
      <c r="H882" t="s">
        <v>1226</v>
      </c>
      <c r="I882" t="s">
        <v>393</v>
      </c>
      <c r="J882">
        <v>35000</v>
      </c>
      <c r="K882" t="s">
        <v>394</v>
      </c>
      <c r="L882">
        <v>2802.3999950000002</v>
      </c>
      <c r="M882">
        <v>12.489294912377417</v>
      </c>
      <c r="N882" t="s">
        <v>395</v>
      </c>
      <c r="O882">
        <v>0</v>
      </c>
    </row>
    <row r="883" spans="1:15" x14ac:dyDescent="0.25">
      <c r="A883" t="s">
        <v>1403</v>
      </c>
      <c r="B883">
        <v>146</v>
      </c>
      <c r="C883" t="s">
        <v>1330</v>
      </c>
      <c r="D883" s="609">
        <v>45202</v>
      </c>
      <c r="E883">
        <v>0</v>
      </c>
      <c r="F883">
        <v>6</v>
      </c>
      <c r="G883" t="s">
        <v>1208</v>
      </c>
      <c r="H883" t="s">
        <v>1369</v>
      </c>
      <c r="I883" t="s">
        <v>393</v>
      </c>
      <c r="J883">
        <v>77000</v>
      </c>
      <c r="K883" t="s">
        <v>394</v>
      </c>
      <c r="L883">
        <v>2802.3999950000002</v>
      </c>
      <c r="M883">
        <v>27.476448807230316</v>
      </c>
      <c r="N883" t="s">
        <v>395</v>
      </c>
      <c r="O883">
        <v>0</v>
      </c>
    </row>
    <row r="884" spans="1:15" x14ac:dyDescent="0.25">
      <c r="A884" t="s">
        <v>1403</v>
      </c>
      <c r="B884">
        <v>146</v>
      </c>
      <c r="C884" t="s">
        <v>1330</v>
      </c>
      <c r="D884" s="609">
        <v>45202</v>
      </c>
      <c r="E884">
        <v>0</v>
      </c>
      <c r="F884">
        <v>6</v>
      </c>
      <c r="G884" t="s">
        <v>1208</v>
      </c>
      <c r="H884" t="s">
        <v>1229</v>
      </c>
      <c r="I884" t="s">
        <v>393</v>
      </c>
      <c r="J884">
        <v>22000</v>
      </c>
      <c r="K884" t="s">
        <v>394</v>
      </c>
      <c r="L884">
        <v>2802.3999950000002</v>
      </c>
      <c r="M884">
        <v>7.8504139449229475</v>
      </c>
      <c r="N884" t="s">
        <v>395</v>
      </c>
      <c r="O884">
        <v>0</v>
      </c>
    </row>
    <row r="885" spans="1:15" x14ac:dyDescent="0.25">
      <c r="A885" t="s">
        <v>1404</v>
      </c>
      <c r="B885">
        <v>147</v>
      </c>
      <c r="C885" t="s">
        <v>1330</v>
      </c>
      <c r="D885" s="609">
        <v>45202</v>
      </c>
      <c r="E885">
        <v>0</v>
      </c>
      <c r="F885">
        <v>6</v>
      </c>
      <c r="G885" t="s">
        <v>1208</v>
      </c>
      <c r="H885" t="s">
        <v>1388</v>
      </c>
      <c r="I885" t="s">
        <v>393</v>
      </c>
      <c r="J885">
        <v>5400000</v>
      </c>
      <c r="K885" t="s">
        <v>394</v>
      </c>
      <c r="L885">
        <v>2802.3999950000002</v>
      </c>
      <c r="M885">
        <v>1926.9197864810872</v>
      </c>
      <c r="N885" t="s">
        <v>395</v>
      </c>
      <c r="O885">
        <v>0</v>
      </c>
    </row>
    <row r="886" spans="1:15" x14ac:dyDescent="0.25">
      <c r="A886" t="s">
        <v>1405</v>
      </c>
      <c r="B886">
        <v>148</v>
      </c>
      <c r="C886" t="s">
        <v>1330</v>
      </c>
      <c r="D886" s="609">
        <v>45198</v>
      </c>
      <c r="E886">
        <v>0</v>
      </c>
      <c r="F886">
        <v>6</v>
      </c>
      <c r="G886" t="s">
        <v>1208</v>
      </c>
      <c r="H886" t="s">
        <v>1395</v>
      </c>
      <c r="I886" t="s">
        <v>393</v>
      </c>
      <c r="J886">
        <v>8580000</v>
      </c>
      <c r="K886" t="s">
        <v>394</v>
      </c>
      <c r="L886">
        <v>2802.3999950000002</v>
      </c>
      <c r="M886">
        <v>3061.6614385199496</v>
      </c>
      <c r="N886" t="s">
        <v>395</v>
      </c>
      <c r="O886">
        <v>0</v>
      </c>
    </row>
    <row r="887" spans="1:15" x14ac:dyDescent="0.25">
      <c r="A887" t="s">
        <v>1269</v>
      </c>
      <c r="B887">
        <v>32</v>
      </c>
      <c r="C887" t="s">
        <v>1063</v>
      </c>
      <c r="D887" s="609">
        <v>45133</v>
      </c>
      <c r="E887">
        <v>6176</v>
      </c>
      <c r="F887">
        <v>6</v>
      </c>
      <c r="G887" t="s">
        <v>1270</v>
      </c>
      <c r="H887" t="s">
        <v>1271</v>
      </c>
      <c r="I887" t="s">
        <v>393</v>
      </c>
      <c r="J887">
        <v>3570000</v>
      </c>
      <c r="K887" t="s">
        <v>394</v>
      </c>
      <c r="L887">
        <v>2801.6</v>
      </c>
      <c r="M887">
        <v>1274.2718446601941</v>
      </c>
      <c r="N887" t="s">
        <v>395</v>
      </c>
      <c r="O887">
        <v>0</v>
      </c>
    </row>
    <row r="888" spans="1:15" x14ac:dyDescent="0.25">
      <c r="A888" t="s">
        <v>1272</v>
      </c>
      <c r="B888">
        <v>28</v>
      </c>
      <c r="C888" t="s">
        <v>1063</v>
      </c>
      <c r="D888" s="609">
        <v>45133</v>
      </c>
      <c r="E888">
        <v>6345</v>
      </c>
      <c r="F888">
        <v>6</v>
      </c>
      <c r="G888" t="s">
        <v>1270</v>
      </c>
      <c r="H888" t="s">
        <v>1273</v>
      </c>
      <c r="I888" t="s">
        <v>393</v>
      </c>
      <c r="J888">
        <v>8425000</v>
      </c>
      <c r="K888" t="s">
        <v>394</v>
      </c>
      <c r="L888">
        <v>2801.6</v>
      </c>
      <c r="M888">
        <v>3007.210165619646</v>
      </c>
      <c r="N888" t="s">
        <v>395</v>
      </c>
      <c r="O888">
        <v>0</v>
      </c>
    </row>
    <row r="889" spans="1:15" x14ac:dyDescent="0.25">
      <c r="A889" t="s">
        <v>1274</v>
      </c>
      <c r="B889">
        <v>27</v>
      </c>
      <c r="C889" t="s">
        <v>1063</v>
      </c>
      <c r="D889" s="609">
        <v>45133</v>
      </c>
      <c r="E889">
        <v>6345</v>
      </c>
      <c r="F889">
        <v>6</v>
      </c>
      <c r="G889" t="s">
        <v>1270</v>
      </c>
      <c r="H889" t="s">
        <v>1275</v>
      </c>
      <c r="I889" t="s">
        <v>393</v>
      </c>
      <c r="J889">
        <v>53000</v>
      </c>
      <c r="K889" t="s">
        <v>394</v>
      </c>
      <c r="L889">
        <v>2801.6</v>
      </c>
      <c r="M889">
        <v>18.917761279268991</v>
      </c>
      <c r="N889" t="s">
        <v>395</v>
      </c>
      <c r="O889">
        <v>0</v>
      </c>
    </row>
    <row r="890" spans="1:15" x14ac:dyDescent="0.25">
      <c r="A890" t="s">
        <v>1276</v>
      </c>
      <c r="B890">
        <v>29</v>
      </c>
      <c r="C890" t="s">
        <v>1063</v>
      </c>
      <c r="D890" s="609">
        <v>45133</v>
      </c>
      <c r="E890">
        <v>6345</v>
      </c>
      <c r="F890">
        <v>6</v>
      </c>
      <c r="G890" t="s">
        <v>1270</v>
      </c>
      <c r="H890" t="s">
        <v>1277</v>
      </c>
      <c r="I890" t="s">
        <v>393</v>
      </c>
      <c r="J890">
        <v>560000</v>
      </c>
      <c r="K890" t="s">
        <v>394</v>
      </c>
      <c r="L890">
        <v>2801.6</v>
      </c>
      <c r="M890">
        <v>199.88577955454028</v>
      </c>
      <c r="N890" t="s">
        <v>395</v>
      </c>
      <c r="O890">
        <v>0</v>
      </c>
    </row>
    <row r="891" spans="1:15" x14ac:dyDescent="0.25">
      <c r="A891" t="s">
        <v>1278</v>
      </c>
      <c r="B891">
        <v>30</v>
      </c>
      <c r="C891" t="s">
        <v>1063</v>
      </c>
      <c r="D891" s="609">
        <v>45138</v>
      </c>
      <c r="E891">
        <v>6345</v>
      </c>
      <c r="F891">
        <v>6</v>
      </c>
      <c r="G891" t="s">
        <v>1270</v>
      </c>
      <c r="H891" t="s">
        <v>1279</v>
      </c>
      <c r="I891" t="s">
        <v>393</v>
      </c>
      <c r="J891">
        <v>451000</v>
      </c>
      <c r="K891" t="s">
        <v>394</v>
      </c>
      <c r="L891">
        <v>2801.6</v>
      </c>
      <c r="M891">
        <v>160.97944031981726</v>
      </c>
      <c r="N891" t="s">
        <v>395</v>
      </c>
      <c r="O891">
        <v>0</v>
      </c>
    </row>
    <row r="892" spans="1:15" x14ac:dyDescent="0.25">
      <c r="A892" t="s">
        <v>1280</v>
      </c>
      <c r="B892">
        <v>34</v>
      </c>
      <c r="C892" t="s">
        <v>1063</v>
      </c>
      <c r="D892" s="609">
        <v>45138</v>
      </c>
      <c r="E892">
        <v>6345</v>
      </c>
      <c r="F892">
        <v>6</v>
      </c>
      <c r="G892" t="s">
        <v>1270</v>
      </c>
      <c r="H892" t="s">
        <v>1279</v>
      </c>
      <c r="I892" t="s">
        <v>393</v>
      </c>
      <c r="J892">
        <v>396000</v>
      </c>
      <c r="K892" t="s">
        <v>394</v>
      </c>
      <c r="L892">
        <v>2801.6</v>
      </c>
      <c r="M892">
        <v>141.3478012564249</v>
      </c>
      <c r="N892" t="s">
        <v>395</v>
      </c>
      <c r="O892">
        <v>0</v>
      </c>
    </row>
    <row r="893" spans="1:15" x14ac:dyDescent="0.25">
      <c r="A893" t="s">
        <v>1281</v>
      </c>
      <c r="B893">
        <v>31</v>
      </c>
      <c r="C893" t="s">
        <v>1063</v>
      </c>
      <c r="D893" s="609">
        <v>45138</v>
      </c>
      <c r="E893">
        <v>6345</v>
      </c>
      <c r="F893">
        <v>6</v>
      </c>
      <c r="G893" t="s">
        <v>1270</v>
      </c>
      <c r="H893" t="s">
        <v>1282</v>
      </c>
      <c r="I893" t="s">
        <v>393</v>
      </c>
      <c r="J893">
        <v>354000</v>
      </c>
      <c r="K893" t="s">
        <v>394</v>
      </c>
      <c r="L893">
        <v>2801.6</v>
      </c>
      <c r="M893">
        <v>126.35636778983438</v>
      </c>
      <c r="N893" t="s">
        <v>395</v>
      </c>
      <c r="O893">
        <v>0</v>
      </c>
    </row>
    <row r="894" spans="1:15" x14ac:dyDescent="0.25">
      <c r="A894" t="s">
        <v>1283</v>
      </c>
      <c r="B894">
        <v>68</v>
      </c>
      <c r="C894" t="s">
        <v>1137</v>
      </c>
      <c r="D894" t="s">
        <v>1268</v>
      </c>
      <c r="E894">
        <v>6345</v>
      </c>
      <c r="F894">
        <v>6</v>
      </c>
      <c r="G894" t="s">
        <v>1270</v>
      </c>
      <c r="H894" t="s">
        <v>1761</v>
      </c>
      <c r="I894" t="s">
        <v>393</v>
      </c>
      <c r="J894">
        <v>3000000</v>
      </c>
      <c r="K894" t="s">
        <v>394</v>
      </c>
      <c r="L894">
        <v>2801.6</v>
      </c>
      <c r="M894">
        <v>1070.8166761850371</v>
      </c>
      <c r="N894" t="s">
        <v>395</v>
      </c>
      <c r="O894">
        <v>0</v>
      </c>
    </row>
    <row r="895" spans="1:15" x14ac:dyDescent="0.25">
      <c r="A895" t="s">
        <v>1283</v>
      </c>
      <c r="B895">
        <v>68</v>
      </c>
      <c r="C895" t="s">
        <v>1137</v>
      </c>
      <c r="D895" t="s">
        <v>1268</v>
      </c>
      <c r="E895">
        <v>6345</v>
      </c>
      <c r="F895">
        <v>6</v>
      </c>
      <c r="G895" t="s">
        <v>1270</v>
      </c>
      <c r="H895" t="s">
        <v>1762</v>
      </c>
      <c r="I895" t="s">
        <v>393</v>
      </c>
      <c r="J895">
        <v>2124000</v>
      </c>
      <c r="K895" t="s">
        <v>394</v>
      </c>
      <c r="L895">
        <v>2801.6</v>
      </c>
      <c r="M895">
        <v>758.13820673900625</v>
      </c>
      <c r="N895" t="s">
        <v>395</v>
      </c>
      <c r="O895">
        <v>0</v>
      </c>
    </row>
    <row r="896" spans="1:15" x14ac:dyDescent="0.25">
      <c r="A896" t="s">
        <v>1283</v>
      </c>
      <c r="B896">
        <v>68</v>
      </c>
      <c r="C896" t="s">
        <v>1137</v>
      </c>
      <c r="D896" t="s">
        <v>1268</v>
      </c>
      <c r="E896">
        <v>6345</v>
      </c>
      <c r="F896">
        <v>6</v>
      </c>
      <c r="G896" t="s">
        <v>1270</v>
      </c>
      <c r="H896" t="s">
        <v>1763</v>
      </c>
      <c r="I896" t="s">
        <v>393</v>
      </c>
      <c r="J896">
        <v>2000000</v>
      </c>
      <c r="K896" t="s">
        <v>394</v>
      </c>
      <c r="L896">
        <v>2801.6</v>
      </c>
      <c r="M896">
        <v>713.87778412335808</v>
      </c>
      <c r="N896" t="s">
        <v>395</v>
      </c>
      <c r="O896">
        <v>0</v>
      </c>
    </row>
    <row r="897" spans="1:15" x14ac:dyDescent="0.25">
      <c r="A897" t="s">
        <v>1283</v>
      </c>
      <c r="B897">
        <v>68</v>
      </c>
      <c r="C897" t="s">
        <v>1137</v>
      </c>
      <c r="D897" t="s">
        <v>1268</v>
      </c>
      <c r="E897">
        <v>6345</v>
      </c>
      <c r="F897">
        <v>6</v>
      </c>
      <c r="G897" t="s">
        <v>1270</v>
      </c>
      <c r="H897" t="s">
        <v>1764</v>
      </c>
      <c r="I897" t="s">
        <v>393</v>
      </c>
      <c r="J897">
        <v>590000</v>
      </c>
      <c r="K897" t="s">
        <v>394</v>
      </c>
      <c r="L897">
        <v>2801.6</v>
      </c>
      <c r="M897">
        <v>210.59394631639063</v>
      </c>
      <c r="N897" t="s">
        <v>395</v>
      </c>
      <c r="O897">
        <v>0</v>
      </c>
    </row>
    <row r="898" spans="1:15" x14ac:dyDescent="0.25">
      <c r="A898" t="s">
        <v>1284</v>
      </c>
      <c r="B898">
        <v>86</v>
      </c>
      <c r="C898" t="s">
        <v>1137</v>
      </c>
      <c r="D898" t="s">
        <v>1266</v>
      </c>
      <c r="E898">
        <v>6345</v>
      </c>
      <c r="F898">
        <v>6</v>
      </c>
      <c r="G898" t="s">
        <v>1270</v>
      </c>
      <c r="H898" t="s">
        <v>1285</v>
      </c>
      <c r="I898" t="s">
        <v>393</v>
      </c>
      <c r="J898">
        <v>150000</v>
      </c>
      <c r="K898" t="s">
        <v>394</v>
      </c>
      <c r="L898">
        <v>2801.6</v>
      </c>
      <c r="M898">
        <v>53.540833809251858</v>
      </c>
      <c r="N898" t="s">
        <v>395</v>
      </c>
      <c r="O898">
        <v>0</v>
      </c>
    </row>
    <row r="899" spans="1:15" x14ac:dyDescent="0.25">
      <c r="A899" t="s">
        <v>1406</v>
      </c>
      <c r="B899">
        <v>55</v>
      </c>
      <c r="C899" t="s">
        <v>1287</v>
      </c>
      <c r="D899" s="609">
        <v>45138</v>
      </c>
      <c r="E899">
        <v>0</v>
      </c>
      <c r="F899">
        <v>6</v>
      </c>
      <c r="G899" t="s">
        <v>1270</v>
      </c>
      <c r="H899" t="s">
        <v>1164</v>
      </c>
      <c r="I899" t="s">
        <v>393</v>
      </c>
      <c r="J899">
        <v>220000</v>
      </c>
      <c r="K899" t="s">
        <v>394</v>
      </c>
      <c r="L899">
        <v>2802.3999950000002</v>
      </c>
      <c r="M899">
        <v>78.50413944922947</v>
      </c>
      <c r="N899" t="s">
        <v>395</v>
      </c>
      <c r="O899">
        <v>0</v>
      </c>
    </row>
    <row r="900" spans="1:15" x14ac:dyDescent="0.25">
      <c r="A900" t="s">
        <v>1407</v>
      </c>
      <c r="B900">
        <v>56</v>
      </c>
      <c r="C900" t="s">
        <v>1287</v>
      </c>
      <c r="D900" s="609">
        <v>45138</v>
      </c>
      <c r="E900">
        <v>0</v>
      </c>
      <c r="F900">
        <v>6</v>
      </c>
      <c r="G900" t="s">
        <v>1270</v>
      </c>
      <c r="H900" t="s">
        <v>1408</v>
      </c>
      <c r="I900" t="s">
        <v>393</v>
      </c>
      <c r="J900">
        <v>8250000</v>
      </c>
      <c r="K900" t="s">
        <v>394</v>
      </c>
      <c r="L900">
        <v>2802.3999950000002</v>
      </c>
      <c r="M900">
        <v>2943.9052293461054</v>
      </c>
      <c r="N900" t="s">
        <v>395</v>
      </c>
      <c r="O900">
        <v>0</v>
      </c>
    </row>
    <row r="901" spans="1:15" x14ac:dyDescent="0.25">
      <c r="A901" t="s">
        <v>1409</v>
      </c>
      <c r="B901">
        <v>57</v>
      </c>
      <c r="C901" t="s">
        <v>1287</v>
      </c>
      <c r="D901" s="609">
        <v>45138</v>
      </c>
      <c r="E901">
        <v>0</v>
      </c>
      <c r="F901">
        <v>6</v>
      </c>
      <c r="G901" t="s">
        <v>1270</v>
      </c>
      <c r="H901" t="s">
        <v>1410</v>
      </c>
      <c r="I901" t="s">
        <v>393</v>
      </c>
      <c r="J901">
        <v>235000</v>
      </c>
      <c r="K901" t="s">
        <v>394</v>
      </c>
      <c r="L901">
        <v>2802.3999950000002</v>
      </c>
      <c r="M901">
        <v>83.856694411676941</v>
      </c>
      <c r="N901" t="s">
        <v>395</v>
      </c>
      <c r="O901">
        <v>0</v>
      </c>
    </row>
    <row r="902" spans="1:15" x14ac:dyDescent="0.25">
      <c r="A902" t="s">
        <v>1411</v>
      </c>
      <c r="B902">
        <v>58</v>
      </c>
      <c r="C902" t="s">
        <v>1287</v>
      </c>
      <c r="D902" s="609">
        <v>45138</v>
      </c>
      <c r="E902">
        <v>0</v>
      </c>
      <c r="F902">
        <v>6</v>
      </c>
      <c r="G902" t="s">
        <v>1270</v>
      </c>
      <c r="H902" t="s">
        <v>1410</v>
      </c>
      <c r="I902" t="s">
        <v>393</v>
      </c>
      <c r="J902">
        <v>235000</v>
      </c>
      <c r="K902" t="s">
        <v>394</v>
      </c>
      <c r="L902">
        <v>2802.3999950000002</v>
      </c>
      <c r="M902">
        <v>83.856694411676941</v>
      </c>
      <c r="N902" t="s">
        <v>395</v>
      </c>
      <c r="O902">
        <v>0</v>
      </c>
    </row>
    <row r="903" spans="1:15" x14ac:dyDescent="0.25">
      <c r="A903" t="s">
        <v>1412</v>
      </c>
      <c r="B903">
        <v>59</v>
      </c>
      <c r="C903" t="s">
        <v>1287</v>
      </c>
      <c r="D903" s="609">
        <v>45138</v>
      </c>
      <c r="E903">
        <v>0</v>
      </c>
      <c r="F903">
        <v>6</v>
      </c>
      <c r="G903" t="s">
        <v>1270</v>
      </c>
      <c r="H903" t="s">
        <v>1413</v>
      </c>
      <c r="I903" t="s">
        <v>393</v>
      </c>
      <c r="J903">
        <v>30000</v>
      </c>
      <c r="K903" t="s">
        <v>394</v>
      </c>
      <c r="L903">
        <v>2802.3999950000002</v>
      </c>
      <c r="M903">
        <v>10.705109924894929</v>
      </c>
      <c r="N903" t="s">
        <v>395</v>
      </c>
      <c r="O903">
        <v>0</v>
      </c>
    </row>
    <row r="904" spans="1:15" x14ac:dyDescent="0.25">
      <c r="A904" t="s">
        <v>1414</v>
      </c>
      <c r="B904">
        <v>149</v>
      </c>
      <c r="C904" t="s">
        <v>1330</v>
      </c>
      <c r="D904" s="609">
        <v>45197</v>
      </c>
      <c r="E904">
        <v>0</v>
      </c>
      <c r="F904">
        <v>6</v>
      </c>
      <c r="G904" t="s">
        <v>1270</v>
      </c>
      <c r="H904" t="s">
        <v>1355</v>
      </c>
      <c r="I904" t="s">
        <v>393</v>
      </c>
      <c r="J904">
        <v>700000</v>
      </c>
      <c r="K904" t="s">
        <v>394</v>
      </c>
      <c r="L904">
        <v>2802.3999950000002</v>
      </c>
      <c r="M904">
        <v>249.78589824754832</v>
      </c>
      <c r="N904" t="s">
        <v>395</v>
      </c>
      <c r="O904">
        <v>0</v>
      </c>
    </row>
    <row r="905" spans="1:15" x14ac:dyDescent="0.25">
      <c r="A905" t="s">
        <v>1414</v>
      </c>
      <c r="B905">
        <v>150</v>
      </c>
      <c r="C905" t="s">
        <v>1330</v>
      </c>
      <c r="D905" s="609">
        <v>45197</v>
      </c>
      <c r="E905">
        <v>0</v>
      </c>
      <c r="F905">
        <v>6</v>
      </c>
      <c r="G905" t="s">
        <v>1270</v>
      </c>
      <c r="H905" t="s">
        <v>1415</v>
      </c>
      <c r="I905" t="s">
        <v>393</v>
      </c>
      <c r="J905">
        <v>75000</v>
      </c>
      <c r="K905" t="s">
        <v>394</v>
      </c>
      <c r="L905">
        <v>2802.3999950000002</v>
      </c>
      <c r="M905">
        <v>26.762774812237321</v>
      </c>
      <c r="N905" t="s">
        <v>395</v>
      </c>
      <c r="O905">
        <v>0</v>
      </c>
    </row>
    <row r="906" spans="1:15" x14ac:dyDescent="0.25">
      <c r="A906" t="s">
        <v>1414</v>
      </c>
      <c r="B906">
        <v>151</v>
      </c>
      <c r="C906" t="s">
        <v>1330</v>
      </c>
      <c r="D906" s="609">
        <v>45197</v>
      </c>
      <c r="E906">
        <v>0</v>
      </c>
      <c r="F906">
        <v>6</v>
      </c>
      <c r="G906" t="s">
        <v>1270</v>
      </c>
      <c r="H906" t="s">
        <v>1416</v>
      </c>
      <c r="I906" t="s">
        <v>393</v>
      </c>
      <c r="J906">
        <v>30000</v>
      </c>
      <c r="K906" t="s">
        <v>394</v>
      </c>
      <c r="L906">
        <v>2802.3999950000002</v>
      </c>
      <c r="M906">
        <v>10.705109924894929</v>
      </c>
      <c r="N906" t="s">
        <v>395</v>
      </c>
      <c r="O906">
        <v>0</v>
      </c>
    </row>
    <row r="907" spans="1:15" x14ac:dyDescent="0.25">
      <c r="A907" t="s">
        <v>1414</v>
      </c>
      <c r="B907">
        <v>152</v>
      </c>
      <c r="C907" t="s">
        <v>1330</v>
      </c>
      <c r="D907" s="609">
        <v>45197</v>
      </c>
      <c r="E907">
        <v>0</v>
      </c>
      <c r="F907">
        <v>6</v>
      </c>
      <c r="G907" t="s">
        <v>1270</v>
      </c>
      <c r="H907" t="s">
        <v>1354</v>
      </c>
      <c r="I907" t="s">
        <v>393</v>
      </c>
      <c r="J907">
        <v>15000</v>
      </c>
      <c r="K907" t="s">
        <v>394</v>
      </c>
      <c r="L907">
        <v>2802.3999950000002</v>
      </c>
      <c r="M907">
        <v>5.3525549624474644</v>
      </c>
      <c r="N907" t="s">
        <v>395</v>
      </c>
      <c r="O907">
        <v>0</v>
      </c>
    </row>
    <row r="908" spans="1:15" x14ac:dyDescent="0.25">
      <c r="A908" t="s">
        <v>1414</v>
      </c>
      <c r="B908">
        <v>153</v>
      </c>
      <c r="C908" t="s">
        <v>1330</v>
      </c>
      <c r="D908" s="609">
        <v>45197</v>
      </c>
      <c r="E908">
        <v>0</v>
      </c>
      <c r="F908">
        <v>6</v>
      </c>
      <c r="G908" t="s">
        <v>1270</v>
      </c>
      <c r="H908" t="s">
        <v>1392</v>
      </c>
      <c r="I908" t="s">
        <v>393</v>
      </c>
      <c r="J908">
        <v>4000</v>
      </c>
      <c r="K908" t="s">
        <v>394</v>
      </c>
      <c r="L908">
        <v>2802.3999950000002</v>
      </c>
      <c r="M908">
        <v>1.4273479899859904</v>
      </c>
      <c r="N908" t="s">
        <v>395</v>
      </c>
      <c r="O908">
        <v>0</v>
      </c>
    </row>
    <row r="909" spans="1:15" x14ac:dyDescent="0.25">
      <c r="A909" t="s">
        <v>1414</v>
      </c>
      <c r="B909">
        <v>154</v>
      </c>
      <c r="C909" t="s">
        <v>1330</v>
      </c>
      <c r="D909" s="609">
        <v>45197</v>
      </c>
      <c r="E909">
        <v>0</v>
      </c>
      <c r="F909">
        <v>6</v>
      </c>
      <c r="G909" t="s">
        <v>1270</v>
      </c>
      <c r="H909" t="s">
        <v>1417</v>
      </c>
      <c r="I909" t="s">
        <v>393</v>
      </c>
      <c r="J909">
        <v>881025</v>
      </c>
      <c r="K909" t="s">
        <v>394</v>
      </c>
      <c r="L909">
        <v>2802.3999950000002</v>
      </c>
      <c r="M909">
        <v>314.38231571935182</v>
      </c>
      <c r="N909" t="s">
        <v>395</v>
      </c>
      <c r="O909">
        <v>0</v>
      </c>
    </row>
    <row r="910" spans="1:15" x14ac:dyDescent="0.25">
      <c r="A910" t="s">
        <v>1418</v>
      </c>
      <c r="B910">
        <v>155</v>
      </c>
      <c r="C910" t="s">
        <v>1330</v>
      </c>
      <c r="D910" s="609">
        <v>45201</v>
      </c>
      <c r="E910">
        <v>0</v>
      </c>
      <c r="F910">
        <v>6</v>
      </c>
      <c r="G910" t="s">
        <v>1270</v>
      </c>
      <c r="H910" t="s">
        <v>1419</v>
      </c>
      <c r="I910" t="s">
        <v>393</v>
      </c>
      <c r="J910">
        <v>150000</v>
      </c>
      <c r="K910" t="s">
        <v>394</v>
      </c>
      <c r="L910">
        <v>2802.3999950000002</v>
      </c>
      <c r="M910">
        <v>53.525549624474642</v>
      </c>
      <c r="N910" t="s">
        <v>395</v>
      </c>
      <c r="O910">
        <v>0</v>
      </c>
    </row>
    <row r="911" spans="1:15" x14ac:dyDescent="0.25">
      <c r="A911" t="s">
        <v>1420</v>
      </c>
      <c r="B911">
        <v>156</v>
      </c>
      <c r="C911" t="s">
        <v>1330</v>
      </c>
      <c r="D911" s="609">
        <v>45202</v>
      </c>
      <c r="E911">
        <v>0</v>
      </c>
      <c r="F911">
        <v>6</v>
      </c>
      <c r="G911" t="s">
        <v>1270</v>
      </c>
      <c r="H911" t="s">
        <v>1408</v>
      </c>
      <c r="I911" t="s">
        <v>393</v>
      </c>
      <c r="J911">
        <v>8514000</v>
      </c>
      <c r="K911" t="s">
        <v>394</v>
      </c>
      <c r="L911">
        <v>2802.3999950000002</v>
      </c>
      <c r="M911">
        <v>3038.1101966851807</v>
      </c>
      <c r="N911" t="s">
        <v>395</v>
      </c>
      <c r="O911">
        <v>0</v>
      </c>
    </row>
    <row r="912" spans="1:15" x14ac:dyDescent="0.25">
      <c r="A912" t="s">
        <v>1421</v>
      </c>
      <c r="B912">
        <v>157</v>
      </c>
      <c r="C912" t="s">
        <v>1330</v>
      </c>
      <c r="D912" s="609">
        <v>45202</v>
      </c>
      <c r="E912">
        <v>0</v>
      </c>
      <c r="F912">
        <v>6</v>
      </c>
      <c r="G912" t="s">
        <v>1270</v>
      </c>
      <c r="H912" t="s">
        <v>1408</v>
      </c>
      <c r="I912" t="s">
        <v>393</v>
      </c>
      <c r="J912">
        <v>916000</v>
      </c>
      <c r="K912" t="s">
        <v>394</v>
      </c>
      <c r="L912">
        <v>2802.3999950000002</v>
      </c>
      <c r="M912">
        <v>326.8626897067918</v>
      </c>
      <c r="N912" t="s">
        <v>395</v>
      </c>
      <c r="O912">
        <v>0</v>
      </c>
    </row>
    <row r="913" spans="1:15" x14ac:dyDescent="0.25">
      <c r="A913" t="s">
        <v>1422</v>
      </c>
      <c r="B913">
        <v>158</v>
      </c>
      <c r="C913" t="s">
        <v>1330</v>
      </c>
      <c r="D913" s="609">
        <v>45204</v>
      </c>
      <c r="E913">
        <v>0</v>
      </c>
      <c r="F913">
        <v>6</v>
      </c>
      <c r="G913" t="s">
        <v>1270</v>
      </c>
      <c r="H913" t="s">
        <v>351</v>
      </c>
      <c r="I913" t="s">
        <v>393</v>
      </c>
      <c r="J913">
        <v>1080000</v>
      </c>
      <c r="K913" t="s">
        <v>394</v>
      </c>
      <c r="L913">
        <v>2802.3999950000002</v>
      </c>
      <c r="M913">
        <v>385.38395729621743</v>
      </c>
      <c r="N913" t="s">
        <v>395</v>
      </c>
      <c r="O913">
        <v>0</v>
      </c>
    </row>
    <row r="914" spans="1:15" x14ac:dyDescent="0.25">
      <c r="A914" t="s">
        <v>604</v>
      </c>
      <c r="B914">
        <v>27</v>
      </c>
      <c r="C914" t="s">
        <v>552</v>
      </c>
      <c r="D914" s="609">
        <v>45026</v>
      </c>
      <c r="E914">
        <v>0</v>
      </c>
      <c r="F914">
        <v>6</v>
      </c>
      <c r="G914" t="s">
        <v>1423</v>
      </c>
      <c r="H914" t="s">
        <v>605</v>
      </c>
      <c r="I914" t="s">
        <v>393</v>
      </c>
      <c r="J914">
        <v>200000</v>
      </c>
      <c r="K914" t="s">
        <v>394</v>
      </c>
      <c r="L914">
        <v>2050.46</v>
      </c>
      <c r="M914">
        <v>97.539088789832519</v>
      </c>
      <c r="N914" t="s">
        <v>395</v>
      </c>
      <c r="O914">
        <v>0</v>
      </c>
    </row>
    <row r="915" spans="1:15" x14ac:dyDescent="0.25">
      <c r="A915" t="s">
        <v>604</v>
      </c>
      <c r="B915">
        <v>28</v>
      </c>
      <c r="C915" t="s">
        <v>552</v>
      </c>
      <c r="D915" s="609">
        <v>45026</v>
      </c>
      <c r="E915">
        <v>0</v>
      </c>
      <c r="F915">
        <v>6</v>
      </c>
      <c r="G915" t="s">
        <v>1423</v>
      </c>
      <c r="H915" t="s">
        <v>606</v>
      </c>
      <c r="I915" t="s">
        <v>393</v>
      </c>
      <c r="J915">
        <v>247026</v>
      </c>
      <c r="K915" t="s">
        <v>394</v>
      </c>
      <c r="L915">
        <v>2050.46</v>
      </c>
      <c r="M915">
        <v>120.47345473698584</v>
      </c>
      <c r="N915" t="s">
        <v>395</v>
      </c>
      <c r="O915">
        <v>0</v>
      </c>
    </row>
    <row r="916" spans="1:15" x14ac:dyDescent="0.25">
      <c r="A916" t="s">
        <v>607</v>
      </c>
      <c r="B916">
        <v>29</v>
      </c>
      <c r="C916" t="s">
        <v>552</v>
      </c>
      <c r="D916" s="609">
        <v>45049</v>
      </c>
      <c r="E916">
        <v>0</v>
      </c>
      <c r="F916">
        <v>6</v>
      </c>
      <c r="G916" t="s">
        <v>1423</v>
      </c>
      <c r="H916" t="s">
        <v>351</v>
      </c>
      <c r="I916" t="s">
        <v>393</v>
      </c>
      <c r="J916">
        <v>300000</v>
      </c>
      <c r="K916" t="s">
        <v>394</v>
      </c>
      <c r="L916">
        <v>2054.29</v>
      </c>
      <c r="M916">
        <v>146.03585667067455</v>
      </c>
      <c r="N916" t="s">
        <v>395</v>
      </c>
      <c r="O916">
        <v>0</v>
      </c>
    </row>
    <row r="917" spans="1:15" x14ac:dyDescent="0.25">
      <c r="A917" t="s">
        <v>608</v>
      </c>
      <c r="B917">
        <v>30</v>
      </c>
      <c r="C917" t="s">
        <v>552</v>
      </c>
      <c r="D917" s="609">
        <v>45041</v>
      </c>
      <c r="E917">
        <v>0</v>
      </c>
      <c r="F917">
        <v>6</v>
      </c>
      <c r="G917" t="s">
        <v>1423</v>
      </c>
      <c r="H917" t="s">
        <v>609</v>
      </c>
      <c r="I917" t="s">
        <v>393</v>
      </c>
      <c r="J917">
        <v>300000</v>
      </c>
      <c r="K917" t="s">
        <v>394</v>
      </c>
      <c r="L917">
        <v>2050.46</v>
      </c>
      <c r="M917">
        <v>146.30863318474877</v>
      </c>
      <c r="N917" t="s">
        <v>395</v>
      </c>
      <c r="O917">
        <v>0</v>
      </c>
    </row>
    <row r="918" spans="1:15" x14ac:dyDescent="0.25">
      <c r="A918" t="s">
        <v>608</v>
      </c>
      <c r="B918">
        <v>31</v>
      </c>
      <c r="C918" t="s">
        <v>552</v>
      </c>
      <c r="D918" s="609">
        <v>45041</v>
      </c>
      <c r="E918">
        <v>0</v>
      </c>
      <c r="F918">
        <v>6</v>
      </c>
      <c r="G918" t="s">
        <v>1423</v>
      </c>
      <c r="H918" t="s">
        <v>606</v>
      </c>
      <c r="I918" t="s">
        <v>393</v>
      </c>
      <c r="J918">
        <v>224595</v>
      </c>
      <c r="K918" t="s">
        <v>394</v>
      </c>
      <c r="L918">
        <v>2050.46</v>
      </c>
      <c r="M918">
        <v>109.53395823376218</v>
      </c>
      <c r="N918" t="s">
        <v>395</v>
      </c>
      <c r="O918">
        <v>0</v>
      </c>
    </row>
    <row r="919" spans="1:15" x14ac:dyDescent="0.25">
      <c r="A919" t="s">
        <v>608</v>
      </c>
      <c r="B919">
        <v>32</v>
      </c>
      <c r="C919" t="s">
        <v>552</v>
      </c>
      <c r="D919" s="609">
        <v>45041</v>
      </c>
      <c r="E919">
        <v>0</v>
      </c>
      <c r="F919">
        <v>6</v>
      </c>
      <c r="G919" t="s">
        <v>1423</v>
      </c>
      <c r="H919" t="s">
        <v>610</v>
      </c>
      <c r="I919" t="s">
        <v>393</v>
      </c>
      <c r="J919">
        <v>10000</v>
      </c>
      <c r="K919" t="s">
        <v>394</v>
      </c>
      <c r="L919">
        <v>2050.46</v>
      </c>
      <c r="M919">
        <v>4.8769544394916258</v>
      </c>
      <c r="N919" t="s">
        <v>395</v>
      </c>
      <c r="O919">
        <v>0</v>
      </c>
    </row>
    <row r="920" spans="1:15" x14ac:dyDescent="0.25">
      <c r="A920" t="s">
        <v>611</v>
      </c>
      <c r="B920">
        <v>33</v>
      </c>
      <c r="C920" t="s">
        <v>552</v>
      </c>
      <c r="D920" s="609">
        <v>45054</v>
      </c>
      <c r="E920">
        <v>0</v>
      </c>
      <c r="F920">
        <v>6</v>
      </c>
      <c r="G920" t="s">
        <v>1423</v>
      </c>
      <c r="H920" t="s">
        <v>351</v>
      </c>
      <c r="I920" t="s">
        <v>393</v>
      </c>
      <c r="J920">
        <v>300000</v>
      </c>
      <c r="K920" t="s">
        <v>394</v>
      </c>
      <c r="L920">
        <v>2054.29</v>
      </c>
      <c r="M920">
        <v>146.03585667067455</v>
      </c>
      <c r="N920" t="s">
        <v>395</v>
      </c>
      <c r="O920">
        <v>0</v>
      </c>
    </row>
    <row r="921" spans="1:15" x14ac:dyDescent="0.25">
      <c r="A921" t="s">
        <v>612</v>
      </c>
      <c r="B921">
        <v>34</v>
      </c>
      <c r="C921" t="s">
        <v>560</v>
      </c>
      <c r="D921" s="609">
        <v>45050</v>
      </c>
      <c r="E921">
        <v>0</v>
      </c>
      <c r="F921">
        <v>6</v>
      </c>
      <c r="G921" t="s">
        <v>1423</v>
      </c>
      <c r="H921" t="s">
        <v>613</v>
      </c>
      <c r="I921" t="s">
        <v>393</v>
      </c>
      <c r="J921">
        <v>300000</v>
      </c>
      <c r="K921" t="s">
        <v>394</v>
      </c>
      <c r="L921">
        <v>2054.29</v>
      </c>
      <c r="M921">
        <v>146.03585667067455</v>
      </c>
      <c r="N921" t="s">
        <v>395</v>
      </c>
      <c r="O921">
        <v>0</v>
      </c>
    </row>
    <row r="922" spans="1:15" x14ac:dyDescent="0.25">
      <c r="A922" t="s">
        <v>614</v>
      </c>
      <c r="B922">
        <v>1</v>
      </c>
      <c r="C922" t="s">
        <v>392</v>
      </c>
      <c r="D922" s="609">
        <v>45042</v>
      </c>
      <c r="E922">
        <v>0</v>
      </c>
      <c r="F922">
        <v>6</v>
      </c>
      <c r="G922" t="s">
        <v>1423</v>
      </c>
      <c r="H922" t="s">
        <v>809</v>
      </c>
      <c r="I922" t="s">
        <v>393</v>
      </c>
      <c r="J922">
        <v>356400</v>
      </c>
      <c r="K922" t="s">
        <v>394</v>
      </c>
      <c r="L922">
        <v>2050.46</v>
      </c>
      <c r="M922">
        <v>173.81465622348156</v>
      </c>
      <c r="N922" t="s">
        <v>395</v>
      </c>
      <c r="O922">
        <v>0</v>
      </c>
    </row>
    <row r="923" spans="1:15" x14ac:dyDescent="0.25">
      <c r="A923" t="s">
        <v>614</v>
      </c>
      <c r="B923">
        <v>1</v>
      </c>
      <c r="C923" t="s">
        <v>392</v>
      </c>
      <c r="D923" s="609">
        <v>45042</v>
      </c>
      <c r="E923">
        <v>0</v>
      </c>
      <c r="F923">
        <v>6</v>
      </c>
      <c r="G923" t="s">
        <v>1423</v>
      </c>
      <c r="H923" t="s">
        <v>810</v>
      </c>
      <c r="I923" t="s">
        <v>393</v>
      </c>
      <c r="J923">
        <v>360000</v>
      </c>
      <c r="K923" t="s">
        <v>394</v>
      </c>
      <c r="L923">
        <v>2050.46</v>
      </c>
      <c r="M923">
        <v>175.57035982169853</v>
      </c>
      <c r="N923" t="s">
        <v>395</v>
      </c>
      <c r="O923">
        <v>0</v>
      </c>
    </row>
    <row r="924" spans="1:15" x14ac:dyDescent="0.25">
      <c r="A924" t="s">
        <v>614</v>
      </c>
      <c r="B924">
        <v>1</v>
      </c>
      <c r="C924" t="s">
        <v>392</v>
      </c>
      <c r="D924" s="609">
        <v>45042</v>
      </c>
      <c r="E924">
        <v>0</v>
      </c>
      <c r="F924">
        <v>6</v>
      </c>
      <c r="G924" t="s">
        <v>1423</v>
      </c>
      <c r="H924" t="s">
        <v>811</v>
      </c>
      <c r="I924" t="s">
        <v>393</v>
      </c>
      <c r="J924">
        <v>30000</v>
      </c>
      <c r="K924" t="s">
        <v>394</v>
      </c>
      <c r="L924">
        <v>2050.46</v>
      </c>
      <c r="M924">
        <v>14.630863318474878</v>
      </c>
      <c r="N924" t="s">
        <v>395</v>
      </c>
      <c r="O924">
        <v>0</v>
      </c>
    </row>
    <row r="925" spans="1:15" x14ac:dyDescent="0.25">
      <c r="A925" t="s">
        <v>614</v>
      </c>
      <c r="B925">
        <v>1</v>
      </c>
      <c r="C925" t="s">
        <v>392</v>
      </c>
      <c r="D925" s="609">
        <v>45042</v>
      </c>
      <c r="E925">
        <v>0</v>
      </c>
      <c r="F925">
        <v>6</v>
      </c>
      <c r="G925" t="s">
        <v>1423</v>
      </c>
      <c r="H925" t="s">
        <v>812</v>
      </c>
      <c r="I925" t="s">
        <v>393</v>
      </c>
      <c r="J925">
        <v>40000</v>
      </c>
      <c r="K925" t="s">
        <v>394</v>
      </c>
      <c r="L925">
        <v>2050.46</v>
      </c>
      <c r="M925">
        <v>19.507817757966503</v>
      </c>
      <c r="N925" t="s">
        <v>395</v>
      </c>
      <c r="O925">
        <v>0</v>
      </c>
    </row>
    <row r="926" spans="1:15" x14ac:dyDescent="0.25">
      <c r="A926" t="s">
        <v>615</v>
      </c>
      <c r="B926">
        <v>2</v>
      </c>
      <c r="C926" t="s">
        <v>616</v>
      </c>
      <c r="D926" s="609">
        <v>45051</v>
      </c>
      <c r="E926">
        <v>0</v>
      </c>
      <c r="F926">
        <v>6</v>
      </c>
      <c r="G926" t="s">
        <v>1423</v>
      </c>
      <c r="H926" t="s">
        <v>813</v>
      </c>
      <c r="I926" t="s">
        <v>393</v>
      </c>
      <c r="J926">
        <v>300000</v>
      </c>
      <c r="K926" t="s">
        <v>394</v>
      </c>
      <c r="L926">
        <v>2054.29</v>
      </c>
      <c r="M926">
        <v>146.03585667067455</v>
      </c>
      <c r="N926" t="s">
        <v>395</v>
      </c>
      <c r="O926">
        <v>0</v>
      </c>
    </row>
    <row r="927" spans="1:15" x14ac:dyDescent="0.25">
      <c r="A927" t="s">
        <v>1536</v>
      </c>
      <c r="B927">
        <v>9</v>
      </c>
      <c r="C927" s="609">
        <v>45078</v>
      </c>
      <c r="D927" s="609">
        <v>45107</v>
      </c>
      <c r="E927">
        <v>0</v>
      </c>
      <c r="F927">
        <v>6</v>
      </c>
      <c r="G927" t="s">
        <v>1423</v>
      </c>
      <c r="H927" t="s">
        <v>1537</v>
      </c>
      <c r="I927" t="s">
        <v>393</v>
      </c>
      <c r="J927">
        <v>700000</v>
      </c>
      <c r="K927" t="s">
        <v>394</v>
      </c>
      <c r="L927">
        <v>2803.6597999999999</v>
      </c>
      <c r="M927">
        <v>249.67365869425385</v>
      </c>
      <c r="N927" t="s">
        <v>395</v>
      </c>
      <c r="O927">
        <v>0</v>
      </c>
    </row>
    <row r="928" spans="1:15" x14ac:dyDescent="0.25">
      <c r="A928" t="s">
        <v>1538</v>
      </c>
      <c r="B928">
        <v>10</v>
      </c>
      <c r="C928" s="609">
        <v>45078</v>
      </c>
      <c r="D928" s="609">
        <v>45107</v>
      </c>
      <c r="E928">
        <v>0</v>
      </c>
      <c r="F928">
        <v>6</v>
      </c>
      <c r="G928" t="s">
        <v>1423</v>
      </c>
      <c r="H928" t="s">
        <v>1539</v>
      </c>
      <c r="I928" t="s">
        <v>393</v>
      </c>
      <c r="J928">
        <v>3375000</v>
      </c>
      <c r="K928" t="s">
        <v>394</v>
      </c>
      <c r="L928">
        <v>2803.6597999999999</v>
      </c>
      <c r="M928">
        <v>1203.7837115615812</v>
      </c>
      <c r="N928" t="s">
        <v>395</v>
      </c>
      <c r="O928">
        <v>0</v>
      </c>
    </row>
    <row r="929" spans="1:15" x14ac:dyDescent="0.25">
      <c r="A929" t="s">
        <v>1540</v>
      </c>
      <c r="B929">
        <v>11</v>
      </c>
      <c r="C929" s="609">
        <v>45078</v>
      </c>
      <c r="D929" s="609">
        <v>45107</v>
      </c>
      <c r="E929">
        <v>0</v>
      </c>
      <c r="F929">
        <v>6</v>
      </c>
      <c r="G929" t="s">
        <v>1423</v>
      </c>
      <c r="H929" t="s">
        <v>1541</v>
      </c>
      <c r="I929" t="s">
        <v>393</v>
      </c>
      <c r="J929">
        <v>70000</v>
      </c>
      <c r="K929" t="s">
        <v>394</v>
      </c>
      <c r="L929">
        <v>2803.6597999999999</v>
      </c>
      <c r="M929">
        <v>24.967365869425386</v>
      </c>
      <c r="N929" t="s">
        <v>395</v>
      </c>
      <c r="O929">
        <v>0</v>
      </c>
    </row>
    <row r="930" spans="1:15" x14ac:dyDescent="0.25">
      <c r="A930" t="s">
        <v>843</v>
      </c>
      <c r="B930">
        <v>4</v>
      </c>
      <c r="C930" t="s">
        <v>827</v>
      </c>
      <c r="D930" s="609">
        <v>45167</v>
      </c>
      <c r="E930">
        <v>0</v>
      </c>
      <c r="F930">
        <v>6</v>
      </c>
      <c r="G930" t="s">
        <v>1423</v>
      </c>
      <c r="H930" t="s">
        <v>844</v>
      </c>
      <c r="I930" t="s">
        <v>393</v>
      </c>
      <c r="J930">
        <v>292250</v>
      </c>
      <c r="K930" t="s">
        <v>394</v>
      </c>
      <c r="L930">
        <v>2830.26</v>
      </c>
      <c r="M930">
        <v>103.2590645382403</v>
      </c>
      <c r="N930" t="s">
        <v>395</v>
      </c>
      <c r="O930">
        <v>0</v>
      </c>
    </row>
    <row r="931" spans="1:15" x14ac:dyDescent="0.25">
      <c r="A931" t="s">
        <v>843</v>
      </c>
      <c r="B931">
        <v>4</v>
      </c>
      <c r="C931" t="s">
        <v>827</v>
      </c>
      <c r="D931" s="609">
        <v>45167</v>
      </c>
      <c r="E931">
        <v>0</v>
      </c>
      <c r="F931">
        <v>6</v>
      </c>
      <c r="G931" t="s">
        <v>1423</v>
      </c>
      <c r="H931" t="s">
        <v>845</v>
      </c>
      <c r="I931" t="s">
        <v>393</v>
      </c>
      <c r="J931">
        <v>850000</v>
      </c>
      <c r="K931" t="s">
        <v>394</v>
      </c>
      <c r="L931">
        <v>2830.26</v>
      </c>
      <c r="M931">
        <v>300.32576512405217</v>
      </c>
      <c r="N931" t="s">
        <v>395</v>
      </c>
      <c r="O931">
        <v>0</v>
      </c>
    </row>
    <row r="932" spans="1:15" x14ac:dyDescent="0.25">
      <c r="A932" t="s">
        <v>843</v>
      </c>
      <c r="B932">
        <v>4</v>
      </c>
      <c r="C932" t="s">
        <v>827</v>
      </c>
      <c r="D932" s="609">
        <v>45167</v>
      </c>
      <c r="E932">
        <v>0</v>
      </c>
      <c r="F932">
        <v>6</v>
      </c>
      <c r="G932" t="s">
        <v>1423</v>
      </c>
      <c r="H932" t="s">
        <v>846</v>
      </c>
      <c r="I932" t="s">
        <v>393</v>
      </c>
      <c r="J932">
        <v>50000</v>
      </c>
      <c r="K932" t="s">
        <v>394</v>
      </c>
      <c r="L932">
        <v>2830.26</v>
      </c>
      <c r="M932">
        <v>17.666221477885422</v>
      </c>
      <c r="N932" t="s">
        <v>395</v>
      </c>
      <c r="O932">
        <v>0</v>
      </c>
    </row>
    <row r="933" spans="1:15" x14ac:dyDescent="0.25">
      <c r="A933" t="s">
        <v>847</v>
      </c>
      <c r="B933">
        <v>5</v>
      </c>
      <c r="C933" s="609">
        <v>45170</v>
      </c>
      <c r="D933" s="609">
        <v>45174</v>
      </c>
      <c r="E933">
        <v>0</v>
      </c>
      <c r="F933">
        <v>6</v>
      </c>
      <c r="G933" t="s">
        <v>1423</v>
      </c>
      <c r="H933" t="s">
        <v>848</v>
      </c>
      <c r="I933" t="s">
        <v>393</v>
      </c>
      <c r="J933">
        <v>390000</v>
      </c>
      <c r="K933" t="s">
        <v>394</v>
      </c>
      <c r="L933">
        <v>2830.26</v>
      </c>
      <c r="M933">
        <v>137.7965275275063</v>
      </c>
      <c r="N933" t="s">
        <v>395</v>
      </c>
      <c r="O933">
        <v>0</v>
      </c>
    </row>
    <row r="934" spans="1:15" x14ac:dyDescent="0.25">
      <c r="A934" t="s">
        <v>408</v>
      </c>
      <c r="B934">
        <v>4491</v>
      </c>
      <c r="C934" t="s">
        <v>402</v>
      </c>
      <c r="D934" s="609">
        <v>45006</v>
      </c>
      <c r="E934">
        <v>3490</v>
      </c>
      <c r="F934">
        <v>7</v>
      </c>
      <c r="G934">
        <v>0</v>
      </c>
      <c r="H934" t="s">
        <v>409</v>
      </c>
      <c r="I934" t="s">
        <v>393</v>
      </c>
      <c r="J934">
        <v>150500</v>
      </c>
      <c r="K934" t="s">
        <v>394</v>
      </c>
      <c r="L934">
        <v>0</v>
      </c>
      <c r="M934">
        <v>73.44</v>
      </c>
      <c r="N934" t="s">
        <v>395</v>
      </c>
      <c r="O934">
        <v>60.86</v>
      </c>
    </row>
    <row r="935" spans="1:15" x14ac:dyDescent="0.25">
      <c r="A935" t="s">
        <v>417</v>
      </c>
      <c r="B935">
        <v>4500</v>
      </c>
      <c r="C935" t="s">
        <v>402</v>
      </c>
      <c r="D935" s="609">
        <v>45014</v>
      </c>
      <c r="E935">
        <v>3490</v>
      </c>
      <c r="F935">
        <v>7</v>
      </c>
      <c r="G935">
        <v>0</v>
      </c>
      <c r="H935" t="s">
        <v>418</v>
      </c>
      <c r="I935" t="s">
        <v>393</v>
      </c>
      <c r="J935">
        <v>80000</v>
      </c>
      <c r="K935" t="s">
        <v>394</v>
      </c>
      <c r="L935">
        <v>0</v>
      </c>
      <c r="M935">
        <v>39.04</v>
      </c>
      <c r="N935" t="s">
        <v>395</v>
      </c>
      <c r="O935">
        <v>32.35</v>
      </c>
    </row>
    <row r="936" spans="1:15" x14ac:dyDescent="0.25">
      <c r="A936" t="s">
        <v>419</v>
      </c>
      <c r="B936">
        <v>4508</v>
      </c>
      <c r="C936" t="s">
        <v>402</v>
      </c>
      <c r="D936" s="609">
        <v>45015</v>
      </c>
      <c r="E936">
        <v>3420</v>
      </c>
      <c r="F936">
        <v>7</v>
      </c>
      <c r="G936">
        <v>0</v>
      </c>
      <c r="H936" t="s">
        <v>420</v>
      </c>
      <c r="I936" t="s">
        <v>393</v>
      </c>
      <c r="J936">
        <v>8800</v>
      </c>
      <c r="K936" t="s">
        <v>394</v>
      </c>
      <c r="L936">
        <v>0</v>
      </c>
      <c r="M936">
        <v>4.29</v>
      </c>
      <c r="N936" t="s">
        <v>395</v>
      </c>
      <c r="O936">
        <v>3.56</v>
      </c>
    </row>
    <row r="937" spans="1:15" x14ac:dyDescent="0.25">
      <c r="A937" t="s">
        <v>419</v>
      </c>
      <c r="B937">
        <v>4508</v>
      </c>
      <c r="C937" t="s">
        <v>402</v>
      </c>
      <c r="D937" s="609">
        <v>45015</v>
      </c>
      <c r="E937">
        <v>3420</v>
      </c>
      <c r="F937">
        <v>7</v>
      </c>
      <c r="G937">
        <v>0</v>
      </c>
      <c r="H937" t="s">
        <v>421</v>
      </c>
      <c r="I937" t="s">
        <v>393</v>
      </c>
      <c r="J937">
        <v>14500</v>
      </c>
      <c r="K937" t="s">
        <v>394</v>
      </c>
      <c r="L937">
        <v>0</v>
      </c>
      <c r="M937">
        <v>7.08</v>
      </c>
      <c r="N937" t="s">
        <v>395</v>
      </c>
      <c r="O937">
        <v>5.86</v>
      </c>
    </row>
    <row r="938" spans="1:15" x14ac:dyDescent="0.25">
      <c r="A938" t="s">
        <v>422</v>
      </c>
      <c r="B938">
        <v>4605</v>
      </c>
      <c r="C938" t="s">
        <v>402</v>
      </c>
      <c r="D938" s="609">
        <v>44980</v>
      </c>
      <c r="E938">
        <v>3420</v>
      </c>
      <c r="F938">
        <v>7</v>
      </c>
      <c r="G938">
        <v>0</v>
      </c>
      <c r="H938" t="s">
        <v>423</v>
      </c>
      <c r="I938" t="s">
        <v>393</v>
      </c>
      <c r="J938">
        <v>250000</v>
      </c>
      <c r="K938" t="s">
        <v>394</v>
      </c>
      <c r="L938">
        <v>0</v>
      </c>
      <c r="M938">
        <v>121.99</v>
      </c>
      <c r="N938" t="s">
        <v>395</v>
      </c>
      <c r="O938">
        <v>101.09</v>
      </c>
    </row>
    <row r="939" spans="1:15" x14ac:dyDescent="0.25">
      <c r="A939" t="s">
        <v>440</v>
      </c>
      <c r="B939">
        <v>4743</v>
      </c>
      <c r="C939" t="s">
        <v>441</v>
      </c>
      <c r="D939" s="609">
        <v>45028</v>
      </c>
      <c r="E939">
        <v>3490</v>
      </c>
      <c r="F939">
        <v>7</v>
      </c>
      <c r="G939">
        <v>0</v>
      </c>
      <c r="H939" t="s">
        <v>442</v>
      </c>
      <c r="I939" t="s">
        <v>393</v>
      </c>
      <c r="J939">
        <v>112000</v>
      </c>
      <c r="K939" t="s">
        <v>394</v>
      </c>
      <c r="L939">
        <v>0</v>
      </c>
      <c r="M939">
        <v>54.32</v>
      </c>
      <c r="N939" t="s">
        <v>395</v>
      </c>
      <c r="O939">
        <v>44.06</v>
      </c>
    </row>
    <row r="940" spans="1:15" x14ac:dyDescent="0.25">
      <c r="A940" t="s">
        <v>443</v>
      </c>
      <c r="B940">
        <v>4785</v>
      </c>
      <c r="C940" t="s">
        <v>441</v>
      </c>
      <c r="D940" s="609">
        <v>45044</v>
      </c>
      <c r="E940">
        <v>3400</v>
      </c>
      <c r="F940">
        <v>7</v>
      </c>
      <c r="G940">
        <v>0</v>
      </c>
      <c r="H940" t="s">
        <v>444</v>
      </c>
      <c r="I940" t="s">
        <v>393</v>
      </c>
      <c r="J940">
        <v>3116699</v>
      </c>
      <c r="K940" t="s">
        <v>394</v>
      </c>
      <c r="L940">
        <v>0</v>
      </c>
      <c r="M940">
        <v>1511.5</v>
      </c>
      <c r="N940" t="s">
        <v>395</v>
      </c>
      <c r="O940">
        <v>1226.18</v>
      </c>
    </row>
    <row r="941" spans="1:15" x14ac:dyDescent="0.25">
      <c r="A941" t="s">
        <v>446</v>
      </c>
      <c r="B941">
        <v>4779</v>
      </c>
      <c r="C941" t="s">
        <v>441</v>
      </c>
      <c r="D941" s="609">
        <v>45019</v>
      </c>
      <c r="E941">
        <v>3600</v>
      </c>
      <c r="F941">
        <v>7</v>
      </c>
      <c r="G941">
        <v>0</v>
      </c>
      <c r="H941" t="s">
        <v>447</v>
      </c>
      <c r="I941" t="s">
        <v>393</v>
      </c>
      <c r="J941">
        <v>11.11</v>
      </c>
      <c r="K941" t="s">
        <v>395</v>
      </c>
      <c r="L941">
        <v>0</v>
      </c>
      <c r="M941">
        <v>11.11</v>
      </c>
      <c r="N941" t="s">
        <v>395</v>
      </c>
      <c r="O941">
        <v>9.01</v>
      </c>
    </row>
    <row r="942" spans="1:15" x14ac:dyDescent="0.25">
      <c r="A942" t="s">
        <v>448</v>
      </c>
      <c r="B942">
        <v>4760</v>
      </c>
      <c r="C942" t="s">
        <v>441</v>
      </c>
      <c r="D942" s="609">
        <v>45030</v>
      </c>
      <c r="E942">
        <v>3420</v>
      </c>
      <c r="F942">
        <v>7</v>
      </c>
      <c r="G942">
        <v>0</v>
      </c>
      <c r="H942" t="s">
        <v>449</v>
      </c>
      <c r="I942" t="s">
        <v>393</v>
      </c>
      <c r="J942">
        <v>25000</v>
      </c>
      <c r="K942" t="s">
        <v>394</v>
      </c>
      <c r="L942">
        <v>0</v>
      </c>
      <c r="M942">
        <v>12.12</v>
      </c>
      <c r="N942" t="s">
        <v>395</v>
      </c>
      <c r="O942">
        <v>9.84</v>
      </c>
    </row>
    <row r="943" spans="1:15" x14ac:dyDescent="0.25">
      <c r="A943" t="s">
        <v>448</v>
      </c>
      <c r="B943">
        <v>4760</v>
      </c>
      <c r="C943" t="s">
        <v>441</v>
      </c>
      <c r="D943" s="609">
        <v>45030</v>
      </c>
      <c r="E943">
        <v>3420</v>
      </c>
      <c r="F943">
        <v>7</v>
      </c>
      <c r="G943">
        <v>0</v>
      </c>
      <c r="H943" t="s">
        <v>450</v>
      </c>
      <c r="I943" t="s">
        <v>393</v>
      </c>
      <c r="J943">
        <v>25000</v>
      </c>
      <c r="K943" t="s">
        <v>394</v>
      </c>
      <c r="L943">
        <v>0</v>
      </c>
      <c r="M943">
        <v>12.12</v>
      </c>
      <c r="N943" t="s">
        <v>395</v>
      </c>
      <c r="O943">
        <v>9.84</v>
      </c>
    </row>
    <row r="944" spans="1:15" x14ac:dyDescent="0.25">
      <c r="A944" t="s">
        <v>451</v>
      </c>
      <c r="B944">
        <v>4732</v>
      </c>
      <c r="C944" t="s">
        <v>441</v>
      </c>
      <c r="D944" s="609">
        <v>45020</v>
      </c>
      <c r="E944">
        <v>3175</v>
      </c>
      <c r="F944">
        <v>7</v>
      </c>
      <c r="G944">
        <v>0</v>
      </c>
      <c r="H944" t="s">
        <v>452</v>
      </c>
      <c r="I944" t="s">
        <v>393</v>
      </c>
      <c r="J944">
        <v>825183</v>
      </c>
      <c r="K944" t="s">
        <v>394</v>
      </c>
      <c r="L944">
        <v>0</v>
      </c>
      <c r="M944">
        <v>400.19</v>
      </c>
      <c r="N944" t="s">
        <v>395</v>
      </c>
      <c r="O944">
        <v>324.64999999999998</v>
      </c>
    </row>
    <row r="945" spans="1:15" x14ac:dyDescent="0.25">
      <c r="A945" t="s">
        <v>453</v>
      </c>
      <c r="B945">
        <v>4727</v>
      </c>
      <c r="C945" t="s">
        <v>441</v>
      </c>
      <c r="D945" s="609">
        <v>45019</v>
      </c>
      <c r="E945">
        <v>3420</v>
      </c>
      <c r="F945">
        <v>7</v>
      </c>
      <c r="G945">
        <v>0</v>
      </c>
      <c r="H945" t="s">
        <v>454</v>
      </c>
      <c r="I945" t="s">
        <v>393</v>
      </c>
      <c r="J945">
        <v>222184</v>
      </c>
      <c r="K945" t="s">
        <v>394</v>
      </c>
      <c r="L945">
        <v>0</v>
      </c>
      <c r="M945">
        <v>107.75</v>
      </c>
      <c r="N945" t="s">
        <v>395</v>
      </c>
      <c r="O945">
        <v>87.41</v>
      </c>
    </row>
    <row r="946" spans="1:15" x14ac:dyDescent="0.25">
      <c r="A946" t="s">
        <v>455</v>
      </c>
      <c r="B946">
        <v>4764</v>
      </c>
      <c r="C946" t="s">
        <v>441</v>
      </c>
      <c r="D946" s="609">
        <v>45041</v>
      </c>
      <c r="E946">
        <v>3420</v>
      </c>
      <c r="F946">
        <v>7</v>
      </c>
      <c r="G946">
        <v>0</v>
      </c>
      <c r="H946" t="s">
        <v>456</v>
      </c>
      <c r="I946" t="s">
        <v>393</v>
      </c>
      <c r="J946">
        <v>138839</v>
      </c>
      <c r="K946" t="s">
        <v>394</v>
      </c>
      <c r="L946">
        <v>0</v>
      </c>
      <c r="M946">
        <v>67.33</v>
      </c>
      <c r="N946" t="s">
        <v>395</v>
      </c>
      <c r="O946">
        <v>54.62</v>
      </c>
    </row>
    <row r="947" spans="1:15" x14ac:dyDescent="0.25">
      <c r="A947" t="s">
        <v>457</v>
      </c>
      <c r="B947">
        <v>4857</v>
      </c>
      <c r="C947" t="s">
        <v>458</v>
      </c>
      <c r="D947" s="609">
        <v>45077</v>
      </c>
      <c r="E947">
        <v>3600</v>
      </c>
      <c r="F947">
        <v>7</v>
      </c>
      <c r="G947">
        <v>0</v>
      </c>
      <c r="H947" t="s">
        <v>459</v>
      </c>
      <c r="I947" t="s">
        <v>393</v>
      </c>
      <c r="J947">
        <v>80000</v>
      </c>
      <c r="K947" t="s">
        <v>394</v>
      </c>
      <c r="L947">
        <v>0</v>
      </c>
      <c r="M947">
        <v>38.94</v>
      </c>
      <c r="N947" t="s">
        <v>395</v>
      </c>
      <c r="O947">
        <v>31.1</v>
      </c>
    </row>
    <row r="948" spans="1:15" x14ac:dyDescent="0.25">
      <c r="A948" t="s">
        <v>460</v>
      </c>
      <c r="B948">
        <v>4850</v>
      </c>
      <c r="C948" t="s">
        <v>458</v>
      </c>
      <c r="D948" s="609">
        <v>45069</v>
      </c>
      <c r="E948">
        <v>3490</v>
      </c>
      <c r="F948">
        <v>7</v>
      </c>
      <c r="G948">
        <v>0</v>
      </c>
      <c r="H948" t="s">
        <v>461</v>
      </c>
      <c r="I948" t="s">
        <v>393</v>
      </c>
      <c r="J948">
        <v>106000</v>
      </c>
      <c r="K948" t="s">
        <v>394</v>
      </c>
      <c r="L948">
        <v>0</v>
      </c>
      <c r="M948">
        <v>51.6</v>
      </c>
      <c r="N948" t="s">
        <v>395</v>
      </c>
      <c r="O948">
        <v>41.2</v>
      </c>
    </row>
    <row r="949" spans="1:15" x14ac:dyDescent="0.25">
      <c r="A949" t="s">
        <v>462</v>
      </c>
      <c r="B949">
        <v>4835</v>
      </c>
      <c r="C949" t="s">
        <v>458</v>
      </c>
      <c r="D949" s="609">
        <v>45056</v>
      </c>
      <c r="E949">
        <v>3490</v>
      </c>
      <c r="F949">
        <v>7</v>
      </c>
      <c r="G949">
        <v>0</v>
      </c>
      <c r="H949" t="s">
        <v>442</v>
      </c>
      <c r="I949" t="s">
        <v>393</v>
      </c>
      <c r="J949">
        <v>156000</v>
      </c>
      <c r="K949" t="s">
        <v>394</v>
      </c>
      <c r="L949">
        <v>0</v>
      </c>
      <c r="M949">
        <v>75.94</v>
      </c>
      <c r="N949" t="s">
        <v>395</v>
      </c>
      <c r="O949">
        <v>60.64</v>
      </c>
    </row>
    <row r="950" spans="1:15" x14ac:dyDescent="0.25">
      <c r="A950" t="s">
        <v>463</v>
      </c>
      <c r="B950">
        <v>4837</v>
      </c>
      <c r="C950" t="s">
        <v>458</v>
      </c>
      <c r="D950" s="609">
        <v>45056</v>
      </c>
      <c r="E950">
        <v>3490</v>
      </c>
      <c r="F950">
        <v>7</v>
      </c>
      <c r="G950">
        <v>0</v>
      </c>
      <c r="H950" t="s">
        <v>464</v>
      </c>
      <c r="I950" t="s">
        <v>393</v>
      </c>
      <c r="J950">
        <v>30000</v>
      </c>
      <c r="K950" t="s">
        <v>394</v>
      </c>
      <c r="L950">
        <v>0</v>
      </c>
      <c r="M950">
        <v>14.6</v>
      </c>
      <c r="N950" t="s">
        <v>395</v>
      </c>
      <c r="O950">
        <v>11.66</v>
      </c>
    </row>
    <row r="951" spans="1:15" x14ac:dyDescent="0.25">
      <c r="A951" t="s">
        <v>465</v>
      </c>
      <c r="B951">
        <v>4840</v>
      </c>
      <c r="C951" t="s">
        <v>458</v>
      </c>
      <c r="D951" s="609">
        <v>45058</v>
      </c>
      <c r="E951">
        <v>3490</v>
      </c>
      <c r="F951">
        <v>7</v>
      </c>
      <c r="G951">
        <v>0</v>
      </c>
      <c r="H951" t="s">
        <v>466</v>
      </c>
      <c r="I951" t="s">
        <v>393</v>
      </c>
      <c r="J951">
        <v>10000</v>
      </c>
      <c r="K951" t="s">
        <v>394</v>
      </c>
      <c r="L951">
        <v>0</v>
      </c>
      <c r="M951">
        <v>4.87</v>
      </c>
      <c r="N951" t="s">
        <v>395</v>
      </c>
      <c r="O951">
        <v>3.89</v>
      </c>
    </row>
    <row r="952" spans="1:15" x14ac:dyDescent="0.25">
      <c r="A952" t="s">
        <v>467</v>
      </c>
      <c r="B952">
        <v>4938</v>
      </c>
      <c r="C952" t="s">
        <v>458</v>
      </c>
      <c r="D952" s="609">
        <v>45048</v>
      </c>
      <c r="E952">
        <v>3420</v>
      </c>
      <c r="F952">
        <v>7</v>
      </c>
      <c r="G952">
        <v>0</v>
      </c>
      <c r="H952" t="s">
        <v>468</v>
      </c>
      <c r="I952" t="s">
        <v>393</v>
      </c>
      <c r="J952">
        <v>222775</v>
      </c>
      <c r="K952" t="s">
        <v>394</v>
      </c>
      <c r="L952">
        <v>0</v>
      </c>
      <c r="M952">
        <v>108.44</v>
      </c>
      <c r="N952" t="s">
        <v>395</v>
      </c>
      <c r="O952">
        <v>86.59</v>
      </c>
    </row>
    <row r="953" spans="1:15" x14ac:dyDescent="0.25">
      <c r="A953" t="s">
        <v>469</v>
      </c>
      <c r="B953">
        <v>4937</v>
      </c>
      <c r="C953" t="s">
        <v>458</v>
      </c>
      <c r="D953" s="609">
        <v>45056</v>
      </c>
      <c r="E953">
        <v>3420</v>
      </c>
      <c r="F953">
        <v>7</v>
      </c>
      <c r="G953">
        <v>0</v>
      </c>
      <c r="H953" t="s">
        <v>470</v>
      </c>
      <c r="I953" t="s">
        <v>393</v>
      </c>
      <c r="J953">
        <v>35381</v>
      </c>
      <c r="K953" t="s">
        <v>394</v>
      </c>
      <c r="L953">
        <v>0</v>
      </c>
      <c r="M953">
        <v>17.22</v>
      </c>
      <c r="N953" t="s">
        <v>395</v>
      </c>
      <c r="O953">
        <v>13.75</v>
      </c>
    </row>
    <row r="954" spans="1:15" x14ac:dyDescent="0.25">
      <c r="A954" t="s">
        <v>472</v>
      </c>
      <c r="B954">
        <v>4805</v>
      </c>
      <c r="C954" t="s">
        <v>458</v>
      </c>
      <c r="D954" s="609">
        <v>45057</v>
      </c>
      <c r="E954">
        <v>3420</v>
      </c>
      <c r="F954">
        <v>7</v>
      </c>
      <c r="G954">
        <v>0</v>
      </c>
      <c r="H954" t="s">
        <v>473</v>
      </c>
      <c r="I954" t="s">
        <v>393</v>
      </c>
      <c r="J954">
        <v>35381</v>
      </c>
      <c r="K954" t="s">
        <v>394</v>
      </c>
      <c r="L954">
        <v>0</v>
      </c>
      <c r="M954">
        <v>17.22</v>
      </c>
      <c r="N954" t="s">
        <v>395</v>
      </c>
      <c r="O954">
        <v>13.75</v>
      </c>
    </row>
    <row r="955" spans="1:15" x14ac:dyDescent="0.25">
      <c r="A955" t="s">
        <v>472</v>
      </c>
      <c r="B955">
        <v>4949</v>
      </c>
      <c r="C955" t="s">
        <v>458</v>
      </c>
      <c r="D955" s="609">
        <v>45057</v>
      </c>
      <c r="E955">
        <v>3420</v>
      </c>
      <c r="F955">
        <v>7</v>
      </c>
      <c r="G955">
        <v>0</v>
      </c>
      <c r="H955" t="s">
        <v>475</v>
      </c>
      <c r="I955" t="s">
        <v>476</v>
      </c>
      <c r="J955">
        <v>-35381</v>
      </c>
      <c r="K955" t="s">
        <v>394</v>
      </c>
      <c r="L955">
        <v>0</v>
      </c>
      <c r="M955">
        <v>-17.22</v>
      </c>
      <c r="N955" t="s">
        <v>395</v>
      </c>
      <c r="O955">
        <v>-13.75</v>
      </c>
    </row>
    <row r="956" spans="1:15" x14ac:dyDescent="0.25">
      <c r="A956" t="s">
        <v>485</v>
      </c>
      <c r="B956">
        <v>4822</v>
      </c>
      <c r="C956" t="s">
        <v>458</v>
      </c>
      <c r="D956" s="609">
        <v>45072</v>
      </c>
      <c r="E956">
        <v>3420</v>
      </c>
      <c r="F956">
        <v>7</v>
      </c>
      <c r="G956">
        <v>0</v>
      </c>
      <c r="H956" t="s">
        <v>486</v>
      </c>
      <c r="I956" t="s">
        <v>393</v>
      </c>
      <c r="J956">
        <v>222775</v>
      </c>
      <c r="K956" t="s">
        <v>394</v>
      </c>
      <c r="L956">
        <v>0</v>
      </c>
      <c r="M956">
        <v>108.44</v>
      </c>
      <c r="N956" t="s">
        <v>395</v>
      </c>
      <c r="O956">
        <v>86.59</v>
      </c>
    </row>
    <row r="957" spans="1:15" x14ac:dyDescent="0.25">
      <c r="A957" t="s">
        <v>487</v>
      </c>
      <c r="B957">
        <v>4950</v>
      </c>
      <c r="C957" t="s">
        <v>458</v>
      </c>
      <c r="D957" s="609">
        <v>45072</v>
      </c>
      <c r="E957">
        <v>3420</v>
      </c>
      <c r="F957">
        <v>7</v>
      </c>
      <c r="G957">
        <v>0</v>
      </c>
      <c r="H957" t="s">
        <v>488</v>
      </c>
      <c r="I957" t="s">
        <v>476</v>
      </c>
      <c r="J957">
        <v>-222775</v>
      </c>
      <c r="K957" t="s">
        <v>394</v>
      </c>
      <c r="L957">
        <v>0</v>
      </c>
      <c r="M957">
        <v>-108.44</v>
      </c>
      <c r="N957" t="s">
        <v>395</v>
      </c>
      <c r="O957">
        <v>-86.59</v>
      </c>
    </row>
    <row r="958" spans="1:15" x14ac:dyDescent="0.25">
      <c r="A958" t="s">
        <v>489</v>
      </c>
      <c r="B958">
        <v>4912</v>
      </c>
      <c r="C958" t="s">
        <v>458</v>
      </c>
      <c r="D958" s="609">
        <v>45048</v>
      </c>
      <c r="E958">
        <v>3440</v>
      </c>
      <c r="F958">
        <v>7</v>
      </c>
      <c r="G958">
        <v>0</v>
      </c>
      <c r="H958" t="s">
        <v>490</v>
      </c>
      <c r="I958" t="s">
        <v>393</v>
      </c>
      <c r="J958">
        <v>610000</v>
      </c>
      <c r="K958" t="s">
        <v>394</v>
      </c>
      <c r="L958">
        <v>0</v>
      </c>
      <c r="M958">
        <v>296.94</v>
      </c>
      <c r="N958" t="s">
        <v>395</v>
      </c>
      <c r="O958">
        <v>237.11</v>
      </c>
    </row>
    <row r="959" spans="1:15" x14ac:dyDescent="0.25">
      <c r="A959" t="s">
        <v>621</v>
      </c>
      <c r="B959">
        <v>5055</v>
      </c>
      <c r="C959" t="s">
        <v>628</v>
      </c>
      <c r="D959" s="609">
        <v>45107</v>
      </c>
      <c r="E959">
        <v>3600</v>
      </c>
      <c r="F959">
        <v>7</v>
      </c>
      <c r="G959" t="s">
        <v>1543</v>
      </c>
      <c r="H959" t="s">
        <v>629</v>
      </c>
      <c r="I959" t="s">
        <v>393</v>
      </c>
      <c r="J959">
        <v>43</v>
      </c>
      <c r="K959" t="s">
        <v>395</v>
      </c>
      <c r="L959">
        <v>0</v>
      </c>
      <c r="M959">
        <v>43</v>
      </c>
      <c r="N959" t="s">
        <v>395</v>
      </c>
      <c r="O959">
        <v>34.69</v>
      </c>
    </row>
    <row r="960" spans="1:15" x14ac:dyDescent="0.25">
      <c r="A960" t="s">
        <v>622</v>
      </c>
      <c r="B960">
        <v>4990</v>
      </c>
      <c r="C960" t="s">
        <v>628</v>
      </c>
      <c r="D960" s="609">
        <v>45103</v>
      </c>
      <c r="E960">
        <v>3420</v>
      </c>
      <c r="F960">
        <v>7</v>
      </c>
      <c r="G960" t="s">
        <v>1543</v>
      </c>
      <c r="H960" t="s">
        <v>630</v>
      </c>
      <c r="I960" t="s">
        <v>393</v>
      </c>
      <c r="J960">
        <v>50000</v>
      </c>
      <c r="K960" t="s">
        <v>394</v>
      </c>
      <c r="L960">
        <v>0</v>
      </c>
      <c r="M960">
        <v>17.91</v>
      </c>
      <c r="N960" t="s">
        <v>395</v>
      </c>
      <c r="O960">
        <v>14.45</v>
      </c>
    </row>
    <row r="961" spans="1:15" x14ac:dyDescent="0.25">
      <c r="A961" t="s">
        <v>624</v>
      </c>
      <c r="B961">
        <v>4999</v>
      </c>
      <c r="C961" t="s">
        <v>628</v>
      </c>
      <c r="D961" s="609">
        <v>45107</v>
      </c>
      <c r="E961">
        <v>3420</v>
      </c>
      <c r="F961">
        <v>7</v>
      </c>
      <c r="G961" t="s">
        <v>1543</v>
      </c>
      <c r="H961" t="s">
        <v>632</v>
      </c>
      <c r="I961" t="s">
        <v>393</v>
      </c>
      <c r="J961">
        <v>140000</v>
      </c>
      <c r="K961" t="s">
        <v>394</v>
      </c>
      <c r="L961">
        <v>0</v>
      </c>
      <c r="M961">
        <v>50.13</v>
      </c>
      <c r="N961" t="s">
        <v>395</v>
      </c>
      <c r="O961">
        <v>40.450000000000003</v>
      </c>
    </row>
    <row r="962" spans="1:15" x14ac:dyDescent="0.25">
      <c r="A962" t="s">
        <v>625</v>
      </c>
      <c r="B962">
        <v>4978</v>
      </c>
      <c r="C962" t="s">
        <v>628</v>
      </c>
      <c r="D962" s="609">
        <v>45097</v>
      </c>
      <c r="E962">
        <v>3440</v>
      </c>
      <c r="F962">
        <v>7</v>
      </c>
      <c r="G962" t="s">
        <v>1543</v>
      </c>
      <c r="H962" t="s">
        <v>633</v>
      </c>
      <c r="I962" t="s">
        <v>393</v>
      </c>
      <c r="J962">
        <v>500000</v>
      </c>
      <c r="K962" t="s">
        <v>394</v>
      </c>
      <c r="L962">
        <v>0</v>
      </c>
      <c r="M962">
        <v>179.05</v>
      </c>
      <c r="N962" t="s">
        <v>395</v>
      </c>
      <c r="O962">
        <v>144.46</v>
      </c>
    </row>
    <row r="963" spans="1:15" x14ac:dyDescent="0.25">
      <c r="A963" t="s">
        <v>1428</v>
      </c>
      <c r="B963">
        <v>5197</v>
      </c>
      <c r="C963" t="s">
        <v>1429</v>
      </c>
      <c r="D963" s="609">
        <v>45127</v>
      </c>
      <c r="E963">
        <v>3420</v>
      </c>
      <c r="F963">
        <v>7</v>
      </c>
      <c r="G963" t="s">
        <v>1543</v>
      </c>
      <c r="H963" t="s">
        <v>1430</v>
      </c>
      <c r="I963" t="s">
        <v>393</v>
      </c>
      <c r="J963">
        <v>145636</v>
      </c>
      <c r="K963" t="s">
        <v>394</v>
      </c>
      <c r="L963">
        <v>2.8078499999999998E-4</v>
      </c>
      <c r="M963">
        <v>51.91</v>
      </c>
      <c r="N963" t="s">
        <v>395</v>
      </c>
      <c r="O963">
        <v>40.89</v>
      </c>
    </row>
    <row r="964" spans="1:15" x14ac:dyDescent="0.25">
      <c r="A964" t="s">
        <v>457</v>
      </c>
      <c r="B964">
        <v>5234</v>
      </c>
      <c r="C964" t="s">
        <v>1429</v>
      </c>
      <c r="D964" s="609">
        <v>45138</v>
      </c>
      <c r="E964">
        <v>3600</v>
      </c>
      <c r="F964">
        <v>7</v>
      </c>
      <c r="G964" t="s">
        <v>1543</v>
      </c>
      <c r="H964" t="s">
        <v>1431</v>
      </c>
      <c r="I964" t="s">
        <v>393</v>
      </c>
      <c r="J964">
        <v>50500</v>
      </c>
      <c r="K964" t="s">
        <v>394</v>
      </c>
      <c r="L964">
        <v>2.8078499999999998E-4</v>
      </c>
      <c r="M964">
        <v>18</v>
      </c>
      <c r="N964" t="s">
        <v>395</v>
      </c>
      <c r="O964">
        <v>14.18</v>
      </c>
    </row>
    <row r="965" spans="1:15" x14ac:dyDescent="0.25">
      <c r="A965" t="s">
        <v>1432</v>
      </c>
      <c r="B965">
        <v>5259</v>
      </c>
      <c r="C965" t="s">
        <v>1429</v>
      </c>
      <c r="D965" s="609">
        <v>45125</v>
      </c>
      <c r="E965">
        <v>3420</v>
      </c>
      <c r="F965">
        <v>7</v>
      </c>
      <c r="G965" t="s">
        <v>1543</v>
      </c>
      <c r="H965" t="s">
        <v>1433</v>
      </c>
      <c r="I965" t="s">
        <v>393</v>
      </c>
      <c r="J965">
        <v>50000</v>
      </c>
      <c r="K965" t="s">
        <v>394</v>
      </c>
      <c r="L965">
        <v>2.8078499999999998E-4</v>
      </c>
      <c r="M965">
        <v>17.82</v>
      </c>
      <c r="N965" t="s">
        <v>395</v>
      </c>
      <c r="O965">
        <v>14.04</v>
      </c>
    </row>
    <row r="966" spans="1:15" x14ac:dyDescent="0.25">
      <c r="A966" t="s">
        <v>1434</v>
      </c>
      <c r="B966">
        <v>5180</v>
      </c>
      <c r="C966" t="s">
        <v>1429</v>
      </c>
      <c r="D966" s="609">
        <v>45125</v>
      </c>
      <c r="E966">
        <v>3420</v>
      </c>
      <c r="F966">
        <v>7</v>
      </c>
      <c r="G966" t="s">
        <v>1543</v>
      </c>
      <c r="H966" t="s">
        <v>1435</v>
      </c>
      <c r="I966" t="s">
        <v>393</v>
      </c>
      <c r="J966">
        <v>50000</v>
      </c>
      <c r="K966" t="s">
        <v>394</v>
      </c>
      <c r="L966">
        <v>2.8078499999999998E-4</v>
      </c>
      <c r="M966">
        <v>17.82</v>
      </c>
      <c r="N966" t="s">
        <v>395</v>
      </c>
      <c r="O966">
        <v>14.04</v>
      </c>
    </row>
    <row r="967" spans="1:15" x14ac:dyDescent="0.25">
      <c r="A967" t="s">
        <v>1439</v>
      </c>
      <c r="B967">
        <v>5194</v>
      </c>
      <c r="C967" t="s">
        <v>1429</v>
      </c>
      <c r="D967" s="609">
        <v>45125</v>
      </c>
      <c r="E967">
        <v>3490</v>
      </c>
      <c r="F967">
        <v>7</v>
      </c>
      <c r="G967" t="s">
        <v>1543</v>
      </c>
      <c r="H967" t="s">
        <v>1440</v>
      </c>
      <c r="I967" t="s">
        <v>393</v>
      </c>
      <c r="J967">
        <v>166400</v>
      </c>
      <c r="K967" t="s">
        <v>394</v>
      </c>
      <c r="L967">
        <v>2.8078499999999998E-4</v>
      </c>
      <c r="M967">
        <v>59.31</v>
      </c>
      <c r="N967" t="s">
        <v>395</v>
      </c>
      <c r="O967">
        <v>46.72</v>
      </c>
    </row>
    <row r="968" spans="1:15" x14ac:dyDescent="0.25">
      <c r="A968" t="s">
        <v>1441</v>
      </c>
      <c r="B968">
        <v>5252</v>
      </c>
      <c r="C968" t="s">
        <v>1429</v>
      </c>
      <c r="D968" s="609">
        <v>45117</v>
      </c>
      <c r="E968">
        <v>3490</v>
      </c>
      <c r="F968">
        <v>7</v>
      </c>
      <c r="G968" t="s">
        <v>1543</v>
      </c>
      <c r="H968" t="s">
        <v>1442</v>
      </c>
      <c r="I968" t="s">
        <v>393</v>
      </c>
      <c r="J968">
        <v>42000</v>
      </c>
      <c r="K968" t="s">
        <v>394</v>
      </c>
      <c r="L968">
        <v>2.8078499999999998E-4</v>
      </c>
      <c r="M968">
        <v>14.97</v>
      </c>
      <c r="N968" t="s">
        <v>395</v>
      </c>
      <c r="O968">
        <v>11.79</v>
      </c>
    </row>
    <row r="969" spans="1:15" x14ac:dyDescent="0.25">
      <c r="A969" t="s">
        <v>1443</v>
      </c>
      <c r="B969">
        <v>5275</v>
      </c>
      <c r="C969" t="s">
        <v>1429</v>
      </c>
      <c r="D969" s="609">
        <v>45124</v>
      </c>
      <c r="E969">
        <v>3460</v>
      </c>
      <c r="F969">
        <v>7</v>
      </c>
      <c r="G969" t="s">
        <v>1543</v>
      </c>
      <c r="H969" t="s">
        <v>1444</v>
      </c>
      <c r="I969" t="s">
        <v>393</v>
      </c>
      <c r="J969">
        <v>80000</v>
      </c>
      <c r="K969" t="s">
        <v>394</v>
      </c>
      <c r="L969">
        <v>2.8078499999999998E-4</v>
      </c>
      <c r="M969">
        <v>28.52</v>
      </c>
      <c r="N969" t="s">
        <v>395</v>
      </c>
      <c r="O969">
        <v>22.46</v>
      </c>
    </row>
    <row r="970" spans="1:15" x14ac:dyDescent="0.25">
      <c r="A970" t="s">
        <v>1445</v>
      </c>
      <c r="B970">
        <v>5277</v>
      </c>
      <c r="C970" t="s">
        <v>1429</v>
      </c>
      <c r="D970" s="609">
        <v>45124</v>
      </c>
      <c r="E970">
        <v>3490</v>
      </c>
      <c r="F970">
        <v>7</v>
      </c>
      <c r="G970" t="s">
        <v>1543</v>
      </c>
      <c r="H970" t="s">
        <v>1442</v>
      </c>
      <c r="I970" t="s">
        <v>393</v>
      </c>
      <c r="J970">
        <v>54000</v>
      </c>
      <c r="K970" t="s">
        <v>394</v>
      </c>
      <c r="L970">
        <v>2.8078499999999998E-4</v>
      </c>
      <c r="M970">
        <v>19.25</v>
      </c>
      <c r="N970" t="s">
        <v>395</v>
      </c>
      <c r="O970">
        <v>15.16</v>
      </c>
    </row>
    <row r="971" spans="1:15" x14ac:dyDescent="0.25">
      <c r="A971" t="s">
        <v>1450</v>
      </c>
      <c r="B971">
        <v>5300</v>
      </c>
      <c r="C971" t="s">
        <v>1429</v>
      </c>
      <c r="D971" s="609">
        <v>45138</v>
      </c>
      <c r="E971">
        <v>3490</v>
      </c>
      <c r="F971">
        <v>7</v>
      </c>
      <c r="G971" t="s">
        <v>1543</v>
      </c>
      <c r="H971" t="s">
        <v>1451</v>
      </c>
      <c r="I971" t="s">
        <v>393</v>
      </c>
      <c r="J971">
        <v>10000</v>
      </c>
      <c r="K971" t="s">
        <v>394</v>
      </c>
      <c r="L971">
        <v>2.8078499999999998E-4</v>
      </c>
      <c r="M971">
        <v>3.56</v>
      </c>
      <c r="N971" t="s">
        <v>395</v>
      </c>
      <c r="O971">
        <v>2.81</v>
      </c>
    </row>
    <row r="972" spans="1:15" x14ac:dyDescent="0.25">
      <c r="A972" t="s">
        <v>1468</v>
      </c>
      <c r="B972">
        <v>5396</v>
      </c>
      <c r="C972" t="s">
        <v>1469</v>
      </c>
      <c r="D972" s="609">
        <v>45160</v>
      </c>
      <c r="E972">
        <v>3175</v>
      </c>
      <c r="F972">
        <v>7</v>
      </c>
      <c r="G972" t="s">
        <v>1543</v>
      </c>
      <c r="H972" t="s">
        <v>1470</v>
      </c>
      <c r="I972" t="s">
        <v>393</v>
      </c>
      <c r="J972">
        <v>2000000</v>
      </c>
      <c r="K972" t="s">
        <v>394</v>
      </c>
      <c r="L972">
        <v>2.7534199999999998E-4</v>
      </c>
      <c r="M972">
        <v>708.62</v>
      </c>
      <c r="N972" t="s">
        <v>395</v>
      </c>
      <c r="O972">
        <v>550.67999999999995</v>
      </c>
    </row>
    <row r="973" spans="1:15" x14ac:dyDescent="0.25">
      <c r="A973" t="s">
        <v>457</v>
      </c>
      <c r="B973">
        <v>5429</v>
      </c>
      <c r="C973" t="s">
        <v>1469</v>
      </c>
      <c r="D973" s="609">
        <v>45169</v>
      </c>
      <c r="E973">
        <v>3600</v>
      </c>
      <c r="F973">
        <v>7</v>
      </c>
      <c r="G973" t="s">
        <v>1543</v>
      </c>
      <c r="H973" t="s">
        <v>1471</v>
      </c>
      <c r="I973" t="s">
        <v>393</v>
      </c>
      <c r="J973">
        <v>60000</v>
      </c>
      <c r="K973" t="s">
        <v>394</v>
      </c>
      <c r="L973">
        <v>2.7534199999999998E-4</v>
      </c>
      <c r="M973">
        <v>21.26</v>
      </c>
      <c r="N973" t="s">
        <v>395</v>
      </c>
      <c r="O973">
        <v>16.52</v>
      </c>
    </row>
    <row r="974" spans="1:15" x14ac:dyDescent="0.25">
      <c r="A974" t="s">
        <v>621</v>
      </c>
      <c r="B974">
        <v>5428</v>
      </c>
      <c r="C974" t="s">
        <v>1469</v>
      </c>
      <c r="D974" s="609">
        <v>45169</v>
      </c>
      <c r="E974">
        <v>3600</v>
      </c>
      <c r="F974">
        <v>7</v>
      </c>
      <c r="G974" t="s">
        <v>1543</v>
      </c>
      <c r="H974" t="s">
        <v>1472</v>
      </c>
      <c r="I974" t="s">
        <v>393</v>
      </c>
      <c r="J974">
        <v>15</v>
      </c>
      <c r="K974" t="s">
        <v>395</v>
      </c>
      <c r="L974">
        <v>0.77712154200000005</v>
      </c>
      <c r="M974">
        <v>15</v>
      </c>
      <c r="N974" t="s">
        <v>395</v>
      </c>
      <c r="O974">
        <v>11.66</v>
      </c>
    </row>
    <row r="975" spans="1:15" x14ac:dyDescent="0.25">
      <c r="A975" t="s">
        <v>1473</v>
      </c>
      <c r="B975">
        <v>5367</v>
      </c>
      <c r="C975" t="s">
        <v>1469</v>
      </c>
      <c r="D975" s="609">
        <v>45148</v>
      </c>
      <c r="E975">
        <v>3420</v>
      </c>
      <c r="F975">
        <v>7</v>
      </c>
      <c r="G975" t="s">
        <v>1543</v>
      </c>
      <c r="H975" t="s">
        <v>1474</v>
      </c>
      <c r="I975" t="s">
        <v>393</v>
      </c>
      <c r="J975">
        <v>147665</v>
      </c>
      <c r="K975" t="s">
        <v>394</v>
      </c>
      <c r="L975">
        <v>2.7534199999999998E-4</v>
      </c>
      <c r="M975">
        <v>52.32</v>
      </c>
      <c r="N975" t="s">
        <v>395</v>
      </c>
      <c r="O975">
        <v>40.659999999999997</v>
      </c>
    </row>
    <row r="976" spans="1:15" x14ac:dyDescent="0.25">
      <c r="A976" t="s">
        <v>1477</v>
      </c>
      <c r="B976">
        <v>5440</v>
      </c>
      <c r="C976" t="s">
        <v>1469</v>
      </c>
      <c r="D976" s="609">
        <v>45144</v>
      </c>
      <c r="E976">
        <v>3490</v>
      </c>
      <c r="F976">
        <v>7</v>
      </c>
      <c r="G976" t="s">
        <v>1543</v>
      </c>
      <c r="H976" t="s">
        <v>1478</v>
      </c>
      <c r="I976" t="s">
        <v>393</v>
      </c>
      <c r="J976">
        <v>14000</v>
      </c>
      <c r="K976" t="s">
        <v>394</v>
      </c>
      <c r="L976">
        <v>2.7534199999999998E-4</v>
      </c>
      <c r="M976">
        <v>4.96</v>
      </c>
      <c r="N976" t="s">
        <v>395</v>
      </c>
      <c r="O976">
        <v>3.85</v>
      </c>
    </row>
    <row r="977" spans="1:15" x14ac:dyDescent="0.25">
      <c r="A977" t="s">
        <v>1479</v>
      </c>
      <c r="B977">
        <v>5441</v>
      </c>
      <c r="C977" t="s">
        <v>1469</v>
      </c>
      <c r="D977" s="609">
        <v>45145</v>
      </c>
      <c r="E977">
        <v>3490</v>
      </c>
      <c r="F977">
        <v>7</v>
      </c>
      <c r="G977" t="s">
        <v>1543</v>
      </c>
      <c r="H977" t="s">
        <v>442</v>
      </c>
      <c r="I977" t="s">
        <v>393</v>
      </c>
      <c r="J977">
        <v>85500</v>
      </c>
      <c r="K977" t="s">
        <v>394</v>
      </c>
      <c r="L977">
        <v>2.7534199999999998E-4</v>
      </c>
      <c r="M977">
        <v>30.29</v>
      </c>
      <c r="N977" t="s">
        <v>395</v>
      </c>
      <c r="O977">
        <v>23.54</v>
      </c>
    </row>
    <row r="978" spans="1:15" x14ac:dyDescent="0.25">
      <c r="A978" t="s">
        <v>1480</v>
      </c>
      <c r="B978">
        <v>5443</v>
      </c>
      <c r="C978" t="s">
        <v>1469</v>
      </c>
      <c r="D978" s="609">
        <v>45149</v>
      </c>
      <c r="E978">
        <v>3490</v>
      </c>
      <c r="F978">
        <v>7</v>
      </c>
      <c r="G978" t="s">
        <v>1543</v>
      </c>
      <c r="H978" t="s">
        <v>1481</v>
      </c>
      <c r="I978" t="s">
        <v>393</v>
      </c>
      <c r="J978">
        <v>10000</v>
      </c>
      <c r="K978" t="s">
        <v>394</v>
      </c>
      <c r="L978">
        <v>2.7534199999999998E-4</v>
      </c>
      <c r="M978">
        <v>3.54</v>
      </c>
      <c r="N978" t="s">
        <v>395</v>
      </c>
      <c r="O978">
        <v>2.75</v>
      </c>
    </row>
    <row r="979" spans="1:15" x14ac:dyDescent="0.25">
      <c r="A979" t="s">
        <v>1482</v>
      </c>
      <c r="B979">
        <v>5446</v>
      </c>
      <c r="C979" t="s">
        <v>1469</v>
      </c>
      <c r="D979" s="609">
        <v>45149</v>
      </c>
      <c r="E979">
        <v>3490</v>
      </c>
      <c r="F979">
        <v>7</v>
      </c>
      <c r="G979" t="s">
        <v>1543</v>
      </c>
      <c r="H979" t="s">
        <v>442</v>
      </c>
      <c r="I979" t="s">
        <v>393</v>
      </c>
      <c r="J979">
        <v>100000</v>
      </c>
      <c r="K979" t="s">
        <v>394</v>
      </c>
      <c r="L979">
        <v>2.7534199999999998E-4</v>
      </c>
      <c r="M979">
        <v>35.43</v>
      </c>
      <c r="N979" t="s">
        <v>395</v>
      </c>
      <c r="O979">
        <v>27.53</v>
      </c>
    </row>
    <row r="980" spans="1:15" x14ac:dyDescent="0.25">
      <c r="A980" t="s">
        <v>1485</v>
      </c>
      <c r="B980">
        <v>5387</v>
      </c>
      <c r="C980" t="s">
        <v>1469</v>
      </c>
      <c r="D980" s="609">
        <v>45147</v>
      </c>
      <c r="E980">
        <v>3420</v>
      </c>
      <c r="F980">
        <v>7</v>
      </c>
      <c r="G980" t="s">
        <v>1543</v>
      </c>
      <c r="H980" t="s">
        <v>1486</v>
      </c>
      <c r="I980" t="s">
        <v>393</v>
      </c>
      <c r="J980">
        <v>1500000</v>
      </c>
      <c r="K980" t="s">
        <v>394</v>
      </c>
      <c r="L980">
        <v>2.7534199999999998E-4</v>
      </c>
      <c r="M980">
        <v>531.47</v>
      </c>
      <c r="N980" t="s">
        <v>395</v>
      </c>
      <c r="O980">
        <v>413.01</v>
      </c>
    </row>
    <row r="981" spans="1:15" x14ac:dyDescent="0.25">
      <c r="A981" t="s">
        <v>1487</v>
      </c>
      <c r="B981">
        <v>5321</v>
      </c>
      <c r="C981" t="s">
        <v>1469</v>
      </c>
      <c r="D981" s="609">
        <v>45161</v>
      </c>
      <c r="E981">
        <v>3400</v>
      </c>
      <c r="F981">
        <v>7</v>
      </c>
      <c r="G981" t="s">
        <v>1543</v>
      </c>
      <c r="H981" t="s">
        <v>1488</v>
      </c>
      <c r="I981" t="s">
        <v>393</v>
      </c>
      <c r="J981">
        <v>2287104</v>
      </c>
      <c r="K981" t="s">
        <v>394</v>
      </c>
      <c r="L981">
        <v>2.7534199999999998E-4</v>
      </c>
      <c r="M981">
        <v>810.34</v>
      </c>
      <c r="N981" t="s">
        <v>395</v>
      </c>
      <c r="O981">
        <v>629.74</v>
      </c>
    </row>
    <row r="982" spans="1:15" x14ac:dyDescent="0.25">
      <c r="A982" t="s">
        <v>621</v>
      </c>
      <c r="B982">
        <v>5544</v>
      </c>
      <c r="C982" t="s">
        <v>1501</v>
      </c>
      <c r="D982" s="609">
        <v>45199</v>
      </c>
      <c r="E982">
        <v>3600</v>
      </c>
      <c r="F982">
        <v>7</v>
      </c>
      <c r="G982" t="s">
        <v>1543</v>
      </c>
      <c r="H982" t="s">
        <v>1502</v>
      </c>
      <c r="I982" t="s">
        <v>393</v>
      </c>
      <c r="J982">
        <v>38.21</v>
      </c>
      <c r="K982" t="s">
        <v>395</v>
      </c>
      <c r="L982">
        <v>0.78926598299999995</v>
      </c>
      <c r="M982">
        <v>38.21</v>
      </c>
      <c r="N982" t="s">
        <v>395</v>
      </c>
      <c r="O982">
        <v>30.16</v>
      </c>
    </row>
    <row r="983" spans="1:15" x14ac:dyDescent="0.25">
      <c r="A983" t="s">
        <v>1503</v>
      </c>
      <c r="B983">
        <v>5522</v>
      </c>
      <c r="C983" t="s">
        <v>1501</v>
      </c>
      <c r="D983" s="609">
        <v>45170</v>
      </c>
      <c r="E983">
        <v>3410</v>
      </c>
      <c r="F983">
        <v>7</v>
      </c>
      <c r="G983" t="s">
        <v>1543</v>
      </c>
      <c r="H983" t="s">
        <v>1504</v>
      </c>
      <c r="I983" t="s">
        <v>393</v>
      </c>
      <c r="J983">
        <v>200000</v>
      </c>
      <c r="K983" t="s">
        <v>394</v>
      </c>
      <c r="L983">
        <v>2.7904399999999999E-4</v>
      </c>
      <c r="M983">
        <v>70.709999999999994</v>
      </c>
      <c r="N983" t="s">
        <v>395</v>
      </c>
      <c r="O983">
        <v>55.81</v>
      </c>
    </row>
    <row r="984" spans="1:15" x14ac:dyDescent="0.25">
      <c r="A984" t="s">
        <v>1505</v>
      </c>
      <c r="B984">
        <v>5554</v>
      </c>
      <c r="C984" t="s">
        <v>1501</v>
      </c>
      <c r="D984" s="609">
        <v>45176</v>
      </c>
      <c r="E984">
        <v>3490</v>
      </c>
      <c r="F984">
        <v>7</v>
      </c>
      <c r="G984" t="s">
        <v>1543</v>
      </c>
      <c r="H984" t="s">
        <v>1506</v>
      </c>
      <c r="I984" t="s">
        <v>393</v>
      </c>
      <c r="J984">
        <v>298000</v>
      </c>
      <c r="K984" t="s">
        <v>394</v>
      </c>
      <c r="L984">
        <v>2.7904399999999999E-4</v>
      </c>
      <c r="M984">
        <v>105.36</v>
      </c>
      <c r="N984" t="s">
        <v>395</v>
      </c>
      <c r="O984">
        <v>83.16</v>
      </c>
    </row>
    <row r="985" spans="1:15" x14ac:dyDescent="0.25">
      <c r="A985" t="s">
        <v>1507</v>
      </c>
      <c r="B985">
        <v>5558</v>
      </c>
      <c r="C985" t="s">
        <v>1501</v>
      </c>
      <c r="D985" s="609">
        <v>45181</v>
      </c>
      <c r="E985">
        <v>3490</v>
      </c>
      <c r="F985">
        <v>7</v>
      </c>
      <c r="G985" t="s">
        <v>1543</v>
      </c>
      <c r="H985" t="s">
        <v>1508</v>
      </c>
      <c r="I985" t="s">
        <v>393</v>
      </c>
      <c r="J985">
        <v>10000</v>
      </c>
      <c r="K985" t="s">
        <v>394</v>
      </c>
      <c r="L985">
        <v>2.7904399999999999E-4</v>
      </c>
      <c r="M985">
        <v>3.54</v>
      </c>
      <c r="N985" t="s">
        <v>395</v>
      </c>
      <c r="O985">
        <v>2.79</v>
      </c>
    </row>
    <row r="986" spans="1:15" x14ac:dyDescent="0.25">
      <c r="A986" t="s">
        <v>1509</v>
      </c>
      <c r="B986">
        <v>5569</v>
      </c>
      <c r="C986" t="s">
        <v>1501</v>
      </c>
      <c r="D986" s="609">
        <v>45192</v>
      </c>
      <c r="E986">
        <v>3420</v>
      </c>
      <c r="F986">
        <v>7</v>
      </c>
      <c r="G986" t="s">
        <v>1543</v>
      </c>
      <c r="H986" t="s">
        <v>1510</v>
      </c>
      <c r="I986" t="s">
        <v>393</v>
      </c>
      <c r="J986">
        <v>50000</v>
      </c>
      <c r="K986" t="s">
        <v>394</v>
      </c>
      <c r="L986">
        <v>2.7904399999999999E-4</v>
      </c>
      <c r="M986">
        <v>17.68</v>
      </c>
      <c r="N986" t="s">
        <v>395</v>
      </c>
      <c r="O986">
        <v>13.95</v>
      </c>
    </row>
    <row r="987" spans="1:15" x14ac:dyDescent="0.25">
      <c r="A987" t="s">
        <v>1511</v>
      </c>
      <c r="B987">
        <v>5568</v>
      </c>
      <c r="C987" t="s">
        <v>1501</v>
      </c>
      <c r="D987" s="609">
        <v>45196</v>
      </c>
      <c r="E987">
        <v>3490</v>
      </c>
      <c r="F987">
        <v>7</v>
      </c>
      <c r="G987" t="s">
        <v>1543</v>
      </c>
      <c r="H987" t="s">
        <v>1512</v>
      </c>
      <c r="I987" t="s">
        <v>393</v>
      </c>
      <c r="J987">
        <v>72000</v>
      </c>
      <c r="K987" t="s">
        <v>394</v>
      </c>
      <c r="L987">
        <v>2.7904399999999999E-4</v>
      </c>
      <c r="M987">
        <v>25.46</v>
      </c>
      <c r="N987" t="s">
        <v>395</v>
      </c>
      <c r="O987">
        <v>20.09</v>
      </c>
    </row>
    <row r="988" spans="1:15" x14ac:dyDescent="0.25">
      <c r="A988" t="s">
        <v>1513</v>
      </c>
      <c r="B988">
        <v>5571</v>
      </c>
      <c r="C988" t="s">
        <v>1501</v>
      </c>
      <c r="D988" s="609">
        <v>45196</v>
      </c>
      <c r="E988">
        <v>3490</v>
      </c>
      <c r="F988">
        <v>7</v>
      </c>
      <c r="G988" t="s">
        <v>1543</v>
      </c>
      <c r="H988" t="s">
        <v>1514</v>
      </c>
      <c r="I988" t="s">
        <v>393</v>
      </c>
      <c r="J988">
        <v>30000</v>
      </c>
      <c r="K988" t="s">
        <v>394</v>
      </c>
      <c r="L988">
        <v>2.7904399999999999E-4</v>
      </c>
      <c r="M988">
        <v>10.61</v>
      </c>
      <c r="N988" t="s">
        <v>395</v>
      </c>
      <c r="O988">
        <v>8.3699999999999992</v>
      </c>
    </row>
    <row r="989" spans="1:15" x14ac:dyDescent="0.25">
      <c r="A989" t="s">
        <v>1515</v>
      </c>
      <c r="B989">
        <v>5573</v>
      </c>
      <c r="C989" t="s">
        <v>1501</v>
      </c>
      <c r="D989" s="609">
        <v>45197</v>
      </c>
      <c r="E989">
        <v>3490</v>
      </c>
      <c r="F989">
        <v>7</v>
      </c>
      <c r="G989" t="s">
        <v>1543</v>
      </c>
      <c r="H989" t="s">
        <v>1478</v>
      </c>
      <c r="I989" t="s">
        <v>393</v>
      </c>
      <c r="J989">
        <v>105000</v>
      </c>
      <c r="K989" t="s">
        <v>394</v>
      </c>
      <c r="L989">
        <v>2.7904399999999999E-4</v>
      </c>
      <c r="M989">
        <v>37.119999999999997</v>
      </c>
      <c r="N989" t="s">
        <v>395</v>
      </c>
      <c r="O989">
        <v>29.3</v>
      </c>
    </row>
    <row r="990" spans="1:15" x14ac:dyDescent="0.25">
      <c r="A990" t="s">
        <v>1516</v>
      </c>
      <c r="B990">
        <v>5491</v>
      </c>
      <c r="C990" t="s">
        <v>1501</v>
      </c>
      <c r="D990" s="609">
        <v>45175</v>
      </c>
      <c r="E990">
        <v>3420</v>
      </c>
      <c r="F990">
        <v>7</v>
      </c>
      <c r="G990" t="s">
        <v>1543</v>
      </c>
      <c r="H990" t="s">
        <v>1517</v>
      </c>
      <c r="I990" t="s">
        <v>393</v>
      </c>
      <c r="J990">
        <v>61566</v>
      </c>
      <c r="K990" t="s">
        <v>394</v>
      </c>
      <c r="L990">
        <v>2.7904399999999999E-4</v>
      </c>
      <c r="M990">
        <v>21.77</v>
      </c>
      <c r="N990" t="s">
        <v>395</v>
      </c>
      <c r="O990">
        <v>17.18</v>
      </c>
    </row>
    <row r="991" spans="1:15" x14ac:dyDescent="0.25">
      <c r="A991" t="s">
        <v>1520</v>
      </c>
      <c r="B991">
        <v>5476</v>
      </c>
      <c r="C991" t="s">
        <v>1501</v>
      </c>
      <c r="D991" s="609">
        <v>45170</v>
      </c>
      <c r="E991">
        <v>3400</v>
      </c>
      <c r="F991">
        <v>7</v>
      </c>
      <c r="G991" t="s">
        <v>1543</v>
      </c>
      <c r="H991" t="s">
        <v>1521</v>
      </c>
      <c r="I991" t="s">
        <v>393</v>
      </c>
      <c r="J991">
        <v>2000000</v>
      </c>
      <c r="K991" t="s">
        <v>394</v>
      </c>
      <c r="L991">
        <v>2.7904399999999999E-4</v>
      </c>
      <c r="M991">
        <v>707.1</v>
      </c>
      <c r="N991" t="s">
        <v>395</v>
      </c>
      <c r="O991">
        <v>558.09</v>
      </c>
    </row>
    <row r="992" spans="1:15" x14ac:dyDescent="0.25">
      <c r="A992" t="s">
        <v>1527</v>
      </c>
      <c r="B992">
        <v>5538</v>
      </c>
      <c r="C992" t="s">
        <v>1501</v>
      </c>
      <c r="D992" s="609">
        <v>45199</v>
      </c>
      <c r="E992">
        <v>3600</v>
      </c>
      <c r="F992">
        <v>7</v>
      </c>
      <c r="G992" t="s">
        <v>1543</v>
      </c>
      <c r="H992" t="s">
        <v>1528</v>
      </c>
      <c r="I992" t="s">
        <v>393</v>
      </c>
      <c r="J992">
        <v>30000</v>
      </c>
      <c r="K992" t="s">
        <v>394</v>
      </c>
      <c r="L992">
        <v>2.7904399999999999E-4</v>
      </c>
      <c r="M992">
        <v>10.61</v>
      </c>
      <c r="N992" t="s">
        <v>395</v>
      </c>
      <c r="O992">
        <v>8.3699999999999992</v>
      </c>
    </row>
    <row r="993" spans="1:15" x14ac:dyDescent="0.25">
      <c r="A993" t="s">
        <v>1446</v>
      </c>
      <c r="B993">
        <v>5281</v>
      </c>
      <c r="C993" t="s">
        <v>1429</v>
      </c>
      <c r="D993" s="609">
        <v>45127</v>
      </c>
      <c r="E993">
        <v>3490</v>
      </c>
      <c r="F993">
        <v>7</v>
      </c>
      <c r="G993" t="s">
        <v>1535</v>
      </c>
      <c r="H993" t="s">
        <v>1447</v>
      </c>
      <c r="I993" t="s">
        <v>393</v>
      </c>
      <c r="J993">
        <v>2500</v>
      </c>
      <c r="K993" t="s">
        <v>394</v>
      </c>
      <c r="L993">
        <v>2.8078499999999998E-4</v>
      </c>
      <c r="M993">
        <v>0.89</v>
      </c>
      <c r="N993" t="s">
        <v>395</v>
      </c>
      <c r="O993">
        <v>0.7</v>
      </c>
    </row>
    <row r="994" spans="1:15" x14ac:dyDescent="0.25">
      <c r="A994" t="s">
        <v>1460</v>
      </c>
      <c r="B994">
        <v>5223</v>
      </c>
      <c r="C994" t="s">
        <v>1429</v>
      </c>
      <c r="D994" s="609">
        <v>45127</v>
      </c>
      <c r="E994">
        <v>3570</v>
      </c>
      <c r="F994">
        <v>7</v>
      </c>
      <c r="G994" t="s">
        <v>1535</v>
      </c>
      <c r="H994" t="s">
        <v>1461</v>
      </c>
      <c r="I994" t="s">
        <v>393</v>
      </c>
      <c r="J994">
        <v>1088000</v>
      </c>
      <c r="K994" t="s">
        <v>394</v>
      </c>
      <c r="L994">
        <v>2.8078499999999998E-4</v>
      </c>
      <c r="M994">
        <v>387.83</v>
      </c>
      <c r="N994" t="s">
        <v>395</v>
      </c>
      <c r="O994">
        <v>305.49</v>
      </c>
    </row>
    <row r="995" spans="1:15" x14ac:dyDescent="0.25">
      <c r="A995" t="s">
        <v>1462</v>
      </c>
      <c r="B995">
        <v>5186</v>
      </c>
      <c r="C995" t="s">
        <v>1429</v>
      </c>
      <c r="D995" s="609">
        <v>45124</v>
      </c>
      <c r="E995">
        <v>3570</v>
      </c>
      <c r="F995">
        <v>7</v>
      </c>
      <c r="G995" t="s">
        <v>1535</v>
      </c>
      <c r="H995" t="s">
        <v>1463</v>
      </c>
      <c r="I995" t="s">
        <v>393</v>
      </c>
      <c r="J995">
        <v>784000</v>
      </c>
      <c r="K995" t="s">
        <v>394</v>
      </c>
      <c r="L995">
        <v>2.8078499999999998E-4</v>
      </c>
      <c r="M995">
        <v>279.45999999999998</v>
      </c>
      <c r="N995" t="s">
        <v>395</v>
      </c>
      <c r="O995">
        <v>220.14</v>
      </c>
    </row>
    <row r="996" spans="1:15" x14ac:dyDescent="0.25">
      <c r="A996" t="s">
        <v>1464</v>
      </c>
      <c r="B996">
        <v>5148</v>
      </c>
      <c r="C996" t="s">
        <v>1429</v>
      </c>
      <c r="D996" s="609">
        <v>45127</v>
      </c>
      <c r="E996">
        <v>3570</v>
      </c>
      <c r="F996">
        <v>7</v>
      </c>
      <c r="G996" t="s">
        <v>1535</v>
      </c>
      <c r="H996" t="s">
        <v>1465</v>
      </c>
      <c r="I996" t="s">
        <v>393</v>
      </c>
      <c r="J996">
        <v>1088000</v>
      </c>
      <c r="K996" t="s">
        <v>394</v>
      </c>
      <c r="L996">
        <v>2.8078499999999998E-4</v>
      </c>
      <c r="M996">
        <v>387.83</v>
      </c>
      <c r="N996" t="s">
        <v>395</v>
      </c>
      <c r="O996">
        <v>305.49</v>
      </c>
    </row>
    <row r="997" spans="1:15" x14ac:dyDescent="0.25">
      <c r="A997" t="s">
        <v>1466</v>
      </c>
      <c r="B997">
        <v>5185</v>
      </c>
      <c r="C997" t="s">
        <v>1429</v>
      </c>
      <c r="D997" s="609">
        <v>45135</v>
      </c>
      <c r="E997">
        <v>3570</v>
      </c>
      <c r="F997">
        <v>7</v>
      </c>
      <c r="G997" t="s">
        <v>1535</v>
      </c>
      <c r="H997" t="s">
        <v>1467</v>
      </c>
      <c r="I997" t="s">
        <v>393</v>
      </c>
      <c r="J997">
        <v>8350000</v>
      </c>
      <c r="K997" t="s">
        <v>394</v>
      </c>
      <c r="L997">
        <v>2.8078499999999998E-4</v>
      </c>
      <c r="M997">
        <v>2976.42</v>
      </c>
      <c r="N997" t="s">
        <v>395</v>
      </c>
      <c r="O997">
        <v>2344.5500000000002</v>
      </c>
    </row>
    <row r="998" spans="1:15" x14ac:dyDescent="0.25">
      <c r="A998" t="s">
        <v>1492</v>
      </c>
      <c r="B998">
        <v>5386</v>
      </c>
      <c r="C998" t="s">
        <v>1469</v>
      </c>
      <c r="D998" s="609">
        <v>45168</v>
      </c>
      <c r="E998">
        <v>3570</v>
      </c>
      <c r="F998">
        <v>7</v>
      </c>
      <c r="G998" t="s">
        <v>1535</v>
      </c>
      <c r="H998" t="s">
        <v>1493</v>
      </c>
      <c r="I998" t="s">
        <v>393</v>
      </c>
      <c r="J998">
        <v>4590400</v>
      </c>
      <c r="K998" t="s">
        <v>394</v>
      </c>
      <c r="L998">
        <v>2.7534199999999998E-4</v>
      </c>
      <c r="M998">
        <v>1626.42</v>
      </c>
      <c r="N998" t="s">
        <v>395</v>
      </c>
      <c r="O998">
        <v>1263.93</v>
      </c>
    </row>
    <row r="999" spans="1:15" x14ac:dyDescent="0.25">
      <c r="A999" t="s">
        <v>1494</v>
      </c>
      <c r="B999">
        <v>5337</v>
      </c>
      <c r="C999" t="s">
        <v>1469</v>
      </c>
      <c r="D999" s="609">
        <v>45141</v>
      </c>
      <c r="E999">
        <v>3570</v>
      </c>
      <c r="F999">
        <v>7</v>
      </c>
      <c r="G999" t="s">
        <v>1535</v>
      </c>
      <c r="H999" t="s">
        <v>1495</v>
      </c>
      <c r="I999" t="s">
        <v>393</v>
      </c>
      <c r="J999">
        <v>360000</v>
      </c>
      <c r="K999" t="s">
        <v>394</v>
      </c>
      <c r="L999">
        <v>2.7534199999999998E-4</v>
      </c>
      <c r="M999">
        <v>127.55</v>
      </c>
      <c r="N999" t="s">
        <v>395</v>
      </c>
      <c r="O999">
        <v>99.12</v>
      </c>
    </row>
    <row r="1000" spans="1:15" x14ac:dyDescent="0.25">
      <c r="A1000" t="s">
        <v>1496</v>
      </c>
      <c r="B1000">
        <v>5338</v>
      </c>
      <c r="C1000" t="s">
        <v>1469</v>
      </c>
      <c r="D1000" s="609">
        <v>45142</v>
      </c>
      <c r="E1000">
        <v>3570</v>
      </c>
      <c r="F1000">
        <v>7</v>
      </c>
      <c r="G1000" t="s">
        <v>1535</v>
      </c>
      <c r="H1000" t="s">
        <v>1495</v>
      </c>
      <c r="I1000" t="s">
        <v>393</v>
      </c>
      <c r="J1000">
        <v>540000</v>
      </c>
      <c r="K1000" t="s">
        <v>394</v>
      </c>
      <c r="L1000">
        <v>2.7534199999999998E-4</v>
      </c>
      <c r="M1000">
        <v>191.33</v>
      </c>
      <c r="N1000" t="s">
        <v>395</v>
      </c>
      <c r="O1000">
        <v>148.68</v>
      </c>
    </row>
    <row r="1001" spans="1:15" x14ac:dyDescent="0.25">
      <c r="A1001" t="s">
        <v>499</v>
      </c>
      <c r="B1001">
        <v>4492</v>
      </c>
      <c r="C1001" t="s">
        <v>402</v>
      </c>
      <c r="D1001" s="609">
        <v>45009</v>
      </c>
      <c r="E1001">
        <v>3570</v>
      </c>
      <c r="F1001">
        <v>7</v>
      </c>
      <c r="G1001" t="s">
        <v>1423</v>
      </c>
      <c r="H1001" t="s">
        <v>500</v>
      </c>
      <c r="I1001" t="s">
        <v>393</v>
      </c>
      <c r="J1001">
        <v>100000</v>
      </c>
      <c r="K1001" t="s">
        <v>394</v>
      </c>
      <c r="L1001">
        <v>0</v>
      </c>
      <c r="M1001">
        <v>48.8</v>
      </c>
      <c r="N1001" t="s">
        <v>395</v>
      </c>
      <c r="O1001">
        <v>40.44</v>
      </c>
    </row>
    <row r="1002" spans="1:15" x14ac:dyDescent="0.25">
      <c r="A1002" t="s">
        <v>501</v>
      </c>
      <c r="B1002">
        <v>4533</v>
      </c>
      <c r="C1002" t="s">
        <v>402</v>
      </c>
      <c r="D1002" s="609">
        <v>45002</v>
      </c>
      <c r="E1002">
        <v>3570</v>
      </c>
      <c r="F1002">
        <v>7</v>
      </c>
      <c r="G1002" t="s">
        <v>1423</v>
      </c>
      <c r="H1002" t="s">
        <v>502</v>
      </c>
      <c r="I1002" t="s">
        <v>393</v>
      </c>
      <c r="J1002">
        <v>534000</v>
      </c>
      <c r="K1002" t="s">
        <v>394</v>
      </c>
      <c r="L1002">
        <v>0</v>
      </c>
      <c r="M1002">
        <v>260.58</v>
      </c>
      <c r="N1002" t="s">
        <v>395</v>
      </c>
      <c r="O1002">
        <v>215.93</v>
      </c>
    </row>
    <row r="1003" spans="1:15" x14ac:dyDescent="0.25">
      <c r="A1003" t="s">
        <v>503</v>
      </c>
      <c r="B1003">
        <v>4580</v>
      </c>
      <c r="C1003" t="s">
        <v>402</v>
      </c>
      <c r="D1003" s="609">
        <v>45016</v>
      </c>
      <c r="E1003">
        <v>3570</v>
      </c>
      <c r="F1003">
        <v>7</v>
      </c>
      <c r="G1003" t="s">
        <v>1423</v>
      </c>
      <c r="H1003" t="s">
        <v>504</v>
      </c>
      <c r="I1003" t="s">
        <v>393</v>
      </c>
      <c r="J1003">
        <v>3784000</v>
      </c>
      <c r="K1003" t="s">
        <v>394</v>
      </c>
      <c r="L1003">
        <v>0</v>
      </c>
      <c r="M1003">
        <v>1846.5</v>
      </c>
      <c r="N1003" t="s">
        <v>395</v>
      </c>
      <c r="O1003">
        <v>1530.08</v>
      </c>
    </row>
    <row r="1004" spans="1:15" x14ac:dyDescent="0.25">
      <c r="A1004" t="s">
        <v>505</v>
      </c>
      <c r="B1004">
        <v>4776</v>
      </c>
      <c r="C1004" t="s">
        <v>441</v>
      </c>
      <c r="D1004" s="609">
        <v>45033</v>
      </c>
      <c r="E1004">
        <v>3570</v>
      </c>
      <c r="F1004">
        <v>7</v>
      </c>
      <c r="G1004" t="s">
        <v>1423</v>
      </c>
      <c r="H1004" t="s">
        <v>506</v>
      </c>
      <c r="I1004" t="s">
        <v>393</v>
      </c>
      <c r="J1004">
        <v>2029500</v>
      </c>
      <c r="K1004" t="s">
        <v>394</v>
      </c>
      <c r="L1004">
        <v>0</v>
      </c>
      <c r="M1004">
        <v>984.24</v>
      </c>
      <c r="N1004" t="s">
        <v>395</v>
      </c>
      <c r="O1004">
        <v>798.45</v>
      </c>
    </row>
    <row r="1005" spans="1:15" x14ac:dyDescent="0.25">
      <c r="A1005" t="s">
        <v>514</v>
      </c>
      <c r="B1005">
        <v>4836</v>
      </c>
      <c r="C1005" t="s">
        <v>458</v>
      </c>
      <c r="D1005" s="609">
        <v>45056</v>
      </c>
      <c r="E1005">
        <v>3570</v>
      </c>
      <c r="F1005">
        <v>7</v>
      </c>
      <c r="G1005" t="s">
        <v>1423</v>
      </c>
      <c r="H1005" t="s">
        <v>515</v>
      </c>
      <c r="I1005" t="s">
        <v>393</v>
      </c>
      <c r="J1005">
        <v>35000</v>
      </c>
      <c r="K1005" t="s">
        <v>394</v>
      </c>
      <c r="L1005">
        <v>0</v>
      </c>
      <c r="M1005">
        <v>17.04</v>
      </c>
      <c r="N1005" t="s">
        <v>395</v>
      </c>
      <c r="O1005">
        <v>13.6</v>
      </c>
    </row>
    <row r="1006" spans="1:15" x14ac:dyDescent="0.25">
      <c r="A1006" t="s">
        <v>516</v>
      </c>
      <c r="B1006">
        <v>4844</v>
      </c>
      <c r="C1006" t="s">
        <v>458</v>
      </c>
      <c r="D1006" s="609">
        <v>45062</v>
      </c>
      <c r="E1006">
        <v>3570</v>
      </c>
      <c r="F1006">
        <v>7</v>
      </c>
      <c r="G1006" t="s">
        <v>1423</v>
      </c>
      <c r="H1006" t="s">
        <v>517</v>
      </c>
      <c r="I1006" t="s">
        <v>393</v>
      </c>
      <c r="J1006">
        <v>90000</v>
      </c>
      <c r="K1006" t="s">
        <v>394</v>
      </c>
      <c r="L1006">
        <v>0</v>
      </c>
      <c r="M1006">
        <v>43.81</v>
      </c>
      <c r="N1006" t="s">
        <v>395</v>
      </c>
      <c r="O1006">
        <v>34.979999999999997</v>
      </c>
    </row>
    <row r="1007" spans="1:15" x14ac:dyDescent="0.25">
      <c r="A1007" t="s">
        <v>518</v>
      </c>
      <c r="B1007">
        <v>4886</v>
      </c>
      <c r="C1007" t="s">
        <v>458</v>
      </c>
      <c r="D1007" s="609">
        <v>45054</v>
      </c>
      <c r="E1007">
        <v>3570</v>
      </c>
      <c r="F1007">
        <v>7</v>
      </c>
      <c r="G1007" t="s">
        <v>1423</v>
      </c>
      <c r="H1007" t="s">
        <v>519</v>
      </c>
      <c r="I1007" t="s">
        <v>393</v>
      </c>
      <c r="J1007">
        <v>5097000</v>
      </c>
      <c r="K1007" t="s">
        <v>394</v>
      </c>
      <c r="L1007">
        <v>0</v>
      </c>
      <c r="M1007">
        <v>2481.12</v>
      </c>
      <c r="N1007" t="s">
        <v>395</v>
      </c>
      <c r="O1007">
        <v>1981.25</v>
      </c>
    </row>
    <row r="1008" spans="1:15" x14ac:dyDescent="0.25">
      <c r="A1008" t="s">
        <v>522</v>
      </c>
      <c r="B1008">
        <v>4802</v>
      </c>
      <c r="C1008" t="s">
        <v>458</v>
      </c>
      <c r="D1008" s="609">
        <v>45051</v>
      </c>
      <c r="E1008">
        <v>3570</v>
      </c>
      <c r="F1008">
        <v>7</v>
      </c>
      <c r="G1008" t="s">
        <v>1423</v>
      </c>
      <c r="H1008" t="s">
        <v>523</v>
      </c>
      <c r="I1008" t="s">
        <v>393</v>
      </c>
      <c r="J1008">
        <v>90000</v>
      </c>
      <c r="K1008" t="s">
        <v>394</v>
      </c>
      <c r="L1008">
        <v>0</v>
      </c>
      <c r="M1008">
        <v>43.81</v>
      </c>
      <c r="N1008" t="s">
        <v>395</v>
      </c>
      <c r="O1008">
        <v>34.979999999999997</v>
      </c>
    </row>
    <row r="1009" spans="1:15" x14ac:dyDescent="0.25">
      <c r="A1009" t="s">
        <v>524</v>
      </c>
      <c r="B1009">
        <v>4815</v>
      </c>
      <c r="C1009" t="s">
        <v>458</v>
      </c>
      <c r="D1009" s="609">
        <v>45069</v>
      </c>
      <c r="E1009">
        <v>3570</v>
      </c>
      <c r="F1009">
        <v>7</v>
      </c>
      <c r="G1009" t="s">
        <v>1423</v>
      </c>
      <c r="H1009" t="s">
        <v>525</v>
      </c>
      <c r="I1009" t="s">
        <v>393</v>
      </c>
      <c r="J1009">
        <v>1556500</v>
      </c>
      <c r="K1009" t="s">
        <v>394</v>
      </c>
      <c r="L1009">
        <v>0</v>
      </c>
      <c r="M1009">
        <v>757.67</v>
      </c>
      <c r="N1009" t="s">
        <v>395</v>
      </c>
      <c r="O1009">
        <v>605.03</v>
      </c>
    </row>
    <row r="1010" spans="1:15" x14ac:dyDescent="0.25">
      <c r="A1010" t="s">
        <v>526</v>
      </c>
      <c r="B1010">
        <v>4825</v>
      </c>
      <c r="C1010" t="s">
        <v>458</v>
      </c>
      <c r="D1010" s="609">
        <v>45071</v>
      </c>
      <c r="E1010">
        <v>3570</v>
      </c>
      <c r="F1010">
        <v>7</v>
      </c>
      <c r="G1010" t="s">
        <v>1423</v>
      </c>
      <c r="H1010" t="s">
        <v>527</v>
      </c>
      <c r="I1010" t="s">
        <v>393</v>
      </c>
      <c r="J1010">
        <v>1095000</v>
      </c>
      <c r="K1010" t="s">
        <v>394</v>
      </c>
      <c r="L1010">
        <v>0</v>
      </c>
      <c r="M1010">
        <v>533.02</v>
      </c>
      <c r="N1010" t="s">
        <v>395</v>
      </c>
      <c r="O1010">
        <v>425.64</v>
      </c>
    </row>
    <row r="1011" spans="1:15" x14ac:dyDescent="0.25">
      <c r="A1011" t="s">
        <v>1531</v>
      </c>
      <c r="B1011">
        <v>5547</v>
      </c>
      <c r="C1011" t="s">
        <v>1501</v>
      </c>
      <c r="D1011" s="609">
        <v>45173</v>
      </c>
      <c r="E1011">
        <v>3570</v>
      </c>
      <c r="F1011">
        <v>7</v>
      </c>
      <c r="G1011" t="s">
        <v>1423</v>
      </c>
      <c r="H1011" t="s">
        <v>1532</v>
      </c>
      <c r="I1011" t="s">
        <v>393</v>
      </c>
      <c r="J1011">
        <v>1920000</v>
      </c>
      <c r="K1011" t="s">
        <v>394</v>
      </c>
      <c r="L1011">
        <v>2.7904399999999999E-4</v>
      </c>
      <c r="M1011">
        <v>678.81</v>
      </c>
      <c r="N1011" t="s">
        <v>395</v>
      </c>
      <c r="O1011">
        <v>535.76</v>
      </c>
    </row>
    <row r="1012" spans="1:15" x14ac:dyDescent="0.25">
      <c r="A1012" t="s">
        <v>1533</v>
      </c>
      <c r="B1012">
        <v>5546</v>
      </c>
      <c r="C1012" t="s">
        <v>1501</v>
      </c>
      <c r="D1012" s="609">
        <v>45183</v>
      </c>
      <c r="E1012">
        <v>3570</v>
      </c>
      <c r="F1012">
        <v>7</v>
      </c>
      <c r="G1012" t="s">
        <v>1423</v>
      </c>
      <c r="H1012" t="s">
        <v>1534</v>
      </c>
      <c r="I1012" t="s">
        <v>393</v>
      </c>
      <c r="J1012">
        <v>444000</v>
      </c>
      <c r="K1012" t="s">
        <v>394</v>
      </c>
      <c r="L1012">
        <v>2.7904399999999999E-4</v>
      </c>
      <c r="M1012">
        <v>156.97999999999999</v>
      </c>
      <c r="N1012" t="s">
        <v>395</v>
      </c>
      <c r="O1012">
        <v>123.9</v>
      </c>
    </row>
  </sheetData>
  <pageMargins left="0.7" right="0.7" top="0.75" bottom="0.75" header="0.3" footer="0.3"/>
  <customProperties>
    <customPr name="QAA_DRILLPATH_NODE_ID" r:id="rId1"/>
  </customPropertie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1466E-8343-445F-8C1F-C161750697C9}">
  <sheetPr codeName="Sheet8"/>
  <dimension ref="A3:D21"/>
  <sheetViews>
    <sheetView workbookViewId="0">
      <selection activeCell="C23" sqref="C23"/>
    </sheetView>
  </sheetViews>
  <sheetFormatPr baseColWidth="10" defaultColWidth="9.140625" defaultRowHeight="15" x14ac:dyDescent="0.25"/>
  <cols>
    <col min="1" max="1" width="17.140625" customWidth="1"/>
    <col min="2" max="2" width="29.7109375" bestFit="1" customWidth="1"/>
    <col min="3" max="3" width="19.28515625" customWidth="1"/>
    <col min="4" max="4" width="16" customWidth="1"/>
  </cols>
  <sheetData>
    <row r="3" spans="1:4" x14ac:dyDescent="0.25">
      <c r="A3" s="603" t="s">
        <v>1544</v>
      </c>
      <c r="B3" s="266" t="s">
        <v>1546</v>
      </c>
      <c r="C3" s="265" t="s">
        <v>1772</v>
      </c>
      <c r="D3" s="265" t="s">
        <v>1771</v>
      </c>
    </row>
    <row r="4" spans="1:4" x14ac:dyDescent="0.25">
      <c r="A4" s="604">
        <v>1</v>
      </c>
      <c r="B4" s="605">
        <v>56381.43</v>
      </c>
      <c r="C4" s="266"/>
      <c r="D4" s="266"/>
    </row>
    <row r="5" spans="1:4" x14ac:dyDescent="0.25">
      <c r="A5" s="604">
        <v>2</v>
      </c>
      <c r="B5" s="605">
        <v>34.74</v>
      </c>
      <c r="C5" s="266"/>
      <c r="D5" s="266"/>
    </row>
    <row r="6" spans="1:4" x14ac:dyDescent="0.25">
      <c r="A6" s="604">
        <v>3</v>
      </c>
      <c r="B6" s="605">
        <v>2823.96</v>
      </c>
      <c r="C6" s="266"/>
      <c r="D6" s="266"/>
    </row>
    <row r="7" spans="1:4" x14ac:dyDescent="0.25">
      <c r="A7" s="604">
        <v>4</v>
      </c>
      <c r="B7" s="605">
        <v>13875.01</v>
      </c>
      <c r="C7" s="266"/>
      <c r="D7" s="266"/>
    </row>
    <row r="8" spans="1:4" x14ac:dyDescent="0.25">
      <c r="A8" s="604">
        <v>5</v>
      </c>
      <c r="B8" s="605">
        <v>1968.5500000000002</v>
      </c>
      <c r="C8" s="266"/>
      <c r="D8" s="266"/>
    </row>
    <row r="9" spans="1:4" x14ac:dyDescent="0.25">
      <c r="A9" s="604">
        <v>6</v>
      </c>
      <c r="B9" s="605">
        <v>143873.59313745468</v>
      </c>
      <c r="C9" s="266"/>
      <c r="D9" s="266"/>
    </row>
    <row r="10" spans="1:4" x14ac:dyDescent="0.25">
      <c r="A10" s="604">
        <v>7</v>
      </c>
      <c r="B10" s="605">
        <v>31413.25</v>
      </c>
      <c r="C10" s="266"/>
      <c r="D10" s="266"/>
    </row>
    <row r="11" spans="1:4" x14ac:dyDescent="0.25">
      <c r="A11" s="604" t="s">
        <v>1545</v>
      </c>
      <c r="B11" s="605">
        <v>250370.53313745468</v>
      </c>
      <c r="C11" s="266"/>
      <c r="D11" s="266"/>
    </row>
    <row r="12" spans="1:4" x14ac:dyDescent="0.25">
      <c r="A12" s="266" t="s">
        <v>366</v>
      </c>
      <c r="B12" s="606">
        <f>GETPIVOTDATA("Reporting /Amount in USD",$A$3)*0.07</f>
        <v>17525.937319621829</v>
      </c>
      <c r="C12" s="266"/>
      <c r="D12" s="266"/>
    </row>
    <row r="13" spans="1:4" s="264" customFormat="1" x14ac:dyDescent="0.25">
      <c r="A13" s="265" t="s">
        <v>1</v>
      </c>
      <c r="B13" s="632">
        <f>GETPIVOTDATA("Reporting /Amount in USD",$A$3)+B12</f>
        <v>267896.4704570765</v>
      </c>
      <c r="C13" s="633">
        <f>B13/'5) For MPTF Use'!C22</f>
        <v>0.4028517422527878</v>
      </c>
      <c r="D13" s="633">
        <f>GETPIVOTDATA("Reporting /Amount in USD",$A$3,"UNPBF Category code",6)/262004.88</f>
        <v>0.54912562368095841</v>
      </c>
    </row>
    <row r="18" spans="1:3" x14ac:dyDescent="0.25">
      <c r="A18" t="s">
        <v>1773</v>
      </c>
      <c r="B18" s="269">
        <f>262004.88</f>
        <v>262004.88</v>
      </c>
      <c r="C18" s="264" t="s">
        <v>1774</v>
      </c>
    </row>
    <row r="19" spans="1:3" x14ac:dyDescent="0.25">
      <c r="A19" t="s">
        <v>1</v>
      </c>
      <c r="B19" s="269">
        <f>GETPIVOTDATA("Reporting /Amount in USD",$A$3)+B18-GETPIVOTDATA("Reporting /Amount in USD",$A$3,"UNPBF Category code",6)</f>
        <v>368501.81999999995</v>
      </c>
    </row>
    <row r="20" spans="1:3" x14ac:dyDescent="0.25">
      <c r="A20" t="s">
        <v>366</v>
      </c>
      <c r="B20" s="269">
        <f>B19*0.07</f>
        <v>25795.127399999998</v>
      </c>
    </row>
    <row r="21" spans="1:3" x14ac:dyDescent="0.25">
      <c r="A21" s="264" t="s">
        <v>1</v>
      </c>
      <c r="B21" s="273">
        <f>B19+B20</f>
        <v>394296.94739999995</v>
      </c>
      <c r="C21" s="631">
        <f>B21/'5) For MPTF Use'!C25</f>
        <v>0.20752466123913985</v>
      </c>
    </row>
  </sheetData>
  <pageMargins left="0.7" right="0.7" top="0.75" bottom="0.75" header="0.3" footer="0.3"/>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F1579-CE0A-451E-B9D8-01D2CF6419BD}">
  <sheetPr codeName="Sheet9"/>
  <dimension ref="A1:W1215"/>
  <sheetViews>
    <sheetView workbookViewId="0">
      <selection activeCell="H1" sqref="H1"/>
    </sheetView>
  </sheetViews>
  <sheetFormatPr baseColWidth="10" defaultColWidth="8.7109375" defaultRowHeight="15" x14ac:dyDescent="0.25"/>
  <cols>
    <col min="1" max="1" width="40.28515625" style="353" bestFit="1" customWidth="1"/>
    <col min="2" max="2" width="8.7109375" style="353"/>
    <col min="3" max="3" width="12" style="353" customWidth="1"/>
    <col min="4" max="4" width="16" style="353" customWidth="1"/>
    <col min="5" max="5" width="9.85546875" style="353" customWidth="1"/>
    <col min="6" max="6" width="12.42578125" style="353" customWidth="1"/>
    <col min="7" max="7" width="11.5703125" style="353" customWidth="1"/>
    <col min="8" max="8" width="51.28515625" style="353" customWidth="1"/>
    <col min="9" max="9" width="11.28515625" style="353" customWidth="1"/>
    <col min="10" max="10" width="14.7109375" style="353" customWidth="1"/>
    <col min="11" max="11" width="16" style="353" customWidth="1"/>
    <col min="12" max="12" width="13.7109375" style="353" customWidth="1"/>
    <col min="13" max="13" width="15.5703125" style="353" customWidth="1"/>
    <col min="14" max="15" width="13.42578125" style="353" customWidth="1"/>
    <col min="16" max="16" width="9.7109375" style="353" customWidth="1"/>
    <col min="17" max="17" width="15.28515625" style="353" bestFit="1" customWidth="1"/>
    <col min="18" max="18" width="13.7109375" style="353" customWidth="1"/>
    <col min="19" max="19" width="15" style="353" customWidth="1"/>
    <col min="20" max="20" width="13.5703125" style="353" customWidth="1"/>
    <col min="21" max="22" width="9.42578125" style="353" bestFit="1" customWidth="1"/>
    <col min="23" max="16384" width="8.7109375" style="353"/>
  </cols>
  <sheetData>
    <row r="1" spans="1:23" s="415" customFormat="1" ht="51" x14ac:dyDescent="0.25">
      <c r="A1" s="585" t="s">
        <v>375</v>
      </c>
      <c r="B1" s="583" t="s">
        <v>376</v>
      </c>
      <c r="C1" s="583" t="s">
        <v>377</v>
      </c>
      <c r="D1" s="583" t="s">
        <v>378</v>
      </c>
      <c r="E1" s="584" t="s">
        <v>379</v>
      </c>
      <c r="F1" s="584" t="s">
        <v>1542</v>
      </c>
      <c r="G1" s="583" t="s">
        <v>380</v>
      </c>
      <c r="H1" s="585" t="s">
        <v>381</v>
      </c>
      <c r="I1" s="586" t="s">
        <v>382</v>
      </c>
      <c r="J1" s="587" t="s">
        <v>383</v>
      </c>
      <c r="K1" s="588" t="s">
        <v>384</v>
      </c>
      <c r="L1" s="588" t="s">
        <v>385</v>
      </c>
      <c r="M1" s="587" t="s">
        <v>386</v>
      </c>
      <c r="N1" s="587" t="s">
        <v>387</v>
      </c>
      <c r="O1" s="589" t="s">
        <v>635</v>
      </c>
      <c r="P1" s="412" t="s">
        <v>389</v>
      </c>
      <c r="Q1" s="412" t="s">
        <v>390</v>
      </c>
      <c r="R1" s="413" t="s">
        <v>411</v>
      </c>
      <c r="S1" s="413" t="s">
        <v>412</v>
      </c>
      <c r="T1" s="414" t="s">
        <v>413</v>
      </c>
      <c r="U1" s="414" t="s">
        <v>414</v>
      </c>
      <c r="V1" s="414" t="s">
        <v>415</v>
      </c>
      <c r="W1" s="414" t="s">
        <v>416</v>
      </c>
    </row>
    <row r="2" spans="1:23" x14ac:dyDescent="0.25">
      <c r="A2" s="348" t="s">
        <v>391</v>
      </c>
      <c r="B2" s="349">
        <v>4602</v>
      </c>
      <c r="C2" s="350" t="s">
        <v>402</v>
      </c>
      <c r="D2" s="351">
        <v>45016</v>
      </c>
      <c r="E2" s="352">
        <v>3451</v>
      </c>
      <c r="F2" s="352">
        <v>3</v>
      </c>
      <c r="H2" s="350" t="s">
        <v>403</v>
      </c>
      <c r="I2" s="350" t="s">
        <v>393</v>
      </c>
      <c r="J2" s="354">
        <v>1390000</v>
      </c>
      <c r="K2" s="350" t="s">
        <v>394</v>
      </c>
      <c r="L2" s="354">
        <v>0</v>
      </c>
      <c r="M2" s="354">
        <v>678.29</v>
      </c>
      <c r="N2" s="354" t="s">
        <v>395</v>
      </c>
      <c r="O2" s="354">
        <v>562.04999999999995</v>
      </c>
      <c r="P2" s="355" t="s">
        <v>396</v>
      </c>
      <c r="Q2" s="353" t="s">
        <v>404</v>
      </c>
      <c r="R2" s="355" t="s">
        <v>405</v>
      </c>
      <c r="S2" s="355">
        <v>0</v>
      </c>
      <c r="T2" s="350" t="s">
        <v>406</v>
      </c>
      <c r="U2" s="351">
        <v>45026</v>
      </c>
      <c r="V2" s="351">
        <v>45026</v>
      </c>
      <c r="W2" s="350" t="s">
        <v>407</v>
      </c>
    </row>
    <row r="3" spans="1:23" x14ac:dyDescent="0.25">
      <c r="A3" s="348" t="s">
        <v>408</v>
      </c>
      <c r="B3" s="349">
        <v>4491</v>
      </c>
      <c r="C3" s="350" t="s">
        <v>402</v>
      </c>
      <c r="D3" s="351">
        <v>45006</v>
      </c>
      <c r="E3" s="352">
        <v>3490</v>
      </c>
      <c r="F3" s="352">
        <v>7</v>
      </c>
      <c r="H3" s="350" t="s">
        <v>409</v>
      </c>
      <c r="I3" s="350" t="s">
        <v>393</v>
      </c>
      <c r="J3" s="354">
        <v>150500</v>
      </c>
      <c r="K3" s="350" t="s">
        <v>394</v>
      </c>
      <c r="L3" s="354">
        <v>0</v>
      </c>
      <c r="M3" s="354">
        <v>73.44</v>
      </c>
      <c r="N3" s="354" t="s">
        <v>395</v>
      </c>
      <c r="O3" s="354">
        <v>60.86</v>
      </c>
      <c r="P3" s="355" t="s">
        <v>396</v>
      </c>
      <c r="Q3" s="353" t="s">
        <v>404</v>
      </c>
      <c r="R3" s="355" t="s">
        <v>405</v>
      </c>
      <c r="S3" s="355">
        <v>0</v>
      </c>
      <c r="T3" s="350" t="s">
        <v>410</v>
      </c>
      <c r="U3" s="351">
        <v>45023</v>
      </c>
      <c r="V3" s="351">
        <v>45023</v>
      </c>
      <c r="W3" s="350" t="s">
        <v>407</v>
      </c>
    </row>
    <row r="4" spans="1:23" x14ac:dyDescent="0.25">
      <c r="A4" s="348" t="s">
        <v>417</v>
      </c>
      <c r="B4" s="349">
        <v>4500</v>
      </c>
      <c r="C4" s="350" t="s">
        <v>402</v>
      </c>
      <c r="D4" s="351">
        <v>45014</v>
      </c>
      <c r="E4" s="352">
        <v>3490</v>
      </c>
      <c r="F4" s="352">
        <v>7</v>
      </c>
      <c r="H4" s="350" t="s">
        <v>418</v>
      </c>
      <c r="I4" s="350" t="s">
        <v>393</v>
      </c>
      <c r="J4" s="354">
        <v>80000</v>
      </c>
      <c r="K4" s="350" t="s">
        <v>394</v>
      </c>
      <c r="L4" s="354">
        <v>0</v>
      </c>
      <c r="M4" s="354">
        <v>39.04</v>
      </c>
      <c r="N4" s="354" t="s">
        <v>395</v>
      </c>
      <c r="O4" s="354">
        <v>32.35</v>
      </c>
      <c r="P4" s="355" t="s">
        <v>396</v>
      </c>
      <c r="Q4" s="353" t="s">
        <v>404</v>
      </c>
      <c r="R4" s="355" t="s">
        <v>405</v>
      </c>
      <c r="S4" s="355">
        <v>0</v>
      </c>
      <c r="T4" s="350" t="s">
        <v>410</v>
      </c>
      <c r="U4" s="351">
        <v>45023</v>
      </c>
      <c r="V4" s="351">
        <v>45023</v>
      </c>
      <c r="W4" s="350" t="s">
        <v>407</v>
      </c>
    </row>
    <row r="5" spans="1:23" x14ac:dyDescent="0.25">
      <c r="A5" s="348" t="s">
        <v>419</v>
      </c>
      <c r="B5" s="349">
        <v>4508</v>
      </c>
      <c r="C5" s="350" t="s">
        <v>402</v>
      </c>
      <c r="D5" s="351">
        <v>45015</v>
      </c>
      <c r="E5" s="352">
        <v>3420</v>
      </c>
      <c r="F5" s="352">
        <v>7</v>
      </c>
      <c r="H5" s="350" t="s">
        <v>420</v>
      </c>
      <c r="I5" s="350" t="s">
        <v>393</v>
      </c>
      <c r="J5" s="354">
        <v>8800</v>
      </c>
      <c r="K5" s="350" t="s">
        <v>394</v>
      </c>
      <c r="L5" s="354">
        <v>0</v>
      </c>
      <c r="M5" s="354">
        <v>4.29</v>
      </c>
      <c r="N5" s="354" t="s">
        <v>395</v>
      </c>
      <c r="O5" s="354">
        <v>3.56</v>
      </c>
      <c r="P5" s="355" t="s">
        <v>396</v>
      </c>
      <c r="Q5" s="353" t="s">
        <v>404</v>
      </c>
      <c r="R5" s="355" t="s">
        <v>405</v>
      </c>
      <c r="S5" s="355">
        <v>0</v>
      </c>
      <c r="T5" s="350" t="s">
        <v>410</v>
      </c>
      <c r="U5" s="351">
        <v>45023</v>
      </c>
      <c r="V5" s="351">
        <v>45023</v>
      </c>
      <c r="W5" s="350" t="s">
        <v>407</v>
      </c>
    </row>
    <row r="6" spans="1:23" x14ac:dyDescent="0.25">
      <c r="A6" s="348" t="s">
        <v>419</v>
      </c>
      <c r="B6" s="349">
        <v>4508</v>
      </c>
      <c r="C6" s="350" t="s">
        <v>402</v>
      </c>
      <c r="D6" s="351">
        <v>45015</v>
      </c>
      <c r="E6" s="352">
        <v>3420</v>
      </c>
      <c r="F6" s="352">
        <v>7</v>
      </c>
      <c r="H6" s="350" t="s">
        <v>421</v>
      </c>
      <c r="I6" s="350" t="s">
        <v>393</v>
      </c>
      <c r="J6" s="354">
        <v>14500</v>
      </c>
      <c r="K6" s="350" t="s">
        <v>394</v>
      </c>
      <c r="L6" s="354">
        <v>0</v>
      </c>
      <c r="M6" s="354">
        <v>7.08</v>
      </c>
      <c r="N6" s="354" t="s">
        <v>395</v>
      </c>
      <c r="O6" s="354">
        <v>5.86</v>
      </c>
      <c r="P6" s="355" t="s">
        <v>396</v>
      </c>
      <c r="Q6" s="353" t="s">
        <v>404</v>
      </c>
      <c r="R6" s="355" t="s">
        <v>405</v>
      </c>
      <c r="S6" s="355">
        <v>0</v>
      </c>
      <c r="T6" s="350" t="s">
        <v>410</v>
      </c>
      <c r="U6" s="351">
        <v>45023</v>
      </c>
      <c r="V6" s="351">
        <v>45023</v>
      </c>
      <c r="W6" s="350" t="s">
        <v>407</v>
      </c>
    </row>
    <row r="7" spans="1:23" x14ac:dyDescent="0.25">
      <c r="A7" s="348" t="s">
        <v>422</v>
      </c>
      <c r="B7" s="349">
        <v>4605</v>
      </c>
      <c r="C7" s="350" t="s">
        <v>402</v>
      </c>
      <c r="D7" s="351">
        <v>44980</v>
      </c>
      <c r="E7" s="352">
        <v>3420</v>
      </c>
      <c r="F7" s="352">
        <v>7</v>
      </c>
      <c r="H7" s="350" t="s">
        <v>423</v>
      </c>
      <c r="I7" s="350" t="s">
        <v>393</v>
      </c>
      <c r="J7" s="354">
        <v>250000</v>
      </c>
      <c r="K7" s="350" t="s">
        <v>394</v>
      </c>
      <c r="L7" s="354">
        <v>0</v>
      </c>
      <c r="M7" s="354">
        <v>121.99</v>
      </c>
      <c r="N7" s="354" t="s">
        <v>395</v>
      </c>
      <c r="O7" s="354">
        <v>101.09</v>
      </c>
      <c r="P7" s="355" t="s">
        <v>396</v>
      </c>
      <c r="Q7" s="353" t="s">
        <v>404</v>
      </c>
      <c r="R7" s="355" t="s">
        <v>405</v>
      </c>
      <c r="S7" s="355">
        <v>0</v>
      </c>
      <c r="T7" s="350" t="s">
        <v>406</v>
      </c>
      <c r="U7" s="351">
        <v>45026</v>
      </c>
      <c r="V7" s="351">
        <v>45026</v>
      </c>
      <c r="W7" s="350" t="s">
        <v>407</v>
      </c>
    </row>
    <row r="8" spans="1:23" x14ac:dyDescent="0.25">
      <c r="A8" s="348" t="s">
        <v>424</v>
      </c>
      <c r="B8" s="349">
        <v>4568</v>
      </c>
      <c r="C8" s="350" t="s">
        <v>402</v>
      </c>
      <c r="D8" s="351">
        <v>45013</v>
      </c>
      <c r="E8" s="352">
        <v>3451</v>
      </c>
      <c r="F8" s="352">
        <v>3</v>
      </c>
      <c r="H8" s="350" t="s">
        <v>425</v>
      </c>
      <c r="I8" s="350" t="s">
        <v>393</v>
      </c>
      <c r="J8" s="354">
        <v>250000</v>
      </c>
      <c r="K8" s="350" t="s">
        <v>394</v>
      </c>
      <c r="L8" s="354">
        <v>0</v>
      </c>
      <c r="M8" s="354">
        <v>121.99</v>
      </c>
      <c r="N8" s="354" t="s">
        <v>395</v>
      </c>
      <c r="O8" s="354">
        <v>101.09</v>
      </c>
      <c r="P8" s="355" t="s">
        <v>396</v>
      </c>
      <c r="Q8" s="353" t="s">
        <v>404</v>
      </c>
      <c r="R8" s="355" t="s">
        <v>405</v>
      </c>
      <c r="S8" s="355">
        <v>0</v>
      </c>
      <c r="T8" s="350" t="s">
        <v>410</v>
      </c>
      <c r="U8" s="351">
        <v>45026</v>
      </c>
      <c r="V8" s="351">
        <v>45026</v>
      </c>
      <c r="W8" s="350" t="s">
        <v>407</v>
      </c>
    </row>
    <row r="9" spans="1:23" x14ac:dyDescent="0.25">
      <c r="A9" s="348" t="s">
        <v>426</v>
      </c>
      <c r="B9" s="349">
        <v>4556</v>
      </c>
      <c r="C9" s="350" t="s">
        <v>402</v>
      </c>
      <c r="D9" s="351">
        <v>45015</v>
      </c>
      <c r="E9" s="352">
        <v>3170</v>
      </c>
      <c r="F9" s="352">
        <v>1</v>
      </c>
      <c r="H9" s="350" t="s">
        <v>427</v>
      </c>
      <c r="I9" s="350" t="s">
        <v>393</v>
      </c>
      <c r="J9" s="354">
        <v>77872</v>
      </c>
      <c r="K9" s="350" t="s">
        <v>394</v>
      </c>
      <c r="L9" s="354">
        <v>0</v>
      </c>
      <c r="M9" s="354">
        <v>38</v>
      </c>
      <c r="N9" s="354" t="s">
        <v>395</v>
      </c>
      <c r="O9" s="354">
        <v>31.49</v>
      </c>
      <c r="P9" s="355" t="s">
        <v>396</v>
      </c>
      <c r="Q9" s="353" t="s">
        <v>404</v>
      </c>
      <c r="R9" s="355" t="s">
        <v>405</v>
      </c>
      <c r="S9" s="355">
        <v>0</v>
      </c>
      <c r="T9" s="350" t="s">
        <v>406</v>
      </c>
      <c r="U9" s="351">
        <v>45026</v>
      </c>
      <c r="V9" s="351">
        <v>45026</v>
      </c>
      <c r="W9" s="350" t="s">
        <v>407</v>
      </c>
    </row>
    <row r="10" spans="1:23" x14ac:dyDescent="0.25">
      <c r="A10" s="348" t="s">
        <v>428</v>
      </c>
      <c r="B10" s="349">
        <v>4559</v>
      </c>
      <c r="C10" s="350" t="s">
        <v>402</v>
      </c>
      <c r="D10" s="351">
        <v>45006</v>
      </c>
      <c r="E10" s="352">
        <v>3170</v>
      </c>
      <c r="F10" s="352">
        <v>1</v>
      </c>
      <c r="H10" s="350" t="s">
        <v>429</v>
      </c>
      <c r="I10" s="350" t="s">
        <v>393</v>
      </c>
      <c r="J10" s="354">
        <v>28215</v>
      </c>
      <c r="K10" s="350" t="s">
        <v>394</v>
      </c>
      <c r="L10" s="354">
        <v>0</v>
      </c>
      <c r="M10" s="354">
        <v>13.77</v>
      </c>
      <c r="N10" s="354" t="s">
        <v>395</v>
      </c>
      <c r="O10" s="354">
        <v>11.41</v>
      </c>
      <c r="P10" s="355" t="s">
        <v>396</v>
      </c>
      <c r="Q10" s="353" t="s">
        <v>404</v>
      </c>
      <c r="R10" s="355" t="s">
        <v>405</v>
      </c>
      <c r="S10" s="355">
        <v>0</v>
      </c>
      <c r="T10" s="350" t="s">
        <v>406</v>
      </c>
      <c r="U10" s="351">
        <v>45026</v>
      </c>
      <c r="V10" s="351">
        <v>45026</v>
      </c>
      <c r="W10" s="350" t="s">
        <v>407</v>
      </c>
    </row>
    <row r="11" spans="1:23" x14ac:dyDescent="0.25">
      <c r="A11" s="348" t="s">
        <v>430</v>
      </c>
      <c r="B11" s="349">
        <v>4524</v>
      </c>
      <c r="C11" s="350" t="s">
        <v>402</v>
      </c>
      <c r="D11" s="351">
        <v>45002</v>
      </c>
      <c r="E11" s="352">
        <v>3170</v>
      </c>
      <c r="F11" s="352">
        <v>1</v>
      </c>
      <c r="H11" s="350" t="s">
        <v>431</v>
      </c>
      <c r="I11" s="350" t="s">
        <v>393</v>
      </c>
      <c r="J11" s="354">
        <v>306500</v>
      </c>
      <c r="K11" s="350" t="s">
        <v>394</v>
      </c>
      <c r="L11" s="354">
        <v>0</v>
      </c>
      <c r="M11" s="354">
        <v>149.56</v>
      </c>
      <c r="N11" s="354" t="s">
        <v>395</v>
      </c>
      <c r="O11" s="354">
        <v>123.93</v>
      </c>
      <c r="P11" s="355" t="s">
        <v>396</v>
      </c>
      <c r="Q11" s="353" t="s">
        <v>404</v>
      </c>
      <c r="R11" s="355" t="s">
        <v>405</v>
      </c>
      <c r="S11" s="355">
        <v>0</v>
      </c>
      <c r="T11" s="350" t="s">
        <v>406</v>
      </c>
      <c r="U11" s="351">
        <v>45023</v>
      </c>
      <c r="V11" s="351">
        <v>45026</v>
      </c>
      <c r="W11" s="350" t="s">
        <v>407</v>
      </c>
    </row>
    <row r="12" spans="1:23" x14ac:dyDescent="0.25">
      <c r="A12" s="348" t="s">
        <v>432</v>
      </c>
      <c r="B12" s="349">
        <v>4554</v>
      </c>
      <c r="C12" s="350" t="s">
        <v>402</v>
      </c>
      <c r="D12" s="351">
        <v>45002</v>
      </c>
      <c r="E12" s="352">
        <v>3170</v>
      </c>
      <c r="F12" s="352">
        <v>1</v>
      </c>
      <c r="H12" s="350" t="s">
        <v>433</v>
      </c>
      <c r="I12" s="350" t="s">
        <v>393</v>
      </c>
      <c r="J12" s="354">
        <v>153960</v>
      </c>
      <c r="K12" s="350" t="s">
        <v>394</v>
      </c>
      <c r="L12" s="354">
        <v>0</v>
      </c>
      <c r="M12" s="354">
        <v>75.13</v>
      </c>
      <c r="N12" s="354" t="s">
        <v>395</v>
      </c>
      <c r="O12" s="354">
        <v>62.25</v>
      </c>
      <c r="P12" s="355" t="s">
        <v>396</v>
      </c>
      <c r="Q12" s="353" t="s">
        <v>404</v>
      </c>
      <c r="R12" s="355" t="s">
        <v>405</v>
      </c>
      <c r="S12" s="355">
        <v>0</v>
      </c>
      <c r="T12" s="350" t="s">
        <v>406</v>
      </c>
      <c r="U12" s="351">
        <v>45026</v>
      </c>
      <c r="V12" s="351">
        <v>45026</v>
      </c>
      <c r="W12" s="350" t="s">
        <v>407</v>
      </c>
    </row>
    <row r="13" spans="1:23" x14ac:dyDescent="0.25">
      <c r="A13" s="348" t="s">
        <v>434</v>
      </c>
      <c r="B13" s="349">
        <v>4595</v>
      </c>
      <c r="C13" s="350" t="s">
        <v>402</v>
      </c>
      <c r="D13" s="351">
        <v>45008</v>
      </c>
      <c r="E13" s="352">
        <v>3170</v>
      </c>
      <c r="F13" s="352">
        <v>1</v>
      </c>
      <c r="H13" s="350" t="s">
        <v>435</v>
      </c>
      <c r="I13" s="350" t="s">
        <v>393</v>
      </c>
      <c r="J13" s="354">
        <v>253229</v>
      </c>
      <c r="K13" s="350" t="s">
        <v>394</v>
      </c>
      <c r="L13" s="354">
        <v>0</v>
      </c>
      <c r="M13" s="354">
        <v>123.57</v>
      </c>
      <c r="N13" s="354" t="s">
        <v>395</v>
      </c>
      <c r="O13" s="354">
        <v>102.39</v>
      </c>
      <c r="P13" s="355" t="s">
        <v>396</v>
      </c>
      <c r="Q13" s="353" t="s">
        <v>404</v>
      </c>
      <c r="R13" s="355" t="s">
        <v>405</v>
      </c>
      <c r="S13" s="355">
        <v>117872</v>
      </c>
      <c r="T13" s="350" t="s">
        <v>406</v>
      </c>
      <c r="U13" s="351">
        <v>45026</v>
      </c>
      <c r="V13" s="351">
        <v>45026</v>
      </c>
      <c r="W13" s="350" t="s">
        <v>407</v>
      </c>
    </row>
    <row r="14" spans="1:23" x14ac:dyDescent="0.25">
      <c r="A14" s="348" t="s">
        <v>436</v>
      </c>
      <c r="B14" s="349">
        <v>4455</v>
      </c>
      <c r="C14" s="350" t="s">
        <v>402</v>
      </c>
      <c r="D14" s="351">
        <v>45016</v>
      </c>
      <c r="E14" s="352">
        <v>3110</v>
      </c>
      <c r="F14" s="352">
        <v>1</v>
      </c>
      <c r="H14" s="350" t="s">
        <v>437</v>
      </c>
      <c r="I14" s="350" t="s">
        <v>393</v>
      </c>
      <c r="J14" s="354">
        <v>578183.4</v>
      </c>
      <c r="K14" s="350" t="s">
        <v>394</v>
      </c>
      <c r="L14" s="354">
        <v>0</v>
      </c>
      <c r="M14" s="354">
        <v>282.14</v>
      </c>
      <c r="N14" s="354" t="s">
        <v>395</v>
      </c>
      <c r="O14" s="354">
        <v>231.27</v>
      </c>
      <c r="P14" s="355" t="s">
        <v>396</v>
      </c>
      <c r="Q14" s="353" t="s">
        <v>404</v>
      </c>
      <c r="R14" s="355" t="s">
        <v>405</v>
      </c>
      <c r="S14" s="355">
        <v>103265</v>
      </c>
      <c r="T14" s="350" t="s">
        <v>406</v>
      </c>
      <c r="U14" s="351">
        <v>45021</v>
      </c>
      <c r="V14" s="351">
        <v>45021</v>
      </c>
      <c r="W14" s="350" t="s">
        <v>407</v>
      </c>
    </row>
    <row r="15" spans="1:23" x14ac:dyDescent="0.25">
      <c r="A15" s="348" t="s">
        <v>436</v>
      </c>
      <c r="B15" s="349">
        <v>4455</v>
      </c>
      <c r="C15" s="350" t="s">
        <v>402</v>
      </c>
      <c r="D15" s="351">
        <v>45016</v>
      </c>
      <c r="E15" s="352">
        <v>3110</v>
      </c>
      <c r="F15" s="352">
        <v>1</v>
      </c>
      <c r="H15" s="350" t="s">
        <v>437</v>
      </c>
      <c r="I15" s="350" t="s">
        <v>393</v>
      </c>
      <c r="J15" s="354">
        <v>3541016</v>
      </c>
      <c r="K15" s="350" t="s">
        <v>394</v>
      </c>
      <c r="L15" s="354">
        <v>0</v>
      </c>
      <c r="M15" s="354">
        <v>1727.93</v>
      </c>
      <c r="N15" s="354" t="s">
        <v>395</v>
      </c>
      <c r="O15" s="354">
        <v>1416.41</v>
      </c>
      <c r="P15" s="355" t="s">
        <v>396</v>
      </c>
      <c r="Q15" s="353" t="s">
        <v>404</v>
      </c>
      <c r="R15" s="355" t="s">
        <v>405</v>
      </c>
      <c r="S15" s="355">
        <v>117871</v>
      </c>
      <c r="T15" s="350" t="s">
        <v>406</v>
      </c>
      <c r="U15" s="351">
        <v>45021</v>
      </c>
      <c r="V15" s="351">
        <v>45021</v>
      </c>
      <c r="W15" s="350" t="s">
        <v>407</v>
      </c>
    </row>
    <row r="16" spans="1:23" x14ac:dyDescent="0.25">
      <c r="A16" s="348" t="s">
        <v>436</v>
      </c>
      <c r="B16" s="349">
        <v>4455</v>
      </c>
      <c r="C16" s="350" t="s">
        <v>402</v>
      </c>
      <c r="D16" s="351">
        <v>45016</v>
      </c>
      <c r="E16" s="352">
        <v>3110</v>
      </c>
      <c r="F16" s="352">
        <v>1</v>
      </c>
      <c r="H16" s="350" t="s">
        <v>437</v>
      </c>
      <c r="I16" s="350" t="s">
        <v>393</v>
      </c>
      <c r="J16" s="354">
        <v>1301665</v>
      </c>
      <c r="K16" s="350" t="s">
        <v>394</v>
      </c>
      <c r="L16" s="354">
        <v>0</v>
      </c>
      <c r="M16" s="354">
        <v>635.17999999999995</v>
      </c>
      <c r="N16" s="354" t="s">
        <v>395</v>
      </c>
      <c r="O16" s="354">
        <v>520.66999999999996</v>
      </c>
      <c r="P16" s="355" t="s">
        <v>396</v>
      </c>
      <c r="Q16" s="353" t="s">
        <v>404</v>
      </c>
      <c r="R16" s="355" t="s">
        <v>405</v>
      </c>
      <c r="S16" s="355">
        <v>103321</v>
      </c>
      <c r="T16" s="350" t="s">
        <v>406</v>
      </c>
      <c r="U16" s="351">
        <v>45021</v>
      </c>
      <c r="V16" s="351">
        <v>45021</v>
      </c>
      <c r="W16" s="350" t="s">
        <v>407</v>
      </c>
    </row>
    <row r="17" spans="1:23" x14ac:dyDescent="0.25">
      <c r="A17" s="348" t="s">
        <v>436</v>
      </c>
      <c r="B17" s="349">
        <v>4455</v>
      </c>
      <c r="C17" s="350" t="s">
        <v>402</v>
      </c>
      <c r="D17" s="351">
        <v>45016</v>
      </c>
      <c r="E17" s="352">
        <v>3110</v>
      </c>
      <c r="F17" s="352">
        <v>1</v>
      </c>
      <c r="H17" s="350" t="s">
        <v>437</v>
      </c>
      <c r="I17" s="350" t="s">
        <v>393</v>
      </c>
      <c r="J17" s="354">
        <v>116307.51</v>
      </c>
      <c r="K17" s="350" t="s">
        <v>394</v>
      </c>
      <c r="L17" s="354">
        <v>0</v>
      </c>
      <c r="M17" s="354">
        <v>56.76</v>
      </c>
      <c r="N17" s="354" t="s">
        <v>395</v>
      </c>
      <c r="O17" s="354">
        <v>46.52</v>
      </c>
      <c r="P17" s="355" t="s">
        <v>396</v>
      </c>
      <c r="Q17" s="353" t="s">
        <v>404</v>
      </c>
      <c r="R17" s="355" t="s">
        <v>405</v>
      </c>
      <c r="S17" s="355">
        <v>117427</v>
      </c>
      <c r="T17" s="350" t="s">
        <v>406</v>
      </c>
      <c r="U17" s="351">
        <v>45021</v>
      </c>
      <c r="V17" s="351">
        <v>45021</v>
      </c>
      <c r="W17" s="350" t="s">
        <v>407</v>
      </c>
    </row>
    <row r="18" spans="1:23" x14ac:dyDescent="0.25">
      <c r="A18" s="348" t="s">
        <v>436</v>
      </c>
      <c r="B18" s="349">
        <v>4455</v>
      </c>
      <c r="C18" s="350" t="s">
        <v>402</v>
      </c>
      <c r="D18" s="351">
        <v>45016</v>
      </c>
      <c r="E18" s="352">
        <v>3110</v>
      </c>
      <c r="F18" s="352">
        <v>1</v>
      </c>
      <c r="H18" s="350" t="s">
        <v>437</v>
      </c>
      <c r="I18" s="350" t="s">
        <v>393</v>
      </c>
      <c r="J18" s="354">
        <v>842808</v>
      </c>
      <c r="K18" s="350" t="s">
        <v>394</v>
      </c>
      <c r="L18" s="354">
        <v>0</v>
      </c>
      <c r="M18" s="354">
        <v>411.27</v>
      </c>
      <c r="N18" s="354" t="s">
        <v>395</v>
      </c>
      <c r="O18" s="354">
        <v>337.12</v>
      </c>
      <c r="P18" s="355" t="s">
        <v>396</v>
      </c>
      <c r="Q18" s="353" t="s">
        <v>404</v>
      </c>
      <c r="R18" s="355" t="s">
        <v>405</v>
      </c>
      <c r="S18" s="355">
        <v>117872</v>
      </c>
      <c r="T18" s="350" t="s">
        <v>406</v>
      </c>
      <c r="U18" s="351">
        <v>45021</v>
      </c>
      <c r="V18" s="351">
        <v>45021</v>
      </c>
      <c r="W18" s="350" t="s">
        <v>407</v>
      </c>
    </row>
    <row r="19" spans="1:23" x14ac:dyDescent="0.25">
      <c r="A19" s="348" t="s">
        <v>436</v>
      </c>
      <c r="B19" s="349">
        <v>4455</v>
      </c>
      <c r="C19" s="350" t="s">
        <v>402</v>
      </c>
      <c r="D19" s="351">
        <v>45016</v>
      </c>
      <c r="E19" s="352">
        <v>3110</v>
      </c>
      <c r="F19" s="352">
        <v>1</v>
      </c>
      <c r="H19" s="350" t="s">
        <v>437</v>
      </c>
      <c r="I19" s="350" t="s">
        <v>393</v>
      </c>
      <c r="J19" s="354">
        <v>265823.59999999998</v>
      </c>
      <c r="K19" s="350" t="s">
        <v>394</v>
      </c>
      <c r="L19" s="354">
        <v>0</v>
      </c>
      <c r="M19" s="354">
        <v>129.72</v>
      </c>
      <c r="N19" s="354" t="s">
        <v>395</v>
      </c>
      <c r="O19" s="354">
        <v>106.33</v>
      </c>
      <c r="P19" s="355" t="s">
        <v>396</v>
      </c>
      <c r="Q19" s="353" t="s">
        <v>404</v>
      </c>
      <c r="R19" s="355" t="s">
        <v>405</v>
      </c>
      <c r="S19" s="355">
        <v>117293</v>
      </c>
      <c r="T19" s="350" t="s">
        <v>406</v>
      </c>
      <c r="U19" s="351">
        <v>45021</v>
      </c>
      <c r="V19" s="351">
        <v>45021</v>
      </c>
      <c r="W19" s="350" t="s">
        <v>407</v>
      </c>
    </row>
    <row r="20" spans="1:23" x14ac:dyDescent="0.25">
      <c r="A20" s="348" t="s">
        <v>436</v>
      </c>
      <c r="B20" s="349">
        <v>4455</v>
      </c>
      <c r="C20" s="350" t="s">
        <v>402</v>
      </c>
      <c r="D20" s="351">
        <v>45016</v>
      </c>
      <c r="E20" s="352">
        <v>3120</v>
      </c>
      <c r="F20" s="352">
        <v>1</v>
      </c>
      <c r="H20" s="350" t="s">
        <v>438</v>
      </c>
      <c r="I20" s="350" t="s">
        <v>393</v>
      </c>
      <c r="J20" s="354">
        <v>4410</v>
      </c>
      <c r="K20" s="350" t="s">
        <v>394</v>
      </c>
      <c r="L20" s="354">
        <v>0</v>
      </c>
      <c r="M20" s="354">
        <v>2.15</v>
      </c>
      <c r="N20" s="354" t="s">
        <v>395</v>
      </c>
      <c r="O20" s="354">
        <v>1.76</v>
      </c>
      <c r="P20" s="355" t="s">
        <v>396</v>
      </c>
      <c r="Q20" s="353" t="s">
        <v>404</v>
      </c>
      <c r="R20" s="355" t="s">
        <v>405</v>
      </c>
      <c r="S20" s="355">
        <v>103265</v>
      </c>
      <c r="T20" s="350" t="s">
        <v>406</v>
      </c>
      <c r="U20" s="351">
        <v>45021</v>
      </c>
      <c r="V20" s="351">
        <v>45021</v>
      </c>
      <c r="W20" s="350" t="s">
        <v>407</v>
      </c>
    </row>
    <row r="21" spans="1:23" x14ac:dyDescent="0.25">
      <c r="A21" s="348" t="s">
        <v>436</v>
      </c>
      <c r="B21" s="349">
        <v>4455</v>
      </c>
      <c r="C21" s="350" t="s">
        <v>402</v>
      </c>
      <c r="D21" s="351">
        <v>45016</v>
      </c>
      <c r="E21" s="352">
        <v>3120</v>
      </c>
      <c r="F21" s="352">
        <v>1</v>
      </c>
      <c r="H21" s="350" t="s">
        <v>438</v>
      </c>
      <c r="I21" s="350" t="s">
        <v>393</v>
      </c>
      <c r="J21" s="354">
        <v>29400</v>
      </c>
      <c r="K21" s="350" t="s">
        <v>394</v>
      </c>
      <c r="L21" s="354">
        <v>0</v>
      </c>
      <c r="M21" s="354">
        <v>14.35</v>
      </c>
      <c r="N21" s="354" t="s">
        <v>395</v>
      </c>
      <c r="O21" s="354">
        <v>11.76</v>
      </c>
      <c r="P21" s="355" t="s">
        <v>396</v>
      </c>
      <c r="Q21" s="353" t="s">
        <v>404</v>
      </c>
      <c r="R21" s="355" t="s">
        <v>405</v>
      </c>
      <c r="S21" s="355">
        <v>117871</v>
      </c>
      <c r="T21" s="350" t="s">
        <v>406</v>
      </c>
      <c r="U21" s="351">
        <v>45021</v>
      </c>
      <c r="V21" s="351">
        <v>45021</v>
      </c>
      <c r="W21" s="350" t="s">
        <v>407</v>
      </c>
    </row>
    <row r="22" spans="1:23" x14ac:dyDescent="0.25">
      <c r="A22" s="348" t="s">
        <v>436</v>
      </c>
      <c r="B22" s="349">
        <v>4455</v>
      </c>
      <c r="C22" s="350" t="s">
        <v>402</v>
      </c>
      <c r="D22" s="351">
        <v>45016</v>
      </c>
      <c r="E22" s="352">
        <v>3120</v>
      </c>
      <c r="F22" s="352">
        <v>1</v>
      </c>
      <c r="H22" s="350" t="s">
        <v>438</v>
      </c>
      <c r="I22" s="350" t="s">
        <v>393</v>
      </c>
      <c r="J22" s="354">
        <v>882</v>
      </c>
      <c r="K22" s="350" t="s">
        <v>394</v>
      </c>
      <c r="L22" s="354">
        <v>0</v>
      </c>
      <c r="M22" s="354">
        <v>0.43</v>
      </c>
      <c r="N22" s="354" t="s">
        <v>395</v>
      </c>
      <c r="O22" s="354">
        <v>0.35</v>
      </c>
      <c r="P22" s="355" t="s">
        <v>396</v>
      </c>
      <c r="Q22" s="353" t="s">
        <v>404</v>
      </c>
      <c r="R22" s="355" t="s">
        <v>405</v>
      </c>
      <c r="S22" s="355">
        <v>117427</v>
      </c>
      <c r="T22" s="350" t="s">
        <v>406</v>
      </c>
      <c r="U22" s="351">
        <v>45021</v>
      </c>
      <c r="V22" s="351">
        <v>45021</v>
      </c>
      <c r="W22" s="350" t="s">
        <v>407</v>
      </c>
    </row>
    <row r="23" spans="1:23" x14ac:dyDescent="0.25">
      <c r="A23" s="348" t="s">
        <v>436</v>
      </c>
      <c r="B23" s="349">
        <v>4455</v>
      </c>
      <c r="C23" s="350" t="s">
        <v>402</v>
      </c>
      <c r="D23" s="351">
        <v>45016</v>
      </c>
      <c r="E23" s="352">
        <v>3120</v>
      </c>
      <c r="F23" s="352">
        <v>1</v>
      </c>
      <c r="H23" s="350" t="s">
        <v>438</v>
      </c>
      <c r="I23" s="350" t="s">
        <v>393</v>
      </c>
      <c r="J23" s="354">
        <v>1176</v>
      </c>
      <c r="K23" s="350" t="s">
        <v>394</v>
      </c>
      <c r="L23" s="354">
        <v>0</v>
      </c>
      <c r="M23" s="354">
        <v>0.56999999999999995</v>
      </c>
      <c r="N23" s="354" t="s">
        <v>395</v>
      </c>
      <c r="O23" s="354">
        <v>0.47</v>
      </c>
      <c r="P23" s="355" t="s">
        <v>396</v>
      </c>
      <c r="Q23" s="353" t="s">
        <v>404</v>
      </c>
      <c r="R23" s="355" t="s">
        <v>405</v>
      </c>
      <c r="S23" s="355">
        <v>117293</v>
      </c>
      <c r="T23" s="350" t="s">
        <v>406</v>
      </c>
      <c r="U23" s="351">
        <v>45021</v>
      </c>
      <c r="V23" s="351">
        <v>45021</v>
      </c>
      <c r="W23" s="350" t="s">
        <v>407</v>
      </c>
    </row>
    <row r="24" spans="1:23" x14ac:dyDescent="0.25">
      <c r="A24" s="348" t="s">
        <v>436</v>
      </c>
      <c r="B24" s="349">
        <v>4455</v>
      </c>
      <c r="C24" s="350" t="s">
        <v>402</v>
      </c>
      <c r="D24" s="351">
        <v>45016</v>
      </c>
      <c r="E24" s="352">
        <v>3130</v>
      </c>
      <c r="F24" s="352">
        <v>1</v>
      </c>
      <c r="H24" s="350" t="s">
        <v>439</v>
      </c>
      <c r="I24" s="350" t="s">
        <v>393</v>
      </c>
      <c r="J24" s="354">
        <v>53768.4</v>
      </c>
      <c r="K24" s="350" t="s">
        <v>394</v>
      </c>
      <c r="L24" s="354">
        <v>0</v>
      </c>
      <c r="M24" s="354">
        <v>26.24</v>
      </c>
      <c r="N24" s="354" t="s">
        <v>395</v>
      </c>
      <c r="O24" s="354">
        <v>21.51</v>
      </c>
      <c r="P24" s="355" t="s">
        <v>396</v>
      </c>
      <c r="Q24" s="353" t="s">
        <v>404</v>
      </c>
      <c r="R24" s="355" t="s">
        <v>405</v>
      </c>
      <c r="S24" s="355">
        <v>103265</v>
      </c>
      <c r="T24" s="350" t="s">
        <v>406</v>
      </c>
      <c r="U24" s="351">
        <v>45021</v>
      </c>
      <c r="V24" s="351">
        <v>45021</v>
      </c>
      <c r="W24" s="350" t="s">
        <v>407</v>
      </c>
    </row>
    <row r="25" spans="1:23" x14ac:dyDescent="0.25">
      <c r="A25" s="348" t="s">
        <v>436</v>
      </c>
      <c r="B25" s="349">
        <v>4455</v>
      </c>
      <c r="C25" s="350" t="s">
        <v>402</v>
      </c>
      <c r="D25" s="351">
        <v>45016</v>
      </c>
      <c r="E25" s="352">
        <v>3130</v>
      </c>
      <c r="F25" s="352">
        <v>1</v>
      </c>
      <c r="H25" s="350" t="s">
        <v>439</v>
      </c>
      <c r="I25" s="350" t="s">
        <v>393</v>
      </c>
      <c r="J25" s="354">
        <v>327102</v>
      </c>
      <c r="K25" s="350" t="s">
        <v>394</v>
      </c>
      <c r="L25" s="354">
        <v>0</v>
      </c>
      <c r="M25" s="354">
        <v>159.62</v>
      </c>
      <c r="N25" s="354" t="s">
        <v>395</v>
      </c>
      <c r="O25" s="354">
        <v>130.84</v>
      </c>
      <c r="P25" s="355" t="s">
        <v>396</v>
      </c>
      <c r="Q25" s="353" t="s">
        <v>404</v>
      </c>
      <c r="R25" s="355" t="s">
        <v>405</v>
      </c>
      <c r="S25" s="355">
        <v>117871</v>
      </c>
      <c r="T25" s="350" t="s">
        <v>406</v>
      </c>
      <c r="U25" s="351">
        <v>45021</v>
      </c>
      <c r="V25" s="351">
        <v>45021</v>
      </c>
      <c r="W25" s="350" t="s">
        <v>407</v>
      </c>
    </row>
    <row r="26" spans="1:23" x14ac:dyDescent="0.25">
      <c r="A26" s="348" t="s">
        <v>436</v>
      </c>
      <c r="B26" s="349">
        <v>4455</v>
      </c>
      <c r="C26" s="350" t="s">
        <v>402</v>
      </c>
      <c r="D26" s="351">
        <v>45016</v>
      </c>
      <c r="E26" s="352">
        <v>3130</v>
      </c>
      <c r="F26" s="352">
        <v>1</v>
      </c>
      <c r="H26" s="350" t="s">
        <v>439</v>
      </c>
      <c r="I26" s="350" t="s">
        <v>393</v>
      </c>
      <c r="J26" s="354">
        <v>130166.5</v>
      </c>
      <c r="K26" s="350" t="s">
        <v>394</v>
      </c>
      <c r="L26" s="354">
        <v>0</v>
      </c>
      <c r="M26" s="354">
        <v>63.52</v>
      </c>
      <c r="N26" s="354" t="s">
        <v>395</v>
      </c>
      <c r="O26" s="354">
        <v>52.07</v>
      </c>
      <c r="P26" s="355" t="s">
        <v>396</v>
      </c>
      <c r="Q26" s="353" t="s">
        <v>404</v>
      </c>
      <c r="R26" s="355" t="s">
        <v>405</v>
      </c>
      <c r="S26" s="355">
        <v>103321</v>
      </c>
      <c r="T26" s="350" t="s">
        <v>406</v>
      </c>
      <c r="U26" s="351">
        <v>45021</v>
      </c>
      <c r="V26" s="351">
        <v>45021</v>
      </c>
      <c r="W26" s="350" t="s">
        <v>407</v>
      </c>
    </row>
    <row r="27" spans="1:23" x14ac:dyDescent="0.25">
      <c r="A27" s="348" t="s">
        <v>436</v>
      </c>
      <c r="B27" s="349">
        <v>4455</v>
      </c>
      <c r="C27" s="350" t="s">
        <v>402</v>
      </c>
      <c r="D27" s="351">
        <v>45016</v>
      </c>
      <c r="E27" s="352">
        <v>3130</v>
      </c>
      <c r="F27" s="352">
        <v>1</v>
      </c>
      <c r="H27" s="350" t="s">
        <v>439</v>
      </c>
      <c r="I27" s="350" t="s">
        <v>393</v>
      </c>
      <c r="J27" s="354">
        <v>10820.76</v>
      </c>
      <c r="K27" s="350" t="s">
        <v>394</v>
      </c>
      <c r="L27" s="354">
        <v>0</v>
      </c>
      <c r="M27" s="354">
        <v>5.28</v>
      </c>
      <c r="N27" s="354" t="s">
        <v>395</v>
      </c>
      <c r="O27" s="354">
        <v>4.33</v>
      </c>
      <c r="P27" s="355" t="s">
        <v>396</v>
      </c>
      <c r="Q27" s="353" t="s">
        <v>404</v>
      </c>
      <c r="R27" s="355" t="s">
        <v>405</v>
      </c>
      <c r="S27" s="355">
        <v>117427</v>
      </c>
      <c r="T27" s="350" t="s">
        <v>406</v>
      </c>
      <c r="U27" s="351">
        <v>45021</v>
      </c>
      <c r="V27" s="351">
        <v>45021</v>
      </c>
      <c r="W27" s="350" t="s">
        <v>407</v>
      </c>
    </row>
    <row r="28" spans="1:23" x14ac:dyDescent="0.25">
      <c r="A28" s="348" t="s">
        <v>436</v>
      </c>
      <c r="B28" s="349">
        <v>4455</v>
      </c>
      <c r="C28" s="350" t="s">
        <v>402</v>
      </c>
      <c r="D28" s="351">
        <v>45016</v>
      </c>
      <c r="E28" s="352">
        <v>3130</v>
      </c>
      <c r="F28" s="352">
        <v>1</v>
      </c>
      <c r="H28" s="350" t="s">
        <v>439</v>
      </c>
      <c r="I28" s="350" t="s">
        <v>393</v>
      </c>
      <c r="J28" s="354">
        <v>84281</v>
      </c>
      <c r="K28" s="350" t="s">
        <v>394</v>
      </c>
      <c r="L28" s="354">
        <v>0</v>
      </c>
      <c r="M28" s="354">
        <v>41.13</v>
      </c>
      <c r="N28" s="354" t="s">
        <v>395</v>
      </c>
      <c r="O28" s="354">
        <v>33.71</v>
      </c>
      <c r="P28" s="355" t="s">
        <v>396</v>
      </c>
      <c r="Q28" s="353" t="s">
        <v>404</v>
      </c>
      <c r="R28" s="355" t="s">
        <v>405</v>
      </c>
      <c r="S28" s="355">
        <v>117872</v>
      </c>
      <c r="T28" s="350" t="s">
        <v>406</v>
      </c>
      <c r="U28" s="351">
        <v>45021</v>
      </c>
      <c r="V28" s="351">
        <v>45021</v>
      </c>
      <c r="W28" s="350" t="s">
        <v>407</v>
      </c>
    </row>
    <row r="29" spans="1:23" x14ac:dyDescent="0.25">
      <c r="A29" s="348" t="s">
        <v>436</v>
      </c>
      <c r="B29" s="349">
        <v>4455</v>
      </c>
      <c r="C29" s="350" t="s">
        <v>402</v>
      </c>
      <c r="D29" s="351">
        <v>45016</v>
      </c>
      <c r="E29" s="352">
        <v>3130</v>
      </c>
      <c r="F29" s="352">
        <v>1</v>
      </c>
      <c r="H29" s="350" t="s">
        <v>439</v>
      </c>
      <c r="I29" s="350" t="s">
        <v>393</v>
      </c>
      <c r="J29" s="354">
        <v>25502.36</v>
      </c>
      <c r="K29" s="350" t="s">
        <v>394</v>
      </c>
      <c r="L29" s="354">
        <v>0</v>
      </c>
      <c r="M29" s="354">
        <v>12.44</v>
      </c>
      <c r="N29" s="354" t="s">
        <v>395</v>
      </c>
      <c r="O29" s="354">
        <v>10.199999999999999</v>
      </c>
      <c r="P29" s="355" t="s">
        <v>396</v>
      </c>
      <c r="Q29" s="353" t="s">
        <v>404</v>
      </c>
      <c r="R29" s="355" t="s">
        <v>405</v>
      </c>
      <c r="S29" s="355">
        <v>117293</v>
      </c>
      <c r="T29" s="350" t="s">
        <v>406</v>
      </c>
      <c r="U29" s="351">
        <v>45021</v>
      </c>
      <c r="V29" s="351">
        <v>45021</v>
      </c>
      <c r="W29" s="350" t="s">
        <v>407</v>
      </c>
    </row>
    <row r="30" spans="1:23" x14ac:dyDescent="0.25">
      <c r="A30" s="348" t="s">
        <v>440</v>
      </c>
      <c r="B30" s="349">
        <v>4743</v>
      </c>
      <c r="C30" s="350" t="s">
        <v>441</v>
      </c>
      <c r="D30" s="351">
        <v>45028</v>
      </c>
      <c r="E30" s="352">
        <v>3490</v>
      </c>
      <c r="F30" s="352">
        <v>7</v>
      </c>
      <c r="H30" s="350" t="s">
        <v>442</v>
      </c>
      <c r="I30" s="350" t="s">
        <v>393</v>
      </c>
      <c r="J30" s="354">
        <v>112000</v>
      </c>
      <c r="K30" s="350" t="s">
        <v>394</v>
      </c>
      <c r="L30" s="354">
        <v>0</v>
      </c>
      <c r="M30" s="354">
        <v>54.32</v>
      </c>
      <c r="N30" s="354" t="s">
        <v>395</v>
      </c>
      <c r="O30" s="354">
        <v>44.06</v>
      </c>
      <c r="P30" s="355" t="s">
        <v>396</v>
      </c>
      <c r="Q30" s="353" t="s">
        <v>404</v>
      </c>
      <c r="R30" s="355" t="s">
        <v>405</v>
      </c>
      <c r="S30" s="355">
        <v>0</v>
      </c>
      <c r="T30" s="350" t="s">
        <v>410</v>
      </c>
      <c r="U30" s="351">
        <v>45051</v>
      </c>
      <c r="V30" s="351">
        <v>45055</v>
      </c>
      <c r="W30" s="350" t="s">
        <v>407</v>
      </c>
    </row>
    <row r="31" spans="1:23" x14ac:dyDescent="0.25">
      <c r="A31" s="348" t="s">
        <v>443</v>
      </c>
      <c r="B31" s="349">
        <v>4785</v>
      </c>
      <c r="C31" s="350" t="s">
        <v>441</v>
      </c>
      <c r="D31" s="351">
        <v>45044</v>
      </c>
      <c r="E31" s="352">
        <v>3400</v>
      </c>
      <c r="F31" s="352">
        <v>7</v>
      </c>
      <c r="H31" s="350" t="s">
        <v>444</v>
      </c>
      <c r="I31" s="350" t="s">
        <v>393</v>
      </c>
      <c r="J31" s="354">
        <v>3116699</v>
      </c>
      <c r="K31" s="350" t="s">
        <v>394</v>
      </c>
      <c r="L31" s="354">
        <v>0</v>
      </c>
      <c r="M31" s="354">
        <v>1511.5</v>
      </c>
      <c r="N31" s="354" t="s">
        <v>395</v>
      </c>
      <c r="O31" s="354">
        <v>1226.18</v>
      </c>
      <c r="P31" s="355" t="s">
        <v>396</v>
      </c>
      <c r="Q31" s="353" t="s">
        <v>404</v>
      </c>
      <c r="R31" s="355" t="s">
        <v>405</v>
      </c>
      <c r="S31" s="355">
        <v>0</v>
      </c>
      <c r="T31" s="350" t="s">
        <v>410</v>
      </c>
      <c r="U31" s="351">
        <v>45055</v>
      </c>
      <c r="V31" s="351">
        <v>45055</v>
      </c>
      <c r="W31" s="350" t="s">
        <v>407</v>
      </c>
    </row>
    <row r="32" spans="1:23" x14ac:dyDescent="0.25">
      <c r="A32" s="348" t="s">
        <v>445</v>
      </c>
      <c r="B32" s="349">
        <v>4699</v>
      </c>
      <c r="C32" s="350" t="s">
        <v>441</v>
      </c>
      <c r="D32" s="351">
        <v>45046</v>
      </c>
      <c r="E32" s="352">
        <v>3110</v>
      </c>
      <c r="F32" s="352">
        <v>1</v>
      </c>
      <c r="H32" s="350" t="s">
        <v>437</v>
      </c>
      <c r="I32" s="350" t="s">
        <v>393</v>
      </c>
      <c r="J32" s="354">
        <v>1462335.8</v>
      </c>
      <c r="K32" s="350" t="s">
        <v>394</v>
      </c>
      <c r="L32" s="354">
        <v>0</v>
      </c>
      <c r="M32" s="354">
        <v>709.19</v>
      </c>
      <c r="N32" s="354" t="s">
        <v>395</v>
      </c>
      <c r="O32" s="354">
        <v>584.92999999999995</v>
      </c>
      <c r="P32" s="355" t="s">
        <v>396</v>
      </c>
      <c r="Q32" s="353" t="s">
        <v>404</v>
      </c>
      <c r="R32" s="355" t="s">
        <v>405</v>
      </c>
      <c r="S32" s="355">
        <v>102955</v>
      </c>
      <c r="T32" s="350" t="s">
        <v>406</v>
      </c>
      <c r="U32" s="351">
        <v>45054</v>
      </c>
      <c r="V32" s="351">
        <v>45054</v>
      </c>
      <c r="W32" s="350" t="s">
        <v>407</v>
      </c>
    </row>
    <row r="33" spans="1:23" x14ac:dyDescent="0.25">
      <c r="A33" s="348" t="s">
        <v>445</v>
      </c>
      <c r="B33" s="349">
        <v>4699</v>
      </c>
      <c r="C33" s="350" t="s">
        <v>441</v>
      </c>
      <c r="D33" s="351">
        <v>45046</v>
      </c>
      <c r="E33" s="352">
        <v>3110</v>
      </c>
      <c r="F33" s="352">
        <v>1</v>
      </c>
      <c r="H33" s="350" t="s">
        <v>437</v>
      </c>
      <c r="I33" s="350" t="s">
        <v>393</v>
      </c>
      <c r="J33" s="354">
        <v>578183.4</v>
      </c>
      <c r="K33" s="350" t="s">
        <v>394</v>
      </c>
      <c r="L33" s="354">
        <v>0</v>
      </c>
      <c r="M33" s="354">
        <v>280.39999999999998</v>
      </c>
      <c r="N33" s="354" t="s">
        <v>395</v>
      </c>
      <c r="O33" s="354">
        <v>231.27</v>
      </c>
      <c r="P33" s="355" t="s">
        <v>396</v>
      </c>
      <c r="Q33" s="353" t="s">
        <v>404</v>
      </c>
      <c r="R33" s="355" t="s">
        <v>405</v>
      </c>
      <c r="S33" s="355">
        <v>103265</v>
      </c>
      <c r="T33" s="350" t="s">
        <v>406</v>
      </c>
      <c r="U33" s="351">
        <v>45054</v>
      </c>
      <c r="V33" s="351">
        <v>45054</v>
      </c>
      <c r="W33" s="350" t="s">
        <v>407</v>
      </c>
    </row>
    <row r="34" spans="1:23" x14ac:dyDescent="0.25">
      <c r="A34" s="348" t="s">
        <v>445</v>
      </c>
      <c r="B34" s="349">
        <v>4699</v>
      </c>
      <c r="C34" s="350" t="s">
        <v>441</v>
      </c>
      <c r="D34" s="351">
        <v>45046</v>
      </c>
      <c r="E34" s="352">
        <v>3110</v>
      </c>
      <c r="F34" s="352">
        <v>1</v>
      </c>
      <c r="H34" s="350" t="s">
        <v>437</v>
      </c>
      <c r="I34" s="350" t="s">
        <v>393</v>
      </c>
      <c r="J34" s="354">
        <v>5429558</v>
      </c>
      <c r="K34" s="350" t="s">
        <v>394</v>
      </c>
      <c r="L34" s="354">
        <v>0</v>
      </c>
      <c r="M34" s="354">
        <v>2633.17</v>
      </c>
      <c r="N34" s="354" t="s">
        <v>395</v>
      </c>
      <c r="O34" s="354">
        <v>2171.8200000000002</v>
      </c>
      <c r="P34" s="355" t="s">
        <v>396</v>
      </c>
      <c r="Q34" s="353" t="s">
        <v>404</v>
      </c>
      <c r="R34" s="355" t="s">
        <v>405</v>
      </c>
      <c r="S34" s="355">
        <v>117871</v>
      </c>
      <c r="T34" s="350" t="s">
        <v>406</v>
      </c>
      <c r="U34" s="351">
        <v>45054</v>
      </c>
      <c r="V34" s="351">
        <v>45054</v>
      </c>
      <c r="W34" s="350" t="s">
        <v>407</v>
      </c>
    </row>
    <row r="35" spans="1:23" x14ac:dyDescent="0.25">
      <c r="A35" s="348" t="s">
        <v>445</v>
      </c>
      <c r="B35" s="349">
        <v>4699</v>
      </c>
      <c r="C35" s="350" t="s">
        <v>441</v>
      </c>
      <c r="D35" s="351">
        <v>45046</v>
      </c>
      <c r="E35" s="352">
        <v>3110</v>
      </c>
      <c r="F35" s="352">
        <v>1</v>
      </c>
      <c r="H35" s="350" t="s">
        <v>437</v>
      </c>
      <c r="I35" s="350" t="s">
        <v>393</v>
      </c>
      <c r="J35" s="354">
        <v>1871143.5</v>
      </c>
      <c r="K35" s="350" t="s">
        <v>394</v>
      </c>
      <c r="L35" s="354">
        <v>0</v>
      </c>
      <c r="M35" s="354">
        <v>907.45</v>
      </c>
      <c r="N35" s="354" t="s">
        <v>395</v>
      </c>
      <c r="O35" s="354">
        <v>748.46</v>
      </c>
      <c r="P35" s="355" t="s">
        <v>396</v>
      </c>
      <c r="Q35" s="353" t="s">
        <v>404</v>
      </c>
      <c r="R35" s="355" t="s">
        <v>405</v>
      </c>
      <c r="S35" s="355">
        <v>103321</v>
      </c>
      <c r="T35" s="350" t="s">
        <v>406</v>
      </c>
      <c r="U35" s="351">
        <v>45054</v>
      </c>
      <c r="V35" s="351">
        <v>45054</v>
      </c>
      <c r="W35" s="350" t="s">
        <v>407</v>
      </c>
    </row>
    <row r="36" spans="1:23" x14ac:dyDescent="0.25">
      <c r="A36" s="348" t="s">
        <v>445</v>
      </c>
      <c r="B36" s="349">
        <v>4699</v>
      </c>
      <c r="C36" s="350" t="s">
        <v>441</v>
      </c>
      <c r="D36" s="351">
        <v>45046</v>
      </c>
      <c r="E36" s="352">
        <v>3110</v>
      </c>
      <c r="F36" s="352">
        <v>1</v>
      </c>
      <c r="H36" s="350" t="s">
        <v>437</v>
      </c>
      <c r="I36" s="350" t="s">
        <v>393</v>
      </c>
      <c r="J36" s="354">
        <v>581537.55000000005</v>
      </c>
      <c r="K36" s="350" t="s">
        <v>394</v>
      </c>
      <c r="L36" s="354">
        <v>0</v>
      </c>
      <c r="M36" s="354">
        <v>282.02999999999997</v>
      </c>
      <c r="N36" s="354" t="s">
        <v>395</v>
      </c>
      <c r="O36" s="354">
        <v>232.62</v>
      </c>
      <c r="P36" s="355" t="s">
        <v>396</v>
      </c>
      <c r="Q36" s="353" t="s">
        <v>404</v>
      </c>
      <c r="R36" s="355" t="s">
        <v>405</v>
      </c>
      <c r="S36" s="355">
        <v>117427</v>
      </c>
      <c r="T36" s="350" t="s">
        <v>406</v>
      </c>
      <c r="U36" s="351">
        <v>45054</v>
      </c>
      <c r="V36" s="351">
        <v>45054</v>
      </c>
      <c r="W36" s="350" t="s">
        <v>407</v>
      </c>
    </row>
    <row r="37" spans="1:23" x14ac:dyDescent="0.25">
      <c r="A37" s="348" t="s">
        <v>445</v>
      </c>
      <c r="B37" s="349">
        <v>4699</v>
      </c>
      <c r="C37" s="350" t="s">
        <v>441</v>
      </c>
      <c r="D37" s="351">
        <v>45046</v>
      </c>
      <c r="E37" s="352">
        <v>3110</v>
      </c>
      <c r="F37" s="352">
        <v>1</v>
      </c>
      <c r="H37" s="350" t="s">
        <v>437</v>
      </c>
      <c r="I37" s="350" t="s">
        <v>393</v>
      </c>
      <c r="J37" s="354">
        <v>1938458.5</v>
      </c>
      <c r="K37" s="350" t="s">
        <v>394</v>
      </c>
      <c r="L37" s="354">
        <v>0</v>
      </c>
      <c r="M37" s="354">
        <v>940.09</v>
      </c>
      <c r="N37" s="354" t="s">
        <v>395</v>
      </c>
      <c r="O37" s="354">
        <v>775.38</v>
      </c>
      <c r="P37" s="355" t="s">
        <v>396</v>
      </c>
      <c r="Q37" s="353" t="s">
        <v>404</v>
      </c>
      <c r="R37" s="355" t="s">
        <v>405</v>
      </c>
      <c r="S37" s="355">
        <v>117872</v>
      </c>
      <c r="T37" s="350" t="s">
        <v>406</v>
      </c>
      <c r="U37" s="351">
        <v>45054</v>
      </c>
      <c r="V37" s="351">
        <v>45054</v>
      </c>
      <c r="W37" s="350" t="s">
        <v>407</v>
      </c>
    </row>
    <row r="38" spans="1:23" x14ac:dyDescent="0.25">
      <c r="A38" s="348" t="s">
        <v>445</v>
      </c>
      <c r="B38" s="349">
        <v>4699</v>
      </c>
      <c r="C38" s="350" t="s">
        <v>441</v>
      </c>
      <c r="D38" s="351">
        <v>45046</v>
      </c>
      <c r="E38" s="352">
        <v>3110</v>
      </c>
      <c r="F38" s="352">
        <v>1</v>
      </c>
      <c r="H38" s="350" t="s">
        <v>437</v>
      </c>
      <c r="I38" s="350" t="s">
        <v>393</v>
      </c>
      <c r="J38" s="354">
        <v>467310.3</v>
      </c>
      <c r="K38" s="350" t="s">
        <v>394</v>
      </c>
      <c r="L38" s="354">
        <v>0</v>
      </c>
      <c r="M38" s="354">
        <v>226.63</v>
      </c>
      <c r="N38" s="354" t="s">
        <v>395</v>
      </c>
      <c r="O38" s="354">
        <v>186.92</v>
      </c>
      <c r="P38" s="355" t="s">
        <v>396</v>
      </c>
      <c r="Q38" s="353" t="s">
        <v>404</v>
      </c>
      <c r="R38" s="355" t="s">
        <v>405</v>
      </c>
      <c r="S38" s="355">
        <v>103328</v>
      </c>
      <c r="T38" s="350" t="s">
        <v>406</v>
      </c>
      <c r="U38" s="351">
        <v>45054</v>
      </c>
      <c r="V38" s="351">
        <v>45054</v>
      </c>
      <c r="W38" s="350" t="s">
        <v>407</v>
      </c>
    </row>
    <row r="39" spans="1:23" x14ac:dyDescent="0.25">
      <c r="A39" s="348" t="s">
        <v>445</v>
      </c>
      <c r="B39" s="349">
        <v>4699</v>
      </c>
      <c r="C39" s="350" t="s">
        <v>441</v>
      </c>
      <c r="D39" s="351">
        <v>45046</v>
      </c>
      <c r="E39" s="352">
        <v>3110</v>
      </c>
      <c r="F39" s="352">
        <v>1</v>
      </c>
      <c r="H39" s="350" t="s">
        <v>437</v>
      </c>
      <c r="I39" s="350" t="s">
        <v>393</v>
      </c>
      <c r="J39" s="354">
        <v>664559</v>
      </c>
      <c r="K39" s="350" t="s">
        <v>394</v>
      </c>
      <c r="L39" s="354">
        <v>0</v>
      </c>
      <c r="M39" s="354">
        <v>322.29000000000002</v>
      </c>
      <c r="N39" s="354" t="s">
        <v>395</v>
      </c>
      <c r="O39" s="354">
        <v>265.82</v>
      </c>
      <c r="P39" s="355" t="s">
        <v>396</v>
      </c>
      <c r="Q39" s="353" t="s">
        <v>404</v>
      </c>
      <c r="R39" s="355" t="s">
        <v>405</v>
      </c>
      <c r="S39" s="355">
        <v>117293</v>
      </c>
      <c r="T39" s="350" t="s">
        <v>406</v>
      </c>
      <c r="U39" s="351">
        <v>45054</v>
      </c>
      <c r="V39" s="351">
        <v>45054</v>
      </c>
      <c r="W39" s="350" t="s">
        <v>407</v>
      </c>
    </row>
    <row r="40" spans="1:23" x14ac:dyDescent="0.25">
      <c r="A40" s="348" t="s">
        <v>445</v>
      </c>
      <c r="B40" s="349">
        <v>4699</v>
      </c>
      <c r="C40" s="350" t="s">
        <v>441</v>
      </c>
      <c r="D40" s="351">
        <v>45046</v>
      </c>
      <c r="E40" s="352">
        <v>3120</v>
      </c>
      <c r="F40" s="352">
        <v>1</v>
      </c>
      <c r="H40" s="350" t="s">
        <v>438</v>
      </c>
      <c r="I40" s="350" t="s">
        <v>393</v>
      </c>
      <c r="J40" s="354">
        <v>4410</v>
      </c>
      <c r="K40" s="350" t="s">
        <v>394</v>
      </c>
      <c r="L40" s="354">
        <v>0</v>
      </c>
      <c r="M40" s="354">
        <v>2.14</v>
      </c>
      <c r="N40" s="354" t="s">
        <v>395</v>
      </c>
      <c r="O40" s="354">
        <v>1.76</v>
      </c>
      <c r="P40" s="355" t="s">
        <v>396</v>
      </c>
      <c r="Q40" s="353" t="s">
        <v>404</v>
      </c>
      <c r="R40" s="355" t="s">
        <v>405</v>
      </c>
      <c r="S40" s="355">
        <v>103265</v>
      </c>
      <c r="T40" s="350" t="s">
        <v>406</v>
      </c>
      <c r="U40" s="351">
        <v>45054</v>
      </c>
      <c r="V40" s="351">
        <v>45054</v>
      </c>
      <c r="W40" s="350" t="s">
        <v>407</v>
      </c>
    </row>
    <row r="41" spans="1:23" x14ac:dyDescent="0.25">
      <c r="A41" s="348" t="s">
        <v>445</v>
      </c>
      <c r="B41" s="349">
        <v>4699</v>
      </c>
      <c r="C41" s="350" t="s">
        <v>441</v>
      </c>
      <c r="D41" s="351">
        <v>45046</v>
      </c>
      <c r="E41" s="352">
        <v>3120</v>
      </c>
      <c r="F41" s="352">
        <v>1</v>
      </c>
      <c r="H41" s="350" t="s">
        <v>438</v>
      </c>
      <c r="I41" s="350" t="s">
        <v>393</v>
      </c>
      <c r="J41" s="354">
        <v>29400</v>
      </c>
      <c r="K41" s="350" t="s">
        <v>394</v>
      </c>
      <c r="L41" s="354">
        <v>0</v>
      </c>
      <c r="M41" s="354">
        <v>14.26</v>
      </c>
      <c r="N41" s="354" t="s">
        <v>395</v>
      </c>
      <c r="O41" s="354">
        <v>11.76</v>
      </c>
      <c r="P41" s="355" t="s">
        <v>396</v>
      </c>
      <c r="Q41" s="353" t="s">
        <v>404</v>
      </c>
      <c r="R41" s="355" t="s">
        <v>405</v>
      </c>
      <c r="S41" s="355">
        <v>117871</v>
      </c>
      <c r="T41" s="350" t="s">
        <v>406</v>
      </c>
      <c r="U41" s="351">
        <v>45054</v>
      </c>
      <c r="V41" s="351">
        <v>45054</v>
      </c>
      <c r="W41" s="350" t="s">
        <v>407</v>
      </c>
    </row>
    <row r="42" spans="1:23" x14ac:dyDescent="0.25">
      <c r="A42" s="348" t="s">
        <v>445</v>
      </c>
      <c r="B42" s="349">
        <v>4699</v>
      </c>
      <c r="C42" s="350" t="s">
        <v>441</v>
      </c>
      <c r="D42" s="351">
        <v>45046</v>
      </c>
      <c r="E42" s="352">
        <v>3120</v>
      </c>
      <c r="F42" s="352">
        <v>1</v>
      </c>
      <c r="H42" s="350" t="s">
        <v>438</v>
      </c>
      <c r="I42" s="350" t="s">
        <v>393</v>
      </c>
      <c r="J42" s="354">
        <v>14700</v>
      </c>
      <c r="K42" s="350" t="s">
        <v>394</v>
      </c>
      <c r="L42" s="354">
        <v>0</v>
      </c>
      <c r="M42" s="354">
        <v>7.13</v>
      </c>
      <c r="N42" s="354" t="s">
        <v>395</v>
      </c>
      <c r="O42" s="354">
        <v>5.88</v>
      </c>
      <c r="P42" s="355" t="s">
        <v>396</v>
      </c>
      <c r="Q42" s="353" t="s">
        <v>404</v>
      </c>
      <c r="R42" s="355" t="s">
        <v>405</v>
      </c>
      <c r="S42" s="355">
        <v>103321</v>
      </c>
      <c r="T42" s="350" t="s">
        <v>406</v>
      </c>
      <c r="U42" s="351">
        <v>45054</v>
      </c>
      <c r="V42" s="351">
        <v>45054</v>
      </c>
      <c r="W42" s="350" t="s">
        <v>407</v>
      </c>
    </row>
    <row r="43" spans="1:23" x14ac:dyDescent="0.25">
      <c r="A43" s="348" t="s">
        <v>445</v>
      </c>
      <c r="B43" s="349">
        <v>4699</v>
      </c>
      <c r="C43" s="350" t="s">
        <v>441</v>
      </c>
      <c r="D43" s="351">
        <v>45046</v>
      </c>
      <c r="E43" s="352">
        <v>3120</v>
      </c>
      <c r="F43" s="352">
        <v>1</v>
      </c>
      <c r="H43" s="350" t="s">
        <v>438</v>
      </c>
      <c r="I43" s="350" t="s">
        <v>393</v>
      </c>
      <c r="J43" s="354">
        <v>4410</v>
      </c>
      <c r="K43" s="350" t="s">
        <v>394</v>
      </c>
      <c r="L43" s="354">
        <v>0</v>
      </c>
      <c r="M43" s="354">
        <v>2.14</v>
      </c>
      <c r="N43" s="354" t="s">
        <v>395</v>
      </c>
      <c r="O43" s="354">
        <v>1.76</v>
      </c>
      <c r="P43" s="355" t="s">
        <v>396</v>
      </c>
      <c r="Q43" s="353" t="s">
        <v>404</v>
      </c>
      <c r="R43" s="355" t="s">
        <v>405</v>
      </c>
      <c r="S43" s="355">
        <v>117427</v>
      </c>
      <c r="T43" s="350" t="s">
        <v>406</v>
      </c>
      <c r="U43" s="351">
        <v>45054</v>
      </c>
      <c r="V43" s="351">
        <v>45054</v>
      </c>
      <c r="W43" s="350" t="s">
        <v>407</v>
      </c>
    </row>
    <row r="44" spans="1:23" x14ac:dyDescent="0.25">
      <c r="A44" s="348" t="s">
        <v>445</v>
      </c>
      <c r="B44" s="349">
        <v>4699</v>
      </c>
      <c r="C44" s="350" t="s">
        <v>441</v>
      </c>
      <c r="D44" s="351">
        <v>45046</v>
      </c>
      <c r="E44" s="352">
        <v>3120</v>
      </c>
      <c r="F44" s="352">
        <v>1</v>
      </c>
      <c r="H44" s="350" t="s">
        <v>438</v>
      </c>
      <c r="I44" s="350" t="s">
        <v>393</v>
      </c>
      <c r="J44" s="354">
        <v>14700</v>
      </c>
      <c r="K44" s="350" t="s">
        <v>394</v>
      </c>
      <c r="L44" s="354">
        <v>0</v>
      </c>
      <c r="M44" s="354">
        <v>7.13</v>
      </c>
      <c r="N44" s="354" t="s">
        <v>395</v>
      </c>
      <c r="O44" s="354">
        <v>5.88</v>
      </c>
      <c r="P44" s="355" t="s">
        <v>396</v>
      </c>
      <c r="Q44" s="353" t="s">
        <v>404</v>
      </c>
      <c r="R44" s="355" t="s">
        <v>405</v>
      </c>
      <c r="S44" s="355">
        <v>117872</v>
      </c>
      <c r="T44" s="350" t="s">
        <v>406</v>
      </c>
      <c r="U44" s="351">
        <v>45054</v>
      </c>
      <c r="V44" s="351">
        <v>45054</v>
      </c>
      <c r="W44" s="350" t="s">
        <v>407</v>
      </c>
    </row>
    <row r="45" spans="1:23" x14ac:dyDescent="0.25">
      <c r="A45" s="348" t="s">
        <v>445</v>
      </c>
      <c r="B45" s="349">
        <v>4699</v>
      </c>
      <c r="C45" s="350" t="s">
        <v>441</v>
      </c>
      <c r="D45" s="351">
        <v>45046</v>
      </c>
      <c r="E45" s="352">
        <v>3120</v>
      </c>
      <c r="F45" s="352">
        <v>1</v>
      </c>
      <c r="H45" s="350" t="s">
        <v>438</v>
      </c>
      <c r="I45" s="350" t="s">
        <v>393</v>
      </c>
      <c r="J45" s="354">
        <v>8820</v>
      </c>
      <c r="K45" s="350" t="s">
        <v>394</v>
      </c>
      <c r="L45" s="354">
        <v>0</v>
      </c>
      <c r="M45" s="354">
        <v>4.28</v>
      </c>
      <c r="N45" s="354" t="s">
        <v>395</v>
      </c>
      <c r="O45" s="354">
        <v>3.53</v>
      </c>
      <c r="P45" s="355" t="s">
        <v>396</v>
      </c>
      <c r="Q45" s="353" t="s">
        <v>404</v>
      </c>
      <c r="R45" s="355" t="s">
        <v>405</v>
      </c>
      <c r="S45" s="355">
        <v>103328</v>
      </c>
      <c r="T45" s="350" t="s">
        <v>406</v>
      </c>
      <c r="U45" s="351">
        <v>45054</v>
      </c>
      <c r="V45" s="351">
        <v>45054</v>
      </c>
      <c r="W45" s="350" t="s">
        <v>407</v>
      </c>
    </row>
    <row r="46" spans="1:23" x14ac:dyDescent="0.25">
      <c r="A46" s="348" t="s">
        <v>445</v>
      </c>
      <c r="B46" s="349">
        <v>4699</v>
      </c>
      <c r="C46" s="350" t="s">
        <v>441</v>
      </c>
      <c r="D46" s="351">
        <v>45046</v>
      </c>
      <c r="E46" s="352">
        <v>3120</v>
      </c>
      <c r="F46" s="352">
        <v>1</v>
      </c>
      <c r="H46" s="350" t="s">
        <v>438</v>
      </c>
      <c r="I46" s="350" t="s">
        <v>393</v>
      </c>
      <c r="J46" s="354">
        <v>2940</v>
      </c>
      <c r="K46" s="350" t="s">
        <v>394</v>
      </c>
      <c r="L46" s="354">
        <v>0</v>
      </c>
      <c r="M46" s="354">
        <v>1.43</v>
      </c>
      <c r="N46" s="354" t="s">
        <v>395</v>
      </c>
      <c r="O46" s="354">
        <v>1.18</v>
      </c>
      <c r="P46" s="355" t="s">
        <v>396</v>
      </c>
      <c r="Q46" s="353" t="s">
        <v>404</v>
      </c>
      <c r="R46" s="355" t="s">
        <v>405</v>
      </c>
      <c r="S46" s="355">
        <v>117293</v>
      </c>
      <c r="T46" s="350" t="s">
        <v>406</v>
      </c>
      <c r="U46" s="351">
        <v>45054</v>
      </c>
      <c r="V46" s="351">
        <v>45054</v>
      </c>
      <c r="W46" s="350" t="s">
        <v>407</v>
      </c>
    </row>
    <row r="47" spans="1:23" x14ac:dyDescent="0.25">
      <c r="A47" s="348" t="s">
        <v>445</v>
      </c>
      <c r="B47" s="349">
        <v>4699</v>
      </c>
      <c r="C47" s="350" t="s">
        <v>441</v>
      </c>
      <c r="D47" s="351">
        <v>45046</v>
      </c>
      <c r="E47" s="352">
        <v>3130</v>
      </c>
      <c r="F47" s="352">
        <v>1</v>
      </c>
      <c r="H47" s="350" t="s">
        <v>439</v>
      </c>
      <c r="I47" s="350" t="s">
        <v>393</v>
      </c>
      <c r="J47" s="354">
        <v>146233.5</v>
      </c>
      <c r="K47" s="350" t="s">
        <v>394</v>
      </c>
      <c r="L47" s="354">
        <v>0</v>
      </c>
      <c r="M47" s="354">
        <v>70.92</v>
      </c>
      <c r="N47" s="354" t="s">
        <v>395</v>
      </c>
      <c r="O47" s="354">
        <v>58.49</v>
      </c>
      <c r="P47" s="355" t="s">
        <v>396</v>
      </c>
      <c r="Q47" s="353" t="s">
        <v>404</v>
      </c>
      <c r="R47" s="355" t="s">
        <v>405</v>
      </c>
      <c r="S47" s="355">
        <v>102955</v>
      </c>
      <c r="T47" s="350" t="s">
        <v>406</v>
      </c>
      <c r="U47" s="351">
        <v>45054</v>
      </c>
      <c r="V47" s="351">
        <v>45054</v>
      </c>
      <c r="W47" s="350" t="s">
        <v>407</v>
      </c>
    </row>
    <row r="48" spans="1:23" x14ac:dyDescent="0.25">
      <c r="A48" s="348" t="s">
        <v>445</v>
      </c>
      <c r="B48" s="349">
        <v>4699</v>
      </c>
      <c r="C48" s="350" t="s">
        <v>441</v>
      </c>
      <c r="D48" s="351">
        <v>45046</v>
      </c>
      <c r="E48" s="352">
        <v>3130</v>
      </c>
      <c r="F48" s="352">
        <v>1</v>
      </c>
      <c r="H48" s="350" t="s">
        <v>439</v>
      </c>
      <c r="I48" s="350" t="s">
        <v>393</v>
      </c>
      <c r="J48" s="354">
        <v>53768.4</v>
      </c>
      <c r="K48" s="350" t="s">
        <v>394</v>
      </c>
      <c r="L48" s="354">
        <v>0</v>
      </c>
      <c r="M48" s="354">
        <v>26.08</v>
      </c>
      <c r="N48" s="354" t="s">
        <v>395</v>
      </c>
      <c r="O48" s="354">
        <v>21.51</v>
      </c>
      <c r="P48" s="355" t="s">
        <v>396</v>
      </c>
      <c r="Q48" s="353" t="s">
        <v>404</v>
      </c>
      <c r="R48" s="355" t="s">
        <v>405</v>
      </c>
      <c r="S48" s="355">
        <v>103265</v>
      </c>
      <c r="T48" s="350" t="s">
        <v>406</v>
      </c>
      <c r="U48" s="351">
        <v>45054</v>
      </c>
      <c r="V48" s="351">
        <v>45054</v>
      </c>
      <c r="W48" s="350" t="s">
        <v>407</v>
      </c>
    </row>
    <row r="49" spans="1:23" x14ac:dyDescent="0.25">
      <c r="A49" s="348" t="s">
        <v>445</v>
      </c>
      <c r="B49" s="349">
        <v>4699</v>
      </c>
      <c r="C49" s="350" t="s">
        <v>441</v>
      </c>
      <c r="D49" s="351">
        <v>45046</v>
      </c>
      <c r="E49" s="352">
        <v>3130</v>
      </c>
      <c r="F49" s="352">
        <v>1</v>
      </c>
      <c r="H49" s="350" t="s">
        <v>439</v>
      </c>
      <c r="I49" s="350" t="s">
        <v>393</v>
      </c>
      <c r="J49" s="354">
        <v>515956</v>
      </c>
      <c r="K49" s="350" t="s">
        <v>394</v>
      </c>
      <c r="L49" s="354">
        <v>0</v>
      </c>
      <c r="M49" s="354">
        <v>250.22</v>
      </c>
      <c r="N49" s="354" t="s">
        <v>395</v>
      </c>
      <c r="O49" s="354">
        <v>206.38</v>
      </c>
      <c r="P49" s="355" t="s">
        <v>396</v>
      </c>
      <c r="Q49" s="353" t="s">
        <v>404</v>
      </c>
      <c r="R49" s="355" t="s">
        <v>405</v>
      </c>
      <c r="S49" s="355">
        <v>117871</v>
      </c>
      <c r="T49" s="350" t="s">
        <v>406</v>
      </c>
      <c r="U49" s="351">
        <v>45054</v>
      </c>
      <c r="V49" s="351">
        <v>45054</v>
      </c>
      <c r="W49" s="350" t="s">
        <v>407</v>
      </c>
    </row>
    <row r="50" spans="1:23" x14ac:dyDescent="0.25">
      <c r="A50" s="348" t="s">
        <v>445</v>
      </c>
      <c r="B50" s="349">
        <v>4699</v>
      </c>
      <c r="C50" s="350" t="s">
        <v>441</v>
      </c>
      <c r="D50" s="351">
        <v>45046</v>
      </c>
      <c r="E50" s="352">
        <v>3130</v>
      </c>
      <c r="F50" s="352">
        <v>1</v>
      </c>
      <c r="H50" s="350" t="s">
        <v>439</v>
      </c>
      <c r="I50" s="350" t="s">
        <v>393</v>
      </c>
      <c r="J50" s="354">
        <v>173614.5</v>
      </c>
      <c r="K50" s="350" t="s">
        <v>394</v>
      </c>
      <c r="L50" s="354">
        <v>0</v>
      </c>
      <c r="M50" s="354">
        <v>84.2</v>
      </c>
      <c r="N50" s="354" t="s">
        <v>395</v>
      </c>
      <c r="O50" s="354">
        <v>69.45</v>
      </c>
      <c r="P50" s="355" t="s">
        <v>396</v>
      </c>
      <c r="Q50" s="353" t="s">
        <v>404</v>
      </c>
      <c r="R50" s="355" t="s">
        <v>405</v>
      </c>
      <c r="S50" s="355">
        <v>103321</v>
      </c>
      <c r="T50" s="350" t="s">
        <v>406</v>
      </c>
      <c r="U50" s="351">
        <v>45054</v>
      </c>
      <c r="V50" s="351">
        <v>45054</v>
      </c>
      <c r="W50" s="350" t="s">
        <v>407</v>
      </c>
    </row>
    <row r="51" spans="1:23" x14ac:dyDescent="0.25">
      <c r="A51" s="348" t="s">
        <v>445</v>
      </c>
      <c r="B51" s="349">
        <v>4699</v>
      </c>
      <c r="C51" s="350" t="s">
        <v>441</v>
      </c>
      <c r="D51" s="351">
        <v>45046</v>
      </c>
      <c r="E51" s="352">
        <v>3130</v>
      </c>
      <c r="F51" s="352">
        <v>1</v>
      </c>
      <c r="H51" s="350" t="s">
        <v>439</v>
      </c>
      <c r="I51" s="350" t="s">
        <v>393</v>
      </c>
      <c r="J51" s="354">
        <v>54103.8</v>
      </c>
      <c r="K51" s="350" t="s">
        <v>394</v>
      </c>
      <c r="L51" s="354">
        <v>0</v>
      </c>
      <c r="M51" s="354">
        <v>26.24</v>
      </c>
      <c r="N51" s="354" t="s">
        <v>395</v>
      </c>
      <c r="O51" s="354">
        <v>21.64</v>
      </c>
      <c r="P51" s="355" t="s">
        <v>396</v>
      </c>
      <c r="Q51" s="353" t="s">
        <v>404</v>
      </c>
      <c r="R51" s="355" t="s">
        <v>405</v>
      </c>
      <c r="S51" s="355">
        <v>117427</v>
      </c>
      <c r="T51" s="350" t="s">
        <v>406</v>
      </c>
      <c r="U51" s="351">
        <v>45054</v>
      </c>
      <c r="V51" s="351">
        <v>45054</v>
      </c>
      <c r="W51" s="350" t="s">
        <v>407</v>
      </c>
    </row>
    <row r="52" spans="1:23" x14ac:dyDescent="0.25">
      <c r="A52" s="348" t="s">
        <v>445</v>
      </c>
      <c r="B52" s="349">
        <v>4699</v>
      </c>
      <c r="C52" s="350" t="s">
        <v>441</v>
      </c>
      <c r="D52" s="351">
        <v>45046</v>
      </c>
      <c r="E52" s="352">
        <v>3130</v>
      </c>
      <c r="F52" s="352">
        <v>1</v>
      </c>
      <c r="H52" s="350" t="s">
        <v>439</v>
      </c>
      <c r="I52" s="350" t="s">
        <v>393</v>
      </c>
      <c r="J52" s="354">
        <v>180346</v>
      </c>
      <c r="K52" s="350" t="s">
        <v>394</v>
      </c>
      <c r="L52" s="354">
        <v>0</v>
      </c>
      <c r="M52" s="354">
        <v>87.46</v>
      </c>
      <c r="N52" s="354" t="s">
        <v>395</v>
      </c>
      <c r="O52" s="354">
        <v>72.14</v>
      </c>
      <c r="P52" s="355" t="s">
        <v>396</v>
      </c>
      <c r="Q52" s="353" t="s">
        <v>404</v>
      </c>
      <c r="R52" s="355" t="s">
        <v>405</v>
      </c>
      <c r="S52" s="355">
        <v>117872</v>
      </c>
      <c r="T52" s="350" t="s">
        <v>406</v>
      </c>
      <c r="U52" s="351">
        <v>45054</v>
      </c>
      <c r="V52" s="351">
        <v>45054</v>
      </c>
      <c r="W52" s="350" t="s">
        <v>407</v>
      </c>
    </row>
    <row r="53" spans="1:23" x14ac:dyDescent="0.25">
      <c r="A53" s="348" t="s">
        <v>445</v>
      </c>
      <c r="B53" s="349">
        <v>4699</v>
      </c>
      <c r="C53" s="350" t="s">
        <v>441</v>
      </c>
      <c r="D53" s="351">
        <v>45046</v>
      </c>
      <c r="E53" s="352">
        <v>3130</v>
      </c>
      <c r="F53" s="352">
        <v>1</v>
      </c>
      <c r="H53" s="350" t="s">
        <v>439</v>
      </c>
      <c r="I53" s="350" t="s">
        <v>393</v>
      </c>
      <c r="J53" s="354">
        <v>38631</v>
      </c>
      <c r="K53" s="350" t="s">
        <v>394</v>
      </c>
      <c r="L53" s="354">
        <v>0</v>
      </c>
      <c r="M53" s="354">
        <v>18.73</v>
      </c>
      <c r="N53" s="354" t="s">
        <v>395</v>
      </c>
      <c r="O53" s="354">
        <v>15.45</v>
      </c>
      <c r="P53" s="355" t="s">
        <v>396</v>
      </c>
      <c r="Q53" s="353" t="s">
        <v>404</v>
      </c>
      <c r="R53" s="355" t="s">
        <v>405</v>
      </c>
      <c r="S53" s="355">
        <v>103328</v>
      </c>
      <c r="T53" s="350" t="s">
        <v>406</v>
      </c>
      <c r="U53" s="351">
        <v>45054</v>
      </c>
      <c r="V53" s="351">
        <v>45054</v>
      </c>
      <c r="W53" s="350" t="s">
        <v>407</v>
      </c>
    </row>
    <row r="54" spans="1:23" x14ac:dyDescent="0.25">
      <c r="A54" s="348" t="s">
        <v>445</v>
      </c>
      <c r="B54" s="349">
        <v>4699</v>
      </c>
      <c r="C54" s="350" t="s">
        <v>441</v>
      </c>
      <c r="D54" s="351">
        <v>45046</v>
      </c>
      <c r="E54" s="352">
        <v>3130</v>
      </c>
      <c r="F54" s="352">
        <v>1</v>
      </c>
      <c r="H54" s="350" t="s">
        <v>439</v>
      </c>
      <c r="I54" s="350" t="s">
        <v>393</v>
      </c>
      <c r="J54" s="354">
        <v>63755.9</v>
      </c>
      <c r="K54" s="350" t="s">
        <v>394</v>
      </c>
      <c r="L54" s="354">
        <v>0</v>
      </c>
      <c r="M54" s="354">
        <v>30.92</v>
      </c>
      <c r="N54" s="354" t="s">
        <v>395</v>
      </c>
      <c r="O54" s="354">
        <v>25.5</v>
      </c>
      <c r="P54" s="355" t="s">
        <v>396</v>
      </c>
      <c r="Q54" s="353" t="s">
        <v>404</v>
      </c>
      <c r="R54" s="355" t="s">
        <v>405</v>
      </c>
      <c r="S54" s="355">
        <v>117293</v>
      </c>
      <c r="T54" s="350" t="s">
        <v>406</v>
      </c>
      <c r="U54" s="351">
        <v>45054</v>
      </c>
      <c r="V54" s="351">
        <v>45054</v>
      </c>
      <c r="W54" s="350" t="s">
        <v>407</v>
      </c>
    </row>
    <row r="55" spans="1:23" x14ac:dyDescent="0.25">
      <c r="A55" s="348" t="s">
        <v>446</v>
      </c>
      <c r="B55" s="349">
        <v>4779</v>
      </c>
      <c r="C55" s="350" t="s">
        <v>441</v>
      </c>
      <c r="D55" s="351">
        <v>45019</v>
      </c>
      <c r="E55" s="352">
        <v>3600</v>
      </c>
      <c r="F55" s="352">
        <v>7</v>
      </c>
      <c r="H55" s="350" t="s">
        <v>447</v>
      </c>
      <c r="I55" s="350" t="s">
        <v>393</v>
      </c>
      <c r="J55" s="354">
        <v>11.11</v>
      </c>
      <c r="K55" s="350" t="s">
        <v>395</v>
      </c>
      <c r="L55" s="354">
        <v>0</v>
      </c>
      <c r="M55" s="354">
        <v>11.11</v>
      </c>
      <c r="N55" s="354" t="s">
        <v>395</v>
      </c>
      <c r="O55" s="354">
        <v>9.01</v>
      </c>
      <c r="P55" s="355" t="s">
        <v>396</v>
      </c>
      <c r="Q55" s="353" t="s">
        <v>404</v>
      </c>
      <c r="R55" s="355" t="s">
        <v>405</v>
      </c>
      <c r="S55" s="355">
        <v>0</v>
      </c>
      <c r="T55" s="350" t="s">
        <v>406</v>
      </c>
      <c r="U55" s="351">
        <v>45055</v>
      </c>
      <c r="V55" s="351">
        <v>45055</v>
      </c>
      <c r="W55" s="350" t="s">
        <v>407</v>
      </c>
    </row>
    <row r="56" spans="1:23" x14ac:dyDescent="0.25">
      <c r="A56" s="348" t="s">
        <v>448</v>
      </c>
      <c r="B56" s="349">
        <v>4760</v>
      </c>
      <c r="C56" s="350" t="s">
        <v>441</v>
      </c>
      <c r="D56" s="351">
        <v>45030</v>
      </c>
      <c r="E56" s="352">
        <v>3420</v>
      </c>
      <c r="F56" s="352">
        <v>7</v>
      </c>
      <c r="H56" s="350" t="s">
        <v>449</v>
      </c>
      <c r="I56" s="350" t="s">
        <v>393</v>
      </c>
      <c r="J56" s="354">
        <v>25000</v>
      </c>
      <c r="K56" s="350" t="s">
        <v>394</v>
      </c>
      <c r="L56" s="354">
        <v>0</v>
      </c>
      <c r="M56" s="354">
        <v>12.12</v>
      </c>
      <c r="N56" s="354" t="s">
        <v>395</v>
      </c>
      <c r="O56" s="354">
        <v>9.84</v>
      </c>
      <c r="P56" s="355" t="s">
        <v>396</v>
      </c>
      <c r="Q56" s="353" t="s">
        <v>404</v>
      </c>
      <c r="R56" s="355" t="s">
        <v>405</v>
      </c>
      <c r="S56" s="355">
        <v>0</v>
      </c>
      <c r="T56" s="350" t="s">
        <v>406</v>
      </c>
      <c r="U56" s="351">
        <v>45050</v>
      </c>
      <c r="V56" s="351">
        <v>45055</v>
      </c>
      <c r="W56" s="350" t="s">
        <v>407</v>
      </c>
    </row>
    <row r="57" spans="1:23" x14ac:dyDescent="0.25">
      <c r="A57" s="348" t="s">
        <v>448</v>
      </c>
      <c r="B57" s="349">
        <v>4760</v>
      </c>
      <c r="C57" s="350" t="s">
        <v>441</v>
      </c>
      <c r="D57" s="351">
        <v>45030</v>
      </c>
      <c r="E57" s="352">
        <v>3420</v>
      </c>
      <c r="F57" s="352">
        <v>7</v>
      </c>
      <c r="H57" s="350" t="s">
        <v>450</v>
      </c>
      <c r="I57" s="350" t="s">
        <v>393</v>
      </c>
      <c r="J57" s="354">
        <v>25000</v>
      </c>
      <c r="K57" s="350" t="s">
        <v>394</v>
      </c>
      <c r="L57" s="354">
        <v>0</v>
      </c>
      <c r="M57" s="354">
        <v>12.12</v>
      </c>
      <c r="N57" s="354" t="s">
        <v>395</v>
      </c>
      <c r="O57" s="354">
        <v>9.84</v>
      </c>
      <c r="P57" s="355" t="s">
        <v>396</v>
      </c>
      <c r="Q57" s="353" t="s">
        <v>404</v>
      </c>
      <c r="R57" s="355" t="s">
        <v>405</v>
      </c>
      <c r="S57" s="355">
        <v>0</v>
      </c>
      <c r="T57" s="350" t="s">
        <v>406</v>
      </c>
      <c r="U57" s="351">
        <v>45050</v>
      </c>
      <c r="V57" s="351">
        <v>45055</v>
      </c>
      <c r="W57" s="350" t="s">
        <v>407</v>
      </c>
    </row>
    <row r="58" spans="1:23" x14ac:dyDescent="0.25">
      <c r="A58" s="348" t="s">
        <v>451</v>
      </c>
      <c r="B58" s="349">
        <v>4732</v>
      </c>
      <c r="C58" s="350" t="s">
        <v>441</v>
      </c>
      <c r="D58" s="351">
        <v>45020</v>
      </c>
      <c r="E58" s="352">
        <v>3175</v>
      </c>
      <c r="F58" s="352">
        <v>7</v>
      </c>
      <c r="H58" s="350" t="s">
        <v>452</v>
      </c>
      <c r="I58" s="350" t="s">
        <v>393</v>
      </c>
      <c r="J58" s="354">
        <v>825183</v>
      </c>
      <c r="K58" s="350" t="s">
        <v>394</v>
      </c>
      <c r="L58" s="354">
        <v>0</v>
      </c>
      <c r="M58" s="354">
        <v>400.19</v>
      </c>
      <c r="N58" s="354" t="s">
        <v>395</v>
      </c>
      <c r="O58" s="354">
        <v>324.64999999999998</v>
      </c>
      <c r="P58" s="355" t="s">
        <v>396</v>
      </c>
      <c r="Q58" s="353" t="s">
        <v>404</v>
      </c>
      <c r="R58" s="355" t="s">
        <v>405</v>
      </c>
      <c r="S58" s="355">
        <v>0</v>
      </c>
      <c r="T58" s="350" t="s">
        <v>406</v>
      </c>
      <c r="U58" s="351">
        <v>45054</v>
      </c>
      <c r="V58" s="351">
        <v>45054</v>
      </c>
      <c r="W58" s="350" t="s">
        <v>407</v>
      </c>
    </row>
    <row r="59" spans="1:23" x14ac:dyDescent="0.25">
      <c r="A59" s="348" t="s">
        <v>453</v>
      </c>
      <c r="B59" s="349">
        <v>4727</v>
      </c>
      <c r="C59" s="350" t="s">
        <v>441</v>
      </c>
      <c r="D59" s="351">
        <v>45019</v>
      </c>
      <c r="E59" s="352">
        <v>3420</v>
      </c>
      <c r="F59" s="352">
        <v>7</v>
      </c>
      <c r="H59" s="350" t="s">
        <v>454</v>
      </c>
      <c r="I59" s="350" t="s">
        <v>393</v>
      </c>
      <c r="J59" s="354">
        <v>222184</v>
      </c>
      <c r="K59" s="350" t="s">
        <v>394</v>
      </c>
      <c r="L59" s="354">
        <v>0</v>
      </c>
      <c r="M59" s="354">
        <v>107.75</v>
      </c>
      <c r="N59" s="354" t="s">
        <v>395</v>
      </c>
      <c r="O59" s="354">
        <v>87.41</v>
      </c>
      <c r="P59" s="355" t="s">
        <v>396</v>
      </c>
      <c r="Q59" s="353" t="s">
        <v>404</v>
      </c>
      <c r="R59" s="355" t="s">
        <v>405</v>
      </c>
      <c r="S59" s="355">
        <v>0</v>
      </c>
      <c r="T59" s="350" t="s">
        <v>406</v>
      </c>
      <c r="U59" s="351">
        <v>45054</v>
      </c>
      <c r="V59" s="351">
        <v>45054</v>
      </c>
      <c r="W59" s="350" t="s">
        <v>407</v>
      </c>
    </row>
    <row r="60" spans="1:23" x14ac:dyDescent="0.25">
      <c r="A60" s="348" t="s">
        <v>455</v>
      </c>
      <c r="B60" s="349">
        <v>4764</v>
      </c>
      <c r="C60" s="350" t="s">
        <v>441</v>
      </c>
      <c r="D60" s="351">
        <v>45041</v>
      </c>
      <c r="E60" s="352">
        <v>3420</v>
      </c>
      <c r="F60" s="352">
        <v>7</v>
      </c>
      <c r="H60" s="350" t="s">
        <v>456</v>
      </c>
      <c r="I60" s="350" t="s">
        <v>393</v>
      </c>
      <c r="J60" s="354">
        <v>138839</v>
      </c>
      <c r="K60" s="350" t="s">
        <v>394</v>
      </c>
      <c r="L60" s="354">
        <v>0</v>
      </c>
      <c r="M60" s="354">
        <v>67.33</v>
      </c>
      <c r="N60" s="354" t="s">
        <v>395</v>
      </c>
      <c r="O60" s="354">
        <v>54.62</v>
      </c>
      <c r="P60" s="355" t="s">
        <v>396</v>
      </c>
      <c r="Q60" s="353" t="s">
        <v>404</v>
      </c>
      <c r="R60" s="355" t="s">
        <v>405</v>
      </c>
      <c r="S60" s="355">
        <v>0</v>
      </c>
      <c r="T60" s="350" t="s">
        <v>406</v>
      </c>
      <c r="U60" s="351">
        <v>45050</v>
      </c>
      <c r="V60" s="351">
        <v>45055</v>
      </c>
      <c r="W60" s="350" t="s">
        <v>407</v>
      </c>
    </row>
    <row r="61" spans="1:23" x14ac:dyDescent="0.25">
      <c r="A61" s="348" t="s">
        <v>457</v>
      </c>
      <c r="B61" s="349">
        <v>4857</v>
      </c>
      <c r="C61" s="350" t="s">
        <v>458</v>
      </c>
      <c r="D61" s="351">
        <v>45077</v>
      </c>
      <c r="E61" s="352">
        <v>3600</v>
      </c>
      <c r="F61" s="352">
        <v>7</v>
      </c>
      <c r="H61" s="350" t="s">
        <v>459</v>
      </c>
      <c r="I61" s="350" t="s">
        <v>393</v>
      </c>
      <c r="J61" s="354">
        <v>80000</v>
      </c>
      <c r="K61" s="350" t="s">
        <v>394</v>
      </c>
      <c r="L61" s="354">
        <v>0</v>
      </c>
      <c r="M61" s="354">
        <v>38.94</v>
      </c>
      <c r="N61" s="354" t="s">
        <v>395</v>
      </c>
      <c r="O61" s="354">
        <v>31.1</v>
      </c>
      <c r="P61" s="355" t="s">
        <v>396</v>
      </c>
      <c r="Q61" s="353" t="s">
        <v>404</v>
      </c>
      <c r="R61" s="355" t="s">
        <v>405</v>
      </c>
      <c r="S61" s="355">
        <v>0</v>
      </c>
      <c r="T61" s="350" t="s">
        <v>410</v>
      </c>
      <c r="U61" s="351">
        <v>45082</v>
      </c>
      <c r="V61" s="351">
        <v>45082</v>
      </c>
      <c r="W61" s="350" t="s">
        <v>407</v>
      </c>
    </row>
    <row r="62" spans="1:23" x14ac:dyDescent="0.25">
      <c r="A62" s="348" t="s">
        <v>460</v>
      </c>
      <c r="B62" s="349">
        <v>4850</v>
      </c>
      <c r="C62" s="350" t="s">
        <v>458</v>
      </c>
      <c r="D62" s="351">
        <v>45069</v>
      </c>
      <c r="E62" s="352">
        <v>3490</v>
      </c>
      <c r="F62" s="352">
        <v>7</v>
      </c>
      <c r="H62" s="350" t="s">
        <v>461</v>
      </c>
      <c r="I62" s="350" t="s">
        <v>393</v>
      </c>
      <c r="J62" s="354">
        <v>106000</v>
      </c>
      <c r="K62" s="350" t="s">
        <v>394</v>
      </c>
      <c r="L62" s="354">
        <v>0</v>
      </c>
      <c r="M62" s="354">
        <v>51.6</v>
      </c>
      <c r="N62" s="354" t="s">
        <v>395</v>
      </c>
      <c r="O62" s="354">
        <v>41.2</v>
      </c>
      <c r="P62" s="355" t="s">
        <v>396</v>
      </c>
      <c r="Q62" s="353" t="s">
        <v>404</v>
      </c>
      <c r="R62" s="355" t="s">
        <v>405</v>
      </c>
      <c r="S62" s="355">
        <v>0</v>
      </c>
      <c r="T62" s="350" t="s">
        <v>410</v>
      </c>
      <c r="U62" s="351">
        <v>45082</v>
      </c>
      <c r="V62" s="351">
        <v>45082</v>
      </c>
      <c r="W62" s="350" t="s">
        <v>407</v>
      </c>
    </row>
    <row r="63" spans="1:23" x14ac:dyDescent="0.25">
      <c r="A63" s="348" t="s">
        <v>462</v>
      </c>
      <c r="B63" s="349">
        <v>4835</v>
      </c>
      <c r="C63" s="350" t="s">
        <v>458</v>
      </c>
      <c r="D63" s="351">
        <v>45056</v>
      </c>
      <c r="E63" s="352">
        <v>3490</v>
      </c>
      <c r="F63" s="352">
        <v>7</v>
      </c>
      <c r="H63" s="350" t="s">
        <v>442</v>
      </c>
      <c r="I63" s="350" t="s">
        <v>393</v>
      </c>
      <c r="J63" s="354">
        <v>156000</v>
      </c>
      <c r="K63" s="350" t="s">
        <v>394</v>
      </c>
      <c r="L63" s="354">
        <v>0</v>
      </c>
      <c r="M63" s="354">
        <v>75.94</v>
      </c>
      <c r="N63" s="354" t="s">
        <v>395</v>
      </c>
      <c r="O63" s="354">
        <v>60.64</v>
      </c>
      <c r="P63" s="355" t="s">
        <v>396</v>
      </c>
      <c r="Q63" s="353" t="s">
        <v>404</v>
      </c>
      <c r="R63" s="355" t="s">
        <v>405</v>
      </c>
      <c r="S63" s="355">
        <v>0</v>
      </c>
      <c r="T63" s="350" t="s">
        <v>410</v>
      </c>
      <c r="U63" s="351">
        <v>45081</v>
      </c>
      <c r="V63" s="351">
        <v>45082</v>
      </c>
      <c r="W63" s="350" t="s">
        <v>407</v>
      </c>
    </row>
    <row r="64" spans="1:23" x14ac:dyDescent="0.25">
      <c r="A64" s="348" t="s">
        <v>463</v>
      </c>
      <c r="B64" s="349">
        <v>4837</v>
      </c>
      <c r="C64" s="350" t="s">
        <v>458</v>
      </c>
      <c r="D64" s="351">
        <v>45056</v>
      </c>
      <c r="E64" s="352">
        <v>3490</v>
      </c>
      <c r="F64" s="352">
        <v>7</v>
      </c>
      <c r="H64" s="350" t="s">
        <v>464</v>
      </c>
      <c r="I64" s="350" t="s">
        <v>393</v>
      </c>
      <c r="J64" s="354">
        <v>30000</v>
      </c>
      <c r="K64" s="350" t="s">
        <v>394</v>
      </c>
      <c r="L64" s="354">
        <v>0</v>
      </c>
      <c r="M64" s="354">
        <v>14.6</v>
      </c>
      <c r="N64" s="354" t="s">
        <v>395</v>
      </c>
      <c r="O64" s="354">
        <v>11.66</v>
      </c>
      <c r="P64" s="355" t="s">
        <v>396</v>
      </c>
      <c r="Q64" s="353" t="s">
        <v>404</v>
      </c>
      <c r="R64" s="355" t="s">
        <v>405</v>
      </c>
      <c r="S64" s="355">
        <v>0</v>
      </c>
      <c r="T64" s="350" t="s">
        <v>410</v>
      </c>
      <c r="U64" s="351">
        <v>45081</v>
      </c>
      <c r="V64" s="351">
        <v>45082</v>
      </c>
      <c r="W64" s="350" t="s">
        <v>407</v>
      </c>
    </row>
    <row r="65" spans="1:23" x14ac:dyDescent="0.25">
      <c r="A65" s="348" t="s">
        <v>465</v>
      </c>
      <c r="B65" s="349">
        <v>4840</v>
      </c>
      <c r="C65" s="350" t="s">
        <v>458</v>
      </c>
      <c r="D65" s="351">
        <v>45058</v>
      </c>
      <c r="E65" s="352">
        <v>3490</v>
      </c>
      <c r="F65" s="352">
        <v>7</v>
      </c>
      <c r="H65" s="350" t="s">
        <v>466</v>
      </c>
      <c r="I65" s="350" t="s">
        <v>393</v>
      </c>
      <c r="J65" s="354">
        <v>10000</v>
      </c>
      <c r="K65" s="350" t="s">
        <v>394</v>
      </c>
      <c r="L65" s="354">
        <v>0</v>
      </c>
      <c r="M65" s="354">
        <v>4.87</v>
      </c>
      <c r="N65" s="354" t="s">
        <v>395</v>
      </c>
      <c r="O65" s="354">
        <v>3.89</v>
      </c>
      <c r="P65" s="355" t="s">
        <v>396</v>
      </c>
      <c r="Q65" s="353" t="s">
        <v>404</v>
      </c>
      <c r="R65" s="355" t="s">
        <v>405</v>
      </c>
      <c r="S65" s="355">
        <v>0</v>
      </c>
      <c r="T65" s="350" t="s">
        <v>410</v>
      </c>
      <c r="U65" s="351">
        <v>45081</v>
      </c>
      <c r="V65" s="351">
        <v>45082</v>
      </c>
      <c r="W65" s="350" t="s">
        <v>407</v>
      </c>
    </row>
    <row r="66" spans="1:23" x14ac:dyDescent="0.25">
      <c r="A66" s="348" t="s">
        <v>467</v>
      </c>
      <c r="B66" s="349">
        <v>4938</v>
      </c>
      <c r="C66" s="350" t="s">
        <v>458</v>
      </c>
      <c r="D66" s="351">
        <v>45048</v>
      </c>
      <c r="E66" s="352">
        <v>3420</v>
      </c>
      <c r="F66" s="352">
        <v>7</v>
      </c>
      <c r="H66" s="350" t="s">
        <v>468</v>
      </c>
      <c r="I66" s="350" t="s">
        <v>393</v>
      </c>
      <c r="J66" s="354">
        <v>222775</v>
      </c>
      <c r="K66" s="350" t="s">
        <v>394</v>
      </c>
      <c r="L66" s="354">
        <v>0</v>
      </c>
      <c r="M66" s="354">
        <v>108.44</v>
      </c>
      <c r="N66" s="354" t="s">
        <v>395</v>
      </c>
      <c r="O66" s="354">
        <v>86.59</v>
      </c>
      <c r="P66" s="355" t="s">
        <v>396</v>
      </c>
      <c r="Q66" s="353" t="s">
        <v>404</v>
      </c>
      <c r="R66" s="355" t="s">
        <v>405</v>
      </c>
      <c r="S66" s="355">
        <v>0</v>
      </c>
      <c r="T66" s="350" t="s">
        <v>410</v>
      </c>
      <c r="U66" s="351">
        <v>45082</v>
      </c>
      <c r="V66" s="351">
        <v>45082</v>
      </c>
      <c r="W66" s="350" t="s">
        <v>407</v>
      </c>
    </row>
    <row r="67" spans="1:23" x14ac:dyDescent="0.25">
      <c r="A67" s="348" t="s">
        <v>469</v>
      </c>
      <c r="B67" s="349">
        <v>4937</v>
      </c>
      <c r="C67" s="350" t="s">
        <v>458</v>
      </c>
      <c r="D67" s="351">
        <v>45056</v>
      </c>
      <c r="E67" s="352">
        <v>3420</v>
      </c>
      <c r="F67" s="352">
        <v>7</v>
      </c>
      <c r="H67" s="350" t="s">
        <v>470</v>
      </c>
      <c r="I67" s="350" t="s">
        <v>393</v>
      </c>
      <c r="J67" s="354">
        <v>35381</v>
      </c>
      <c r="K67" s="350" t="s">
        <v>394</v>
      </c>
      <c r="L67" s="354">
        <v>0</v>
      </c>
      <c r="M67" s="354">
        <v>17.22</v>
      </c>
      <c r="N67" s="354" t="s">
        <v>395</v>
      </c>
      <c r="O67" s="354">
        <v>13.75</v>
      </c>
      <c r="P67" s="355" t="s">
        <v>396</v>
      </c>
      <c r="Q67" s="353" t="s">
        <v>404</v>
      </c>
      <c r="R67" s="355" t="s">
        <v>405</v>
      </c>
      <c r="S67" s="355">
        <v>0</v>
      </c>
      <c r="T67" s="350" t="s">
        <v>410</v>
      </c>
      <c r="U67" s="351">
        <v>45082</v>
      </c>
      <c r="V67" s="351">
        <v>45082</v>
      </c>
      <c r="W67" s="350" t="s">
        <v>407</v>
      </c>
    </row>
    <row r="68" spans="1:23" x14ac:dyDescent="0.25">
      <c r="A68" s="348" t="s">
        <v>471</v>
      </c>
      <c r="B68" s="349">
        <v>4798</v>
      </c>
      <c r="C68" s="350" t="s">
        <v>458</v>
      </c>
      <c r="D68" s="351">
        <v>45076</v>
      </c>
      <c r="E68" s="352">
        <v>3110</v>
      </c>
      <c r="F68" s="352">
        <v>1</v>
      </c>
      <c r="H68" s="350" t="s">
        <v>437</v>
      </c>
      <c r="I68" s="350" t="s">
        <v>393</v>
      </c>
      <c r="J68" s="354">
        <v>43870.1</v>
      </c>
      <c r="K68" s="350" t="s">
        <v>394</v>
      </c>
      <c r="L68" s="354">
        <v>0</v>
      </c>
      <c r="M68" s="354">
        <v>21.36</v>
      </c>
      <c r="N68" s="354" t="s">
        <v>395</v>
      </c>
      <c r="O68" s="354">
        <v>17.55</v>
      </c>
      <c r="P68" s="355" t="s">
        <v>396</v>
      </c>
      <c r="Q68" s="353" t="s">
        <v>404</v>
      </c>
      <c r="R68" s="355" t="s">
        <v>405</v>
      </c>
      <c r="S68" s="355">
        <v>102955</v>
      </c>
      <c r="T68" s="350" t="s">
        <v>406</v>
      </c>
      <c r="U68" s="351">
        <v>45079</v>
      </c>
      <c r="V68" s="351">
        <v>45079</v>
      </c>
      <c r="W68" s="350" t="s">
        <v>407</v>
      </c>
    </row>
    <row r="69" spans="1:23" x14ac:dyDescent="0.25">
      <c r="A69" s="348" t="s">
        <v>471</v>
      </c>
      <c r="B69" s="349">
        <v>4798</v>
      </c>
      <c r="C69" s="350" t="s">
        <v>458</v>
      </c>
      <c r="D69" s="351">
        <v>45076</v>
      </c>
      <c r="E69" s="352">
        <v>3110</v>
      </c>
      <c r="F69" s="352">
        <v>1</v>
      </c>
      <c r="H69" s="350" t="s">
        <v>437</v>
      </c>
      <c r="I69" s="350" t="s">
        <v>393</v>
      </c>
      <c r="J69" s="354">
        <v>17345.55</v>
      </c>
      <c r="K69" s="350" t="s">
        <v>394</v>
      </c>
      <c r="L69" s="354">
        <v>0</v>
      </c>
      <c r="M69" s="354">
        <v>8.44</v>
      </c>
      <c r="N69" s="354" t="s">
        <v>395</v>
      </c>
      <c r="O69" s="354">
        <v>6.94</v>
      </c>
      <c r="P69" s="355" t="s">
        <v>396</v>
      </c>
      <c r="Q69" s="353" t="s">
        <v>404</v>
      </c>
      <c r="R69" s="355" t="s">
        <v>405</v>
      </c>
      <c r="S69" s="355">
        <v>103265</v>
      </c>
      <c r="T69" s="350" t="s">
        <v>406</v>
      </c>
      <c r="U69" s="351">
        <v>45079</v>
      </c>
      <c r="V69" s="351">
        <v>45079</v>
      </c>
      <c r="W69" s="350" t="s">
        <v>407</v>
      </c>
    </row>
    <row r="70" spans="1:23" x14ac:dyDescent="0.25">
      <c r="A70" s="348" t="s">
        <v>471</v>
      </c>
      <c r="B70" s="349">
        <v>4798</v>
      </c>
      <c r="C70" s="350" t="s">
        <v>458</v>
      </c>
      <c r="D70" s="351">
        <v>45076</v>
      </c>
      <c r="E70" s="352">
        <v>3110</v>
      </c>
      <c r="F70" s="352">
        <v>1</v>
      </c>
      <c r="H70" s="350" t="s">
        <v>437</v>
      </c>
      <c r="I70" s="350" t="s">
        <v>393</v>
      </c>
      <c r="J70" s="354">
        <v>162886</v>
      </c>
      <c r="K70" s="350" t="s">
        <v>394</v>
      </c>
      <c r="L70" s="354">
        <v>0</v>
      </c>
      <c r="M70" s="354">
        <v>79.290000000000006</v>
      </c>
      <c r="N70" s="354" t="s">
        <v>395</v>
      </c>
      <c r="O70" s="354">
        <v>65.150000000000006</v>
      </c>
      <c r="P70" s="355" t="s">
        <v>396</v>
      </c>
      <c r="Q70" s="353" t="s">
        <v>404</v>
      </c>
      <c r="R70" s="355" t="s">
        <v>405</v>
      </c>
      <c r="S70" s="355">
        <v>117871</v>
      </c>
      <c r="T70" s="350" t="s">
        <v>406</v>
      </c>
      <c r="U70" s="351">
        <v>45079</v>
      </c>
      <c r="V70" s="351">
        <v>45079</v>
      </c>
      <c r="W70" s="350" t="s">
        <v>407</v>
      </c>
    </row>
    <row r="71" spans="1:23" x14ac:dyDescent="0.25">
      <c r="A71" s="348" t="s">
        <v>471</v>
      </c>
      <c r="B71" s="349">
        <v>4798</v>
      </c>
      <c r="C71" s="350" t="s">
        <v>458</v>
      </c>
      <c r="D71" s="351">
        <v>45076</v>
      </c>
      <c r="E71" s="352">
        <v>3110</v>
      </c>
      <c r="F71" s="352">
        <v>1</v>
      </c>
      <c r="H71" s="350" t="s">
        <v>437</v>
      </c>
      <c r="I71" s="350" t="s">
        <v>393</v>
      </c>
      <c r="J71" s="354">
        <v>56134</v>
      </c>
      <c r="K71" s="350" t="s">
        <v>394</v>
      </c>
      <c r="L71" s="354">
        <v>0</v>
      </c>
      <c r="M71" s="354">
        <v>27.32</v>
      </c>
      <c r="N71" s="354" t="s">
        <v>395</v>
      </c>
      <c r="O71" s="354">
        <v>22.45</v>
      </c>
      <c r="P71" s="355" t="s">
        <v>396</v>
      </c>
      <c r="Q71" s="353" t="s">
        <v>404</v>
      </c>
      <c r="R71" s="355" t="s">
        <v>405</v>
      </c>
      <c r="S71" s="355">
        <v>103321</v>
      </c>
      <c r="T71" s="350" t="s">
        <v>406</v>
      </c>
      <c r="U71" s="351">
        <v>45079</v>
      </c>
      <c r="V71" s="351">
        <v>45079</v>
      </c>
      <c r="W71" s="350" t="s">
        <v>407</v>
      </c>
    </row>
    <row r="72" spans="1:23" x14ac:dyDescent="0.25">
      <c r="A72" s="348" t="s">
        <v>471</v>
      </c>
      <c r="B72" s="349">
        <v>4798</v>
      </c>
      <c r="C72" s="350" t="s">
        <v>458</v>
      </c>
      <c r="D72" s="351">
        <v>45076</v>
      </c>
      <c r="E72" s="352">
        <v>3110</v>
      </c>
      <c r="F72" s="352">
        <v>1</v>
      </c>
      <c r="H72" s="350" t="s">
        <v>437</v>
      </c>
      <c r="I72" s="350" t="s">
        <v>393</v>
      </c>
      <c r="J72" s="354">
        <v>17446.05</v>
      </c>
      <c r="K72" s="350" t="s">
        <v>394</v>
      </c>
      <c r="L72" s="354">
        <v>0</v>
      </c>
      <c r="M72" s="354">
        <v>8.49</v>
      </c>
      <c r="N72" s="354" t="s">
        <v>395</v>
      </c>
      <c r="O72" s="354">
        <v>6.98</v>
      </c>
      <c r="P72" s="355" t="s">
        <v>396</v>
      </c>
      <c r="Q72" s="353" t="s">
        <v>404</v>
      </c>
      <c r="R72" s="355" t="s">
        <v>405</v>
      </c>
      <c r="S72" s="355">
        <v>117427</v>
      </c>
      <c r="T72" s="350" t="s">
        <v>406</v>
      </c>
      <c r="U72" s="351">
        <v>45079</v>
      </c>
      <c r="V72" s="351">
        <v>45079</v>
      </c>
      <c r="W72" s="350" t="s">
        <v>407</v>
      </c>
    </row>
    <row r="73" spans="1:23" x14ac:dyDescent="0.25">
      <c r="A73" s="348" t="s">
        <v>471</v>
      </c>
      <c r="B73" s="349">
        <v>4798</v>
      </c>
      <c r="C73" s="350" t="s">
        <v>458</v>
      </c>
      <c r="D73" s="351">
        <v>45076</v>
      </c>
      <c r="E73" s="352">
        <v>3110</v>
      </c>
      <c r="F73" s="352">
        <v>1</v>
      </c>
      <c r="H73" s="350" t="s">
        <v>437</v>
      </c>
      <c r="I73" s="350" t="s">
        <v>393</v>
      </c>
      <c r="J73" s="354">
        <v>58154</v>
      </c>
      <c r="K73" s="350" t="s">
        <v>394</v>
      </c>
      <c r="L73" s="354">
        <v>0</v>
      </c>
      <c r="M73" s="354">
        <v>28.31</v>
      </c>
      <c r="N73" s="354" t="s">
        <v>395</v>
      </c>
      <c r="O73" s="354">
        <v>23.26</v>
      </c>
      <c r="P73" s="355" t="s">
        <v>396</v>
      </c>
      <c r="Q73" s="353" t="s">
        <v>404</v>
      </c>
      <c r="R73" s="355" t="s">
        <v>405</v>
      </c>
      <c r="S73" s="355">
        <v>117872</v>
      </c>
      <c r="T73" s="350" t="s">
        <v>406</v>
      </c>
      <c r="U73" s="351">
        <v>45079</v>
      </c>
      <c r="V73" s="351">
        <v>45079</v>
      </c>
      <c r="W73" s="350" t="s">
        <v>407</v>
      </c>
    </row>
    <row r="74" spans="1:23" x14ac:dyDescent="0.25">
      <c r="A74" s="348" t="s">
        <v>471</v>
      </c>
      <c r="B74" s="349">
        <v>4798</v>
      </c>
      <c r="C74" s="350" t="s">
        <v>458</v>
      </c>
      <c r="D74" s="351">
        <v>45076</v>
      </c>
      <c r="E74" s="352">
        <v>3110</v>
      </c>
      <c r="F74" s="352">
        <v>1</v>
      </c>
      <c r="H74" s="350" t="s">
        <v>437</v>
      </c>
      <c r="I74" s="350" t="s">
        <v>393</v>
      </c>
      <c r="J74" s="354">
        <v>14019.3</v>
      </c>
      <c r="K74" s="350" t="s">
        <v>394</v>
      </c>
      <c r="L74" s="354">
        <v>0</v>
      </c>
      <c r="M74" s="354">
        <v>6.82</v>
      </c>
      <c r="N74" s="354" t="s">
        <v>395</v>
      </c>
      <c r="O74" s="354">
        <v>5.61</v>
      </c>
      <c r="P74" s="355" t="s">
        <v>396</v>
      </c>
      <c r="Q74" s="353" t="s">
        <v>404</v>
      </c>
      <c r="R74" s="355" t="s">
        <v>405</v>
      </c>
      <c r="S74" s="355">
        <v>103328</v>
      </c>
      <c r="T74" s="350" t="s">
        <v>406</v>
      </c>
      <c r="U74" s="351">
        <v>45079</v>
      </c>
      <c r="V74" s="351">
        <v>45079</v>
      </c>
      <c r="W74" s="350" t="s">
        <v>407</v>
      </c>
    </row>
    <row r="75" spans="1:23" x14ac:dyDescent="0.25">
      <c r="A75" s="348" t="s">
        <v>471</v>
      </c>
      <c r="B75" s="349">
        <v>4798</v>
      </c>
      <c r="C75" s="350" t="s">
        <v>458</v>
      </c>
      <c r="D75" s="351">
        <v>45076</v>
      </c>
      <c r="E75" s="352">
        <v>3110</v>
      </c>
      <c r="F75" s="352">
        <v>1</v>
      </c>
      <c r="H75" s="350" t="s">
        <v>437</v>
      </c>
      <c r="I75" s="350" t="s">
        <v>393</v>
      </c>
      <c r="J75" s="354">
        <v>19936.7</v>
      </c>
      <c r="K75" s="350" t="s">
        <v>394</v>
      </c>
      <c r="L75" s="354">
        <v>0</v>
      </c>
      <c r="M75" s="354">
        <v>9.6999999999999993</v>
      </c>
      <c r="N75" s="354" t="s">
        <v>395</v>
      </c>
      <c r="O75" s="354">
        <v>7.97</v>
      </c>
      <c r="P75" s="355" t="s">
        <v>396</v>
      </c>
      <c r="Q75" s="353" t="s">
        <v>404</v>
      </c>
      <c r="R75" s="355" t="s">
        <v>405</v>
      </c>
      <c r="S75" s="355">
        <v>117293</v>
      </c>
      <c r="T75" s="350" t="s">
        <v>406</v>
      </c>
      <c r="U75" s="351">
        <v>45079</v>
      </c>
      <c r="V75" s="351">
        <v>45079</v>
      </c>
      <c r="W75" s="350" t="s">
        <v>407</v>
      </c>
    </row>
    <row r="76" spans="1:23" x14ac:dyDescent="0.25">
      <c r="A76" s="348" t="s">
        <v>471</v>
      </c>
      <c r="B76" s="349">
        <v>4798</v>
      </c>
      <c r="C76" s="350" t="s">
        <v>458</v>
      </c>
      <c r="D76" s="351">
        <v>45076</v>
      </c>
      <c r="E76" s="352">
        <v>3130</v>
      </c>
      <c r="F76" s="352">
        <v>1</v>
      </c>
      <c r="H76" s="350" t="s">
        <v>439</v>
      </c>
      <c r="I76" s="350" t="s">
        <v>393</v>
      </c>
      <c r="J76" s="354">
        <v>4387</v>
      </c>
      <c r="K76" s="350" t="s">
        <v>394</v>
      </c>
      <c r="L76" s="354">
        <v>0</v>
      </c>
      <c r="M76" s="354">
        <v>2.14</v>
      </c>
      <c r="N76" s="354" t="s">
        <v>395</v>
      </c>
      <c r="O76" s="354">
        <v>1.75</v>
      </c>
      <c r="P76" s="355" t="s">
        <v>396</v>
      </c>
      <c r="Q76" s="353" t="s">
        <v>404</v>
      </c>
      <c r="R76" s="355" t="s">
        <v>405</v>
      </c>
      <c r="S76" s="355">
        <v>102955</v>
      </c>
      <c r="T76" s="350" t="s">
        <v>406</v>
      </c>
      <c r="U76" s="351">
        <v>45079</v>
      </c>
      <c r="V76" s="351">
        <v>45079</v>
      </c>
      <c r="W76" s="350" t="s">
        <v>407</v>
      </c>
    </row>
    <row r="77" spans="1:23" x14ac:dyDescent="0.25">
      <c r="A77" s="348" t="s">
        <v>471</v>
      </c>
      <c r="B77" s="349">
        <v>4798</v>
      </c>
      <c r="C77" s="350" t="s">
        <v>458</v>
      </c>
      <c r="D77" s="351">
        <v>45076</v>
      </c>
      <c r="E77" s="352">
        <v>3130</v>
      </c>
      <c r="F77" s="352">
        <v>1</v>
      </c>
      <c r="H77" s="350" t="s">
        <v>439</v>
      </c>
      <c r="I77" s="350" t="s">
        <v>393</v>
      </c>
      <c r="J77" s="354">
        <v>1734.6</v>
      </c>
      <c r="K77" s="350" t="s">
        <v>394</v>
      </c>
      <c r="L77" s="354">
        <v>0</v>
      </c>
      <c r="M77" s="354">
        <v>0.84</v>
      </c>
      <c r="N77" s="354" t="s">
        <v>395</v>
      </c>
      <c r="O77" s="354">
        <v>0.69</v>
      </c>
      <c r="P77" s="355" t="s">
        <v>396</v>
      </c>
      <c r="Q77" s="353" t="s">
        <v>404</v>
      </c>
      <c r="R77" s="355" t="s">
        <v>405</v>
      </c>
      <c r="S77" s="355">
        <v>103265</v>
      </c>
      <c r="T77" s="350" t="s">
        <v>406</v>
      </c>
      <c r="U77" s="351">
        <v>45079</v>
      </c>
      <c r="V77" s="351">
        <v>45079</v>
      </c>
      <c r="W77" s="350" t="s">
        <v>407</v>
      </c>
    </row>
    <row r="78" spans="1:23" x14ac:dyDescent="0.25">
      <c r="A78" s="348" t="s">
        <v>471</v>
      </c>
      <c r="B78" s="349">
        <v>4798</v>
      </c>
      <c r="C78" s="350" t="s">
        <v>458</v>
      </c>
      <c r="D78" s="351">
        <v>45076</v>
      </c>
      <c r="E78" s="352">
        <v>3130</v>
      </c>
      <c r="F78" s="352">
        <v>1</v>
      </c>
      <c r="H78" s="350" t="s">
        <v>439</v>
      </c>
      <c r="I78" s="350" t="s">
        <v>393</v>
      </c>
      <c r="J78" s="354">
        <v>16289</v>
      </c>
      <c r="K78" s="350" t="s">
        <v>394</v>
      </c>
      <c r="L78" s="354">
        <v>0</v>
      </c>
      <c r="M78" s="354">
        <v>7.93</v>
      </c>
      <c r="N78" s="354" t="s">
        <v>395</v>
      </c>
      <c r="O78" s="354">
        <v>6.52</v>
      </c>
      <c r="P78" s="355" t="s">
        <v>396</v>
      </c>
      <c r="Q78" s="353" t="s">
        <v>404</v>
      </c>
      <c r="R78" s="355" t="s">
        <v>405</v>
      </c>
      <c r="S78" s="355">
        <v>117871</v>
      </c>
      <c r="T78" s="350" t="s">
        <v>406</v>
      </c>
      <c r="U78" s="351">
        <v>45079</v>
      </c>
      <c r="V78" s="351">
        <v>45079</v>
      </c>
      <c r="W78" s="350" t="s">
        <v>407</v>
      </c>
    </row>
    <row r="79" spans="1:23" x14ac:dyDescent="0.25">
      <c r="A79" s="348" t="s">
        <v>471</v>
      </c>
      <c r="B79" s="349">
        <v>4798</v>
      </c>
      <c r="C79" s="350" t="s">
        <v>458</v>
      </c>
      <c r="D79" s="351">
        <v>45076</v>
      </c>
      <c r="E79" s="352">
        <v>3130</v>
      </c>
      <c r="F79" s="352">
        <v>1</v>
      </c>
      <c r="H79" s="350" t="s">
        <v>439</v>
      </c>
      <c r="I79" s="350" t="s">
        <v>393</v>
      </c>
      <c r="J79" s="354">
        <v>5613.5</v>
      </c>
      <c r="K79" s="350" t="s">
        <v>394</v>
      </c>
      <c r="L79" s="354">
        <v>0</v>
      </c>
      <c r="M79" s="354">
        <v>2.73</v>
      </c>
      <c r="N79" s="354" t="s">
        <v>395</v>
      </c>
      <c r="O79" s="354">
        <v>2.25</v>
      </c>
      <c r="P79" s="355" t="s">
        <v>396</v>
      </c>
      <c r="Q79" s="353" t="s">
        <v>404</v>
      </c>
      <c r="R79" s="355" t="s">
        <v>405</v>
      </c>
      <c r="S79" s="355">
        <v>103321</v>
      </c>
      <c r="T79" s="350" t="s">
        <v>406</v>
      </c>
      <c r="U79" s="351">
        <v>45079</v>
      </c>
      <c r="V79" s="351">
        <v>45079</v>
      </c>
      <c r="W79" s="350" t="s">
        <v>407</v>
      </c>
    </row>
    <row r="80" spans="1:23" x14ac:dyDescent="0.25">
      <c r="A80" s="348" t="s">
        <v>471</v>
      </c>
      <c r="B80" s="349">
        <v>4798</v>
      </c>
      <c r="C80" s="350" t="s">
        <v>458</v>
      </c>
      <c r="D80" s="351">
        <v>45076</v>
      </c>
      <c r="E80" s="352">
        <v>3130</v>
      </c>
      <c r="F80" s="352">
        <v>1</v>
      </c>
      <c r="H80" s="350" t="s">
        <v>439</v>
      </c>
      <c r="I80" s="350" t="s">
        <v>393</v>
      </c>
      <c r="J80" s="354">
        <v>1744.65</v>
      </c>
      <c r="K80" s="350" t="s">
        <v>394</v>
      </c>
      <c r="L80" s="354">
        <v>0</v>
      </c>
      <c r="M80" s="354">
        <v>0.85</v>
      </c>
      <c r="N80" s="354" t="s">
        <v>395</v>
      </c>
      <c r="O80" s="354">
        <v>0.7</v>
      </c>
      <c r="P80" s="355" t="s">
        <v>396</v>
      </c>
      <c r="Q80" s="353" t="s">
        <v>404</v>
      </c>
      <c r="R80" s="355" t="s">
        <v>405</v>
      </c>
      <c r="S80" s="355">
        <v>117427</v>
      </c>
      <c r="T80" s="350" t="s">
        <v>406</v>
      </c>
      <c r="U80" s="351">
        <v>45079</v>
      </c>
      <c r="V80" s="351">
        <v>45079</v>
      </c>
      <c r="W80" s="350" t="s">
        <v>407</v>
      </c>
    </row>
    <row r="81" spans="1:23" x14ac:dyDescent="0.25">
      <c r="A81" s="348" t="s">
        <v>471</v>
      </c>
      <c r="B81" s="349">
        <v>4798</v>
      </c>
      <c r="C81" s="350" t="s">
        <v>458</v>
      </c>
      <c r="D81" s="351">
        <v>45076</v>
      </c>
      <c r="E81" s="352">
        <v>3130</v>
      </c>
      <c r="F81" s="352">
        <v>1</v>
      </c>
      <c r="H81" s="350" t="s">
        <v>439</v>
      </c>
      <c r="I81" s="350" t="s">
        <v>393</v>
      </c>
      <c r="J81" s="354">
        <v>5815.5</v>
      </c>
      <c r="K81" s="350" t="s">
        <v>394</v>
      </c>
      <c r="L81" s="354">
        <v>0</v>
      </c>
      <c r="M81" s="354">
        <v>2.83</v>
      </c>
      <c r="N81" s="354" t="s">
        <v>395</v>
      </c>
      <c r="O81" s="354">
        <v>2.33</v>
      </c>
      <c r="P81" s="355" t="s">
        <v>396</v>
      </c>
      <c r="Q81" s="353" t="s">
        <v>404</v>
      </c>
      <c r="R81" s="355" t="s">
        <v>405</v>
      </c>
      <c r="S81" s="355">
        <v>117872</v>
      </c>
      <c r="T81" s="350" t="s">
        <v>406</v>
      </c>
      <c r="U81" s="351">
        <v>45079</v>
      </c>
      <c r="V81" s="351">
        <v>45079</v>
      </c>
      <c r="W81" s="350" t="s">
        <v>407</v>
      </c>
    </row>
    <row r="82" spans="1:23" x14ac:dyDescent="0.25">
      <c r="A82" s="348" t="s">
        <v>471</v>
      </c>
      <c r="B82" s="349">
        <v>4798</v>
      </c>
      <c r="C82" s="350" t="s">
        <v>458</v>
      </c>
      <c r="D82" s="351">
        <v>45076</v>
      </c>
      <c r="E82" s="352">
        <v>3130</v>
      </c>
      <c r="F82" s="352">
        <v>1</v>
      </c>
      <c r="H82" s="350" t="s">
        <v>439</v>
      </c>
      <c r="I82" s="350" t="s">
        <v>393</v>
      </c>
      <c r="J82" s="354">
        <v>1401.9</v>
      </c>
      <c r="K82" s="350" t="s">
        <v>394</v>
      </c>
      <c r="L82" s="354">
        <v>0</v>
      </c>
      <c r="M82" s="354">
        <v>0.68</v>
      </c>
      <c r="N82" s="354" t="s">
        <v>395</v>
      </c>
      <c r="O82" s="354">
        <v>0.56000000000000005</v>
      </c>
      <c r="P82" s="355" t="s">
        <v>396</v>
      </c>
      <c r="Q82" s="353" t="s">
        <v>404</v>
      </c>
      <c r="R82" s="355" t="s">
        <v>405</v>
      </c>
      <c r="S82" s="355">
        <v>103328</v>
      </c>
      <c r="T82" s="350" t="s">
        <v>406</v>
      </c>
      <c r="U82" s="351">
        <v>45079</v>
      </c>
      <c r="V82" s="351">
        <v>45079</v>
      </c>
      <c r="W82" s="350" t="s">
        <v>407</v>
      </c>
    </row>
    <row r="83" spans="1:23" x14ac:dyDescent="0.25">
      <c r="A83" s="348" t="s">
        <v>471</v>
      </c>
      <c r="B83" s="349">
        <v>4798</v>
      </c>
      <c r="C83" s="350" t="s">
        <v>458</v>
      </c>
      <c r="D83" s="351">
        <v>45076</v>
      </c>
      <c r="E83" s="352">
        <v>3130</v>
      </c>
      <c r="F83" s="352">
        <v>1</v>
      </c>
      <c r="H83" s="350" t="s">
        <v>439</v>
      </c>
      <c r="I83" s="350" t="s">
        <v>393</v>
      </c>
      <c r="J83" s="354">
        <v>1983.7</v>
      </c>
      <c r="K83" s="350" t="s">
        <v>394</v>
      </c>
      <c r="L83" s="354">
        <v>0</v>
      </c>
      <c r="M83" s="354">
        <v>0.97</v>
      </c>
      <c r="N83" s="354" t="s">
        <v>395</v>
      </c>
      <c r="O83" s="354">
        <v>0.79</v>
      </c>
      <c r="P83" s="355" t="s">
        <v>396</v>
      </c>
      <c r="Q83" s="353" t="s">
        <v>404</v>
      </c>
      <c r="R83" s="355" t="s">
        <v>405</v>
      </c>
      <c r="S83" s="355">
        <v>117293</v>
      </c>
      <c r="T83" s="350" t="s">
        <v>406</v>
      </c>
      <c r="U83" s="351">
        <v>45079</v>
      </c>
      <c r="V83" s="351">
        <v>45079</v>
      </c>
      <c r="W83" s="350" t="s">
        <v>407</v>
      </c>
    </row>
    <row r="84" spans="1:23" x14ac:dyDescent="0.25">
      <c r="A84" s="348" t="s">
        <v>471</v>
      </c>
      <c r="B84" s="349">
        <v>4799</v>
      </c>
      <c r="C84" s="350" t="s">
        <v>458</v>
      </c>
      <c r="D84" s="351">
        <v>45076</v>
      </c>
      <c r="E84" s="352">
        <v>3130</v>
      </c>
      <c r="F84" s="352">
        <v>1</v>
      </c>
      <c r="H84" s="350" t="s">
        <v>439</v>
      </c>
      <c r="I84" s="350" t="s">
        <v>393</v>
      </c>
      <c r="J84" s="354">
        <v>152447.5</v>
      </c>
      <c r="K84" s="350" t="s">
        <v>394</v>
      </c>
      <c r="L84" s="354">
        <v>0</v>
      </c>
      <c r="M84" s="354">
        <v>74.209999999999994</v>
      </c>
      <c r="N84" s="354" t="s">
        <v>395</v>
      </c>
      <c r="O84" s="354">
        <v>60.98</v>
      </c>
      <c r="P84" s="355" t="s">
        <v>396</v>
      </c>
      <c r="Q84" s="353" t="s">
        <v>404</v>
      </c>
      <c r="R84" s="355" t="s">
        <v>405</v>
      </c>
      <c r="S84" s="355">
        <v>102955</v>
      </c>
      <c r="T84" s="350" t="s">
        <v>406</v>
      </c>
      <c r="U84" s="351">
        <v>45082</v>
      </c>
      <c r="V84" s="351">
        <v>45082</v>
      </c>
      <c r="W84" s="350" t="s">
        <v>407</v>
      </c>
    </row>
    <row r="85" spans="1:23" x14ac:dyDescent="0.25">
      <c r="A85" s="348" t="s">
        <v>471</v>
      </c>
      <c r="B85" s="349">
        <v>4799</v>
      </c>
      <c r="C85" s="350" t="s">
        <v>458</v>
      </c>
      <c r="D85" s="351">
        <v>45076</v>
      </c>
      <c r="E85" s="352">
        <v>3130</v>
      </c>
      <c r="F85" s="352">
        <v>1</v>
      </c>
      <c r="H85" s="350" t="s">
        <v>439</v>
      </c>
      <c r="I85" s="350" t="s">
        <v>393</v>
      </c>
      <c r="J85" s="354">
        <v>55502.85</v>
      </c>
      <c r="K85" s="350" t="s">
        <v>394</v>
      </c>
      <c r="L85" s="354">
        <v>0</v>
      </c>
      <c r="M85" s="354">
        <v>27.02</v>
      </c>
      <c r="N85" s="354" t="s">
        <v>395</v>
      </c>
      <c r="O85" s="354">
        <v>22.2</v>
      </c>
      <c r="P85" s="355" t="s">
        <v>396</v>
      </c>
      <c r="Q85" s="353" t="s">
        <v>404</v>
      </c>
      <c r="R85" s="355" t="s">
        <v>405</v>
      </c>
      <c r="S85" s="355">
        <v>103265</v>
      </c>
      <c r="T85" s="350" t="s">
        <v>406</v>
      </c>
      <c r="U85" s="351">
        <v>45082</v>
      </c>
      <c r="V85" s="351">
        <v>45082</v>
      </c>
      <c r="W85" s="350" t="s">
        <v>407</v>
      </c>
    </row>
    <row r="86" spans="1:23" x14ac:dyDescent="0.25">
      <c r="A86" s="348" t="s">
        <v>471</v>
      </c>
      <c r="B86" s="349">
        <v>4799</v>
      </c>
      <c r="C86" s="350" t="s">
        <v>458</v>
      </c>
      <c r="D86" s="351">
        <v>45076</v>
      </c>
      <c r="E86" s="352">
        <v>3130</v>
      </c>
      <c r="F86" s="352">
        <v>1</v>
      </c>
      <c r="H86" s="350" t="s">
        <v>439</v>
      </c>
      <c r="I86" s="350" t="s">
        <v>393</v>
      </c>
      <c r="J86" s="354">
        <v>532244</v>
      </c>
      <c r="K86" s="350" t="s">
        <v>394</v>
      </c>
      <c r="L86" s="354">
        <v>0</v>
      </c>
      <c r="M86" s="354">
        <v>259.08999999999997</v>
      </c>
      <c r="N86" s="354" t="s">
        <v>395</v>
      </c>
      <c r="O86" s="354">
        <v>212.9</v>
      </c>
      <c r="P86" s="355" t="s">
        <v>396</v>
      </c>
      <c r="Q86" s="353" t="s">
        <v>404</v>
      </c>
      <c r="R86" s="355" t="s">
        <v>405</v>
      </c>
      <c r="S86" s="355">
        <v>117871</v>
      </c>
      <c r="T86" s="350" t="s">
        <v>406</v>
      </c>
      <c r="U86" s="351">
        <v>45082</v>
      </c>
      <c r="V86" s="351">
        <v>45082</v>
      </c>
      <c r="W86" s="350" t="s">
        <v>407</v>
      </c>
    </row>
    <row r="87" spans="1:23" x14ac:dyDescent="0.25">
      <c r="A87" s="348" t="s">
        <v>471</v>
      </c>
      <c r="B87" s="349">
        <v>4799</v>
      </c>
      <c r="C87" s="350" t="s">
        <v>458</v>
      </c>
      <c r="D87" s="351">
        <v>45076</v>
      </c>
      <c r="E87" s="352">
        <v>3130</v>
      </c>
      <c r="F87" s="352">
        <v>1</v>
      </c>
      <c r="H87" s="350" t="s">
        <v>439</v>
      </c>
      <c r="I87" s="350" t="s">
        <v>393</v>
      </c>
      <c r="J87" s="354">
        <v>286764.79999999999</v>
      </c>
      <c r="K87" s="350" t="s">
        <v>394</v>
      </c>
      <c r="L87" s="354">
        <v>0</v>
      </c>
      <c r="M87" s="354">
        <v>139.59</v>
      </c>
      <c r="N87" s="354" t="s">
        <v>395</v>
      </c>
      <c r="O87" s="354">
        <v>114.71</v>
      </c>
      <c r="P87" s="355" t="s">
        <v>396</v>
      </c>
      <c r="Q87" s="353" t="s">
        <v>404</v>
      </c>
      <c r="R87" s="355" t="s">
        <v>405</v>
      </c>
      <c r="S87" s="355">
        <v>103321</v>
      </c>
      <c r="T87" s="350" t="s">
        <v>406</v>
      </c>
      <c r="U87" s="351">
        <v>45082</v>
      </c>
      <c r="V87" s="351">
        <v>45082</v>
      </c>
      <c r="W87" s="350" t="s">
        <v>407</v>
      </c>
    </row>
    <row r="88" spans="1:23" x14ac:dyDescent="0.25">
      <c r="A88" s="348" t="s">
        <v>471</v>
      </c>
      <c r="B88" s="349">
        <v>4799</v>
      </c>
      <c r="C88" s="350" t="s">
        <v>458</v>
      </c>
      <c r="D88" s="351">
        <v>45076</v>
      </c>
      <c r="E88" s="352">
        <v>3130</v>
      </c>
      <c r="F88" s="352">
        <v>1</v>
      </c>
      <c r="H88" s="350" t="s">
        <v>439</v>
      </c>
      <c r="I88" s="350" t="s">
        <v>393</v>
      </c>
      <c r="J88" s="354">
        <v>55848.3</v>
      </c>
      <c r="K88" s="350" t="s">
        <v>394</v>
      </c>
      <c r="L88" s="354">
        <v>0</v>
      </c>
      <c r="M88" s="354">
        <v>27.19</v>
      </c>
      <c r="N88" s="354" t="s">
        <v>395</v>
      </c>
      <c r="O88" s="354">
        <v>22.34</v>
      </c>
      <c r="P88" s="355" t="s">
        <v>396</v>
      </c>
      <c r="Q88" s="353" t="s">
        <v>404</v>
      </c>
      <c r="R88" s="355" t="s">
        <v>405</v>
      </c>
      <c r="S88" s="355">
        <v>117427</v>
      </c>
      <c r="T88" s="350" t="s">
        <v>406</v>
      </c>
      <c r="U88" s="351">
        <v>45082</v>
      </c>
      <c r="V88" s="351">
        <v>45082</v>
      </c>
      <c r="W88" s="350" t="s">
        <v>407</v>
      </c>
    </row>
    <row r="89" spans="1:23" x14ac:dyDescent="0.25">
      <c r="A89" s="348" t="s">
        <v>471</v>
      </c>
      <c r="B89" s="349">
        <v>4799</v>
      </c>
      <c r="C89" s="350" t="s">
        <v>458</v>
      </c>
      <c r="D89" s="351">
        <v>45076</v>
      </c>
      <c r="E89" s="352">
        <v>3130</v>
      </c>
      <c r="F89" s="352">
        <v>1</v>
      </c>
      <c r="H89" s="350" t="s">
        <v>439</v>
      </c>
      <c r="I89" s="350" t="s">
        <v>393</v>
      </c>
      <c r="J89" s="354">
        <v>297857.59999999998</v>
      </c>
      <c r="K89" s="350" t="s">
        <v>394</v>
      </c>
      <c r="L89" s="354">
        <v>0</v>
      </c>
      <c r="M89" s="354">
        <v>144.99</v>
      </c>
      <c r="N89" s="354" t="s">
        <v>395</v>
      </c>
      <c r="O89" s="354">
        <v>119.14</v>
      </c>
      <c r="P89" s="355" t="s">
        <v>396</v>
      </c>
      <c r="Q89" s="353" t="s">
        <v>404</v>
      </c>
      <c r="R89" s="355" t="s">
        <v>405</v>
      </c>
      <c r="S89" s="355">
        <v>117872</v>
      </c>
      <c r="T89" s="350" t="s">
        <v>406</v>
      </c>
      <c r="U89" s="351">
        <v>45082</v>
      </c>
      <c r="V89" s="351">
        <v>45082</v>
      </c>
      <c r="W89" s="350" t="s">
        <v>407</v>
      </c>
    </row>
    <row r="90" spans="1:23" x14ac:dyDescent="0.25">
      <c r="A90" s="348" t="s">
        <v>471</v>
      </c>
      <c r="B90" s="349">
        <v>4799</v>
      </c>
      <c r="C90" s="350" t="s">
        <v>458</v>
      </c>
      <c r="D90" s="351">
        <v>45076</v>
      </c>
      <c r="E90" s="352">
        <v>3130</v>
      </c>
      <c r="F90" s="352">
        <v>1</v>
      </c>
      <c r="H90" s="350" t="s">
        <v>439</v>
      </c>
      <c r="I90" s="350" t="s">
        <v>393</v>
      </c>
      <c r="J90" s="354">
        <v>40032.9</v>
      </c>
      <c r="K90" s="350" t="s">
        <v>394</v>
      </c>
      <c r="L90" s="354">
        <v>0</v>
      </c>
      <c r="M90" s="354">
        <v>19.489999999999998</v>
      </c>
      <c r="N90" s="354" t="s">
        <v>395</v>
      </c>
      <c r="O90" s="354">
        <v>16.010000000000002</v>
      </c>
      <c r="P90" s="355" t="s">
        <v>396</v>
      </c>
      <c r="Q90" s="353" t="s">
        <v>404</v>
      </c>
      <c r="R90" s="355" t="s">
        <v>405</v>
      </c>
      <c r="S90" s="355">
        <v>103328</v>
      </c>
      <c r="T90" s="350" t="s">
        <v>406</v>
      </c>
      <c r="U90" s="351">
        <v>45082</v>
      </c>
      <c r="V90" s="351">
        <v>45082</v>
      </c>
      <c r="W90" s="350" t="s">
        <v>407</v>
      </c>
    </row>
    <row r="91" spans="1:23" x14ac:dyDescent="0.25">
      <c r="A91" s="348" t="s">
        <v>471</v>
      </c>
      <c r="B91" s="349">
        <v>4799</v>
      </c>
      <c r="C91" s="350" t="s">
        <v>458</v>
      </c>
      <c r="D91" s="351">
        <v>45076</v>
      </c>
      <c r="E91" s="352">
        <v>3130</v>
      </c>
      <c r="F91" s="352">
        <v>1</v>
      </c>
      <c r="H91" s="350" t="s">
        <v>439</v>
      </c>
      <c r="I91" s="350" t="s">
        <v>393</v>
      </c>
      <c r="J91" s="354">
        <v>65749.600000000006</v>
      </c>
      <c r="K91" s="350" t="s">
        <v>394</v>
      </c>
      <c r="L91" s="354">
        <v>0</v>
      </c>
      <c r="M91" s="354">
        <v>32.01</v>
      </c>
      <c r="N91" s="354" t="s">
        <v>395</v>
      </c>
      <c r="O91" s="354">
        <v>26.3</v>
      </c>
      <c r="P91" s="355" t="s">
        <v>396</v>
      </c>
      <c r="Q91" s="353" t="s">
        <v>404</v>
      </c>
      <c r="R91" s="355" t="s">
        <v>405</v>
      </c>
      <c r="S91" s="355">
        <v>117293</v>
      </c>
      <c r="T91" s="350" t="s">
        <v>406</v>
      </c>
      <c r="U91" s="351">
        <v>45082</v>
      </c>
      <c r="V91" s="351">
        <v>45082</v>
      </c>
      <c r="W91" s="350" t="s">
        <v>407</v>
      </c>
    </row>
    <row r="92" spans="1:23" x14ac:dyDescent="0.25">
      <c r="A92" s="348" t="s">
        <v>471</v>
      </c>
      <c r="B92" s="349">
        <v>4799</v>
      </c>
      <c r="C92" s="350" t="s">
        <v>458</v>
      </c>
      <c r="D92" s="351">
        <v>45076</v>
      </c>
      <c r="E92" s="352">
        <v>3110</v>
      </c>
      <c r="F92" s="352">
        <v>1</v>
      </c>
      <c r="H92" s="350" t="s">
        <v>437</v>
      </c>
      <c r="I92" s="350" t="s">
        <v>393</v>
      </c>
      <c r="J92" s="354">
        <v>1524475</v>
      </c>
      <c r="K92" s="350" t="s">
        <v>394</v>
      </c>
      <c r="L92" s="354">
        <v>0</v>
      </c>
      <c r="M92" s="354">
        <v>742.08</v>
      </c>
      <c r="N92" s="354" t="s">
        <v>395</v>
      </c>
      <c r="O92" s="354">
        <v>609.79</v>
      </c>
      <c r="P92" s="355" t="s">
        <v>396</v>
      </c>
      <c r="Q92" s="353" t="s">
        <v>404</v>
      </c>
      <c r="R92" s="355" t="s">
        <v>405</v>
      </c>
      <c r="S92" s="355">
        <v>102955</v>
      </c>
      <c r="T92" s="350" t="s">
        <v>406</v>
      </c>
      <c r="U92" s="351">
        <v>45082</v>
      </c>
      <c r="V92" s="351">
        <v>45082</v>
      </c>
      <c r="W92" s="350" t="s">
        <v>407</v>
      </c>
    </row>
    <row r="93" spans="1:23" x14ac:dyDescent="0.25">
      <c r="A93" s="348" t="s">
        <v>471</v>
      </c>
      <c r="B93" s="349">
        <v>4799</v>
      </c>
      <c r="C93" s="350" t="s">
        <v>458</v>
      </c>
      <c r="D93" s="351">
        <v>45076</v>
      </c>
      <c r="E93" s="352">
        <v>3110</v>
      </c>
      <c r="F93" s="352">
        <v>1</v>
      </c>
      <c r="H93" s="350" t="s">
        <v>437</v>
      </c>
      <c r="I93" s="350" t="s">
        <v>393</v>
      </c>
      <c r="J93" s="354">
        <v>595528.80000000005</v>
      </c>
      <c r="K93" s="350" t="s">
        <v>394</v>
      </c>
      <c r="L93" s="354">
        <v>0</v>
      </c>
      <c r="M93" s="354">
        <v>289.89</v>
      </c>
      <c r="N93" s="354" t="s">
        <v>395</v>
      </c>
      <c r="O93" s="354">
        <v>238.21</v>
      </c>
      <c r="P93" s="355" t="s">
        <v>396</v>
      </c>
      <c r="Q93" s="353" t="s">
        <v>404</v>
      </c>
      <c r="R93" s="355" t="s">
        <v>405</v>
      </c>
      <c r="S93" s="355">
        <v>103265</v>
      </c>
      <c r="T93" s="350" t="s">
        <v>406</v>
      </c>
      <c r="U93" s="351">
        <v>45082</v>
      </c>
      <c r="V93" s="351">
        <v>45082</v>
      </c>
      <c r="W93" s="350" t="s">
        <v>407</v>
      </c>
    </row>
    <row r="94" spans="1:23" x14ac:dyDescent="0.25">
      <c r="A94" s="348" t="s">
        <v>471</v>
      </c>
      <c r="B94" s="349">
        <v>4799</v>
      </c>
      <c r="C94" s="350" t="s">
        <v>458</v>
      </c>
      <c r="D94" s="351">
        <v>45076</v>
      </c>
      <c r="E94" s="352">
        <v>3110</v>
      </c>
      <c r="F94" s="352">
        <v>1</v>
      </c>
      <c r="H94" s="350" t="s">
        <v>437</v>
      </c>
      <c r="I94" s="350" t="s">
        <v>393</v>
      </c>
      <c r="J94" s="354">
        <v>5592445</v>
      </c>
      <c r="K94" s="350" t="s">
        <v>394</v>
      </c>
      <c r="L94" s="354">
        <v>0</v>
      </c>
      <c r="M94" s="354">
        <v>2722.29</v>
      </c>
      <c r="N94" s="354" t="s">
        <v>395</v>
      </c>
      <c r="O94" s="354">
        <v>2236.98</v>
      </c>
      <c r="P94" s="355" t="s">
        <v>396</v>
      </c>
      <c r="Q94" s="353" t="s">
        <v>404</v>
      </c>
      <c r="R94" s="355" t="s">
        <v>405</v>
      </c>
      <c r="S94" s="355">
        <v>117871</v>
      </c>
      <c r="T94" s="350" t="s">
        <v>406</v>
      </c>
      <c r="U94" s="351">
        <v>45082</v>
      </c>
      <c r="V94" s="351">
        <v>45082</v>
      </c>
      <c r="W94" s="350" t="s">
        <v>407</v>
      </c>
    </row>
    <row r="95" spans="1:23" x14ac:dyDescent="0.25">
      <c r="A95" s="348" t="s">
        <v>471</v>
      </c>
      <c r="B95" s="349">
        <v>4799</v>
      </c>
      <c r="C95" s="350" t="s">
        <v>458</v>
      </c>
      <c r="D95" s="351">
        <v>45076</v>
      </c>
      <c r="E95" s="352">
        <v>3110</v>
      </c>
      <c r="F95" s="352">
        <v>1</v>
      </c>
      <c r="H95" s="350" t="s">
        <v>437</v>
      </c>
      <c r="I95" s="350" t="s">
        <v>393</v>
      </c>
      <c r="J95" s="354">
        <v>3083644.8</v>
      </c>
      <c r="K95" s="350" t="s">
        <v>394</v>
      </c>
      <c r="L95" s="354">
        <v>0</v>
      </c>
      <c r="M95" s="354">
        <v>1501.06</v>
      </c>
      <c r="N95" s="354" t="s">
        <v>395</v>
      </c>
      <c r="O95" s="354">
        <v>1233.46</v>
      </c>
      <c r="P95" s="355" t="s">
        <v>396</v>
      </c>
      <c r="Q95" s="353" t="s">
        <v>404</v>
      </c>
      <c r="R95" s="355" t="s">
        <v>405</v>
      </c>
      <c r="S95" s="355">
        <v>103321</v>
      </c>
      <c r="T95" s="350" t="s">
        <v>406</v>
      </c>
      <c r="U95" s="351">
        <v>45082</v>
      </c>
      <c r="V95" s="351">
        <v>45082</v>
      </c>
      <c r="W95" s="350" t="s">
        <v>407</v>
      </c>
    </row>
    <row r="96" spans="1:23" x14ac:dyDescent="0.25">
      <c r="A96" s="348" t="s">
        <v>471</v>
      </c>
      <c r="B96" s="349">
        <v>4799</v>
      </c>
      <c r="C96" s="350" t="s">
        <v>458</v>
      </c>
      <c r="D96" s="351">
        <v>45076</v>
      </c>
      <c r="E96" s="352">
        <v>3110</v>
      </c>
      <c r="F96" s="352">
        <v>1</v>
      </c>
      <c r="H96" s="350" t="s">
        <v>437</v>
      </c>
      <c r="I96" s="350" t="s">
        <v>393</v>
      </c>
      <c r="J96" s="354">
        <v>598983.44999999995</v>
      </c>
      <c r="K96" s="350" t="s">
        <v>394</v>
      </c>
      <c r="L96" s="354">
        <v>0</v>
      </c>
      <c r="M96" s="354">
        <v>291.57</v>
      </c>
      <c r="N96" s="354" t="s">
        <v>395</v>
      </c>
      <c r="O96" s="354">
        <v>239.59</v>
      </c>
      <c r="P96" s="355" t="s">
        <v>396</v>
      </c>
      <c r="Q96" s="353" t="s">
        <v>404</v>
      </c>
      <c r="R96" s="355" t="s">
        <v>405</v>
      </c>
      <c r="S96" s="355">
        <v>117427</v>
      </c>
      <c r="T96" s="350" t="s">
        <v>406</v>
      </c>
      <c r="U96" s="351">
        <v>45082</v>
      </c>
      <c r="V96" s="351">
        <v>45082</v>
      </c>
      <c r="W96" s="350" t="s">
        <v>407</v>
      </c>
    </row>
    <row r="97" spans="1:23" x14ac:dyDescent="0.25">
      <c r="A97" s="348" t="s">
        <v>471</v>
      </c>
      <c r="B97" s="349">
        <v>4799</v>
      </c>
      <c r="C97" s="350" t="s">
        <v>458</v>
      </c>
      <c r="D97" s="351">
        <v>45076</v>
      </c>
      <c r="E97" s="352">
        <v>3110</v>
      </c>
      <c r="F97" s="352">
        <v>1</v>
      </c>
      <c r="H97" s="350" t="s">
        <v>437</v>
      </c>
      <c r="I97" s="350" t="s">
        <v>393</v>
      </c>
      <c r="J97" s="354">
        <v>3194579.2</v>
      </c>
      <c r="K97" s="350" t="s">
        <v>394</v>
      </c>
      <c r="L97" s="354">
        <v>0</v>
      </c>
      <c r="M97" s="354">
        <v>1555.06</v>
      </c>
      <c r="N97" s="354" t="s">
        <v>395</v>
      </c>
      <c r="O97" s="354">
        <v>1277.83</v>
      </c>
      <c r="P97" s="355" t="s">
        <v>396</v>
      </c>
      <c r="Q97" s="353" t="s">
        <v>404</v>
      </c>
      <c r="R97" s="355" t="s">
        <v>405</v>
      </c>
      <c r="S97" s="355">
        <v>117872</v>
      </c>
      <c r="T97" s="350" t="s">
        <v>406</v>
      </c>
      <c r="U97" s="351">
        <v>45082</v>
      </c>
      <c r="V97" s="351">
        <v>45082</v>
      </c>
      <c r="W97" s="350" t="s">
        <v>407</v>
      </c>
    </row>
    <row r="98" spans="1:23" x14ac:dyDescent="0.25">
      <c r="A98" s="348" t="s">
        <v>471</v>
      </c>
      <c r="B98" s="349">
        <v>4799</v>
      </c>
      <c r="C98" s="350" t="s">
        <v>458</v>
      </c>
      <c r="D98" s="351">
        <v>45076</v>
      </c>
      <c r="E98" s="352">
        <v>3110</v>
      </c>
      <c r="F98" s="352">
        <v>1</v>
      </c>
      <c r="H98" s="350" t="s">
        <v>437</v>
      </c>
      <c r="I98" s="350" t="s">
        <v>393</v>
      </c>
      <c r="J98" s="354">
        <v>481329.9</v>
      </c>
      <c r="K98" s="350" t="s">
        <v>394</v>
      </c>
      <c r="L98" s="354">
        <v>0</v>
      </c>
      <c r="M98" s="354">
        <v>234.3</v>
      </c>
      <c r="N98" s="354" t="s">
        <v>395</v>
      </c>
      <c r="O98" s="354">
        <v>192.53</v>
      </c>
      <c r="P98" s="355" t="s">
        <v>396</v>
      </c>
      <c r="Q98" s="353" t="s">
        <v>404</v>
      </c>
      <c r="R98" s="355" t="s">
        <v>405</v>
      </c>
      <c r="S98" s="355">
        <v>103328</v>
      </c>
      <c r="T98" s="350" t="s">
        <v>406</v>
      </c>
      <c r="U98" s="351">
        <v>45082</v>
      </c>
      <c r="V98" s="351">
        <v>45082</v>
      </c>
      <c r="W98" s="350" t="s">
        <v>407</v>
      </c>
    </row>
    <row r="99" spans="1:23" x14ac:dyDescent="0.25">
      <c r="A99" s="348" t="s">
        <v>471</v>
      </c>
      <c r="B99" s="349">
        <v>4799</v>
      </c>
      <c r="C99" s="350" t="s">
        <v>458</v>
      </c>
      <c r="D99" s="351">
        <v>45076</v>
      </c>
      <c r="E99" s="352">
        <v>3110</v>
      </c>
      <c r="F99" s="352">
        <v>1</v>
      </c>
      <c r="H99" s="350" t="s">
        <v>437</v>
      </c>
      <c r="I99" s="350" t="s">
        <v>393</v>
      </c>
      <c r="J99" s="354">
        <v>684495.8</v>
      </c>
      <c r="K99" s="350" t="s">
        <v>394</v>
      </c>
      <c r="L99" s="354">
        <v>0</v>
      </c>
      <c r="M99" s="354">
        <v>333.2</v>
      </c>
      <c r="N99" s="354" t="s">
        <v>395</v>
      </c>
      <c r="O99" s="354">
        <v>273.8</v>
      </c>
      <c r="P99" s="355" t="s">
        <v>396</v>
      </c>
      <c r="Q99" s="353" t="s">
        <v>404</v>
      </c>
      <c r="R99" s="355" t="s">
        <v>405</v>
      </c>
      <c r="S99" s="355">
        <v>117293</v>
      </c>
      <c r="T99" s="350" t="s">
        <v>406</v>
      </c>
      <c r="U99" s="351">
        <v>45082</v>
      </c>
      <c r="V99" s="351">
        <v>45082</v>
      </c>
      <c r="W99" s="350" t="s">
        <v>407</v>
      </c>
    </row>
    <row r="100" spans="1:23" x14ac:dyDescent="0.25">
      <c r="A100" s="348" t="s">
        <v>471</v>
      </c>
      <c r="B100" s="349">
        <v>4799</v>
      </c>
      <c r="C100" s="350" t="s">
        <v>458</v>
      </c>
      <c r="D100" s="351">
        <v>45076</v>
      </c>
      <c r="E100" s="352">
        <v>3120</v>
      </c>
      <c r="F100" s="352">
        <v>1</v>
      </c>
      <c r="H100" s="350" t="s">
        <v>438</v>
      </c>
      <c r="I100" s="350" t="s">
        <v>393</v>
      </c>
      <c r="J100" s="354">
        <v>4410</v>
      </c>
      <c r="K100" s="350" t="s">
        <v>394</v>
      </c>
      <c r="L100" s="354">
        <v>0</v>
      </c>
      <c r="M100" s="354">
        <v>2.15</v>
      </c>
      <c r="N100" s="354" t="s">
        <v>395</v>
      </c>
      <c r="O100" s="354">
        <v>1.76</v>
      </c>
      <c r="P100" s="355" t="s">
        <v>396</v>
      </c>
      <c r="Q100" s="353" t="s">
        <v>404</v>
      </c>
      <c r="R100" s="355" t="s">
        <v>405</v>
      </c>
      <c r="S100" s="355">
        <v>103265</v>
      </c>
      <c r="T100" s="350" t="s">
        <v>406</v>
      </c>
      <c r="U100" s="351">
        <v>45082</v>
      </c>
      <c r="V100" s="351">
        <v>45082</v>
      </c>
      <c r="W100" s="350" t="s">
        <v>407</v>
      </c>
    </row>
    <row r="101" spans="1:23" x14ac:dyDescent="0.25">
      <c r="A101" s="348" t="s">
        <v>471</v>
      </c>
      <c r="B101" s="349">
        <v>4799</v>
      </c>
      <c r="C101" s="350" t="s">
        <v>458</v>
      </c>
      <c r="D101" s="351">
        <v>45076</v>
      </c>
      <c r="E101" s="352">
        <v>3120</v>
      </c>
      <c r="F101" s="352">
        <v>1</v>
      </c>
      <c r="H101" s="350" t="s">
        <v>438</v>
      </c>
      <c r="I101" s="350" t="s">
        <v>393</v>
      </c>
      <c r="J101" s="354">
        <v>29400</v>
      </c>
      <c r="K101" s="350" t="s">
        <v>394</v>
      </c>
      <c r="L101" s="354">
        <v>0</v>
      </c>
      <c r="M101" s="354">
        <v>14.31</v>
      </c>
      <c r="N101" s="354" t="s">
        <v>395</v>
      </c>
      <c r="O101" s="354">
        <v>11.76</v>
      </c>
      <c r="P101" s="355" t="s">
        <v>396</v>
      </c>
      <c r="Q101" s="353" t="s">
        <v>404</v>
      </c>
      <c r="R101" s="355" t="s">
        <v>405</v>
      </c>
      <c r="S101" s="355">
        <v>117871</v>
      </c>
      <c r="T101" s="350" t="s">
        <v>406</v>
      </c>
      <c r="U101" s="351">
        <v>45082</v>
      </c>
      <c r="V101" s="351">
        <v>45082</v>
      </c>
      <c r="W101" s="350" t="s">
        <v>407</v>
      </c>
    </row>
    <row r="102" spans="1:23" x14ac:dyDescent="0.25">
      <c r="A102" s="348" t="s">
        <v>471</v>
      </c>
      <c r="B102" s="349">
        <v>4799</v>
      </c>
      <c r="C102" s="350" t="s">
        <v>458</v>
      </c>
      <c r="D102" s="351">
        <v>45076</v>
      </c>
      <c r="E102" s="352">
        <v>3120</v>
      </c>
      <c r="F102" s="352">
        <v>1</v>
      </c>
      <c r="H102" s="350" t="s">
        <v>438</v>
      </c>
      <c r="I102" s="350" t="s">
        <v>393</v>
      </c>
      <c r="J102" s="354">
        <v>23520</v>
      </c>
      <c r="K102" s="350" t="s">
        <v>394</v>
      </c>
      <c r="L102" s="354">
        <v>0</v>
      </c>
      <c r="M102" s="354">
        <v>11.45</v>
      </c>
      <c r="N102" s="354" t="s">
        <v>395</v>
      </c>
      <c r="O102" s="354">
        <v>9.41</v>
      </c>
      <c r="P102" s="355" t="s">
        <v>396</v>
      </c>
      <c r="Q102" s="353" t="s">
        <v>404</v>
      </c>
      <c r="R102" s="355" t="s">
        <v>405</v>
      </c>
      <c r="S102" s="355">
        <v>103321</v>
      </c>
      <c r="T102" s="350" t="s">
        <v>406</v>
      </c>
      <c r="U102" s="351">
        <v>45082</v>
      </c>
      <c r="V102" s="351">
        <v>45082</v>
      </c>
      <c r="W102" s="350" t="s">
        <v>407</v>
      </c>
    </row>
    <row r="103" spans="1:23" x14ac:dyDescent="0.25">
      <c r="A103" s="348" t="s">
        <v>471</v>
      </c>
      <c r="B103" s="349">
        <v>4799</v>
      </c>
      <c r="C103" s="350" t="s">
        <v>458</v>
      </c>
      <c r="D103" s="351">
        <v>45076</v>
      </c>
      <c r="E103" s="352">
        <v>3120</v>
      </c>
      <c r="F103" s="352">
        <v>1</v>
      </c>
      <c r="H103" s="350" t="s">
        <v>438</v>
      </c>
      <c r="I103" s="350" t="s">
        <v>393</v>
      </c>
      <c r="J103" s="354">
        <v>23520</v>
      </c>
      <c r="K103" s="350" t="s">
        <v>394</v>
      </c>
      <c r="L103" s="354">
        <v>0</v>
      </c>
      <c r="M103" s="354">
        <v>11.45</v>
      </c>
      <c r="N103" s="354" t="s">
        <v>395</v>
      </c>
      <c r="O103" s="354">
        <v>1.76</v>
      </c>
      <c r="P103" s="355" t="s">
        <v>396</v>
      </c>
      <c r="Q103" s="353" t="s">
        <v>404</v>
      </c>
      <c r="R103" s="355" t="s">
        <v>405</v>
      </c>
      <c r="S103" s="355">
        <v>117872</v>
      </c>
      <c r="T103" s="350" t="s">
        <v>406</v>
      </c>
      <c r="U103" s="351">
        <v>45082</v>
      </c>
      <c r="V103" s="351">
        <v>45082</v>
      </c>
      <c r="W103" s="350" t="s">
        <v>407</v>
      </c>
    </row>
    <row r="104" spans="1:23" x14ac:dyDescent="0.25">
      <c r="A104" s="348" t="s">
        <v>471</v>
      </c>
      <c r="B104" s="349">
        <v>4799</v>
      </c>
      <c r="C104" s="350" t="s">
        <v>458</v>
      </c>
      <c r="D104" s="351">
        <v>45076</v>
      </c>
      <c r="E104" s="352">
        <v>3120</v>
      </c>
      <c r="F104" s="352">
        <v>1</v>
      </c>
      <c r="H104" s="350" t="s">
        <v>438</v>
      </c>
      <c r="I104" s="350" t="s">
        <v>393</v>
      </c>
      <c r="J104" s="354">
        <v>8820</v>
      </c>
      <c r="K104" s="350" t="s">
        <v>394</v>
      </c>
      <c r="L104" s="354">
        <v>0</v>
      </c>
      <c r="M104" s="354">
        <v>4.29</v>
      </c>
      <c r="N104" s="354" t="s">
        <v>395</v>
      </c>
      <c r="O104" s="354">
        <v>9.41</v>
      </c>
      <c r="P104" s="355" t="s">
        <v>396</v>
      </c>
      <c r="Q104" s="353" t="s">
        <v>404</v>
      </c>
      <c r="R104" s="355" t="s">
        <v>405</v>
      </c>
      <c r="S104" s="355">
        <v>103328</v>
      </c>
      <c r="T104" s="350" t="s">
        <v>406</v>
      </c>
      <c r="U104" s="351">
        <v>45082</v>
      </c>
      <c r="V104" s="351">
        <v>45082</v>
      </c>
      <c r="W104" s="350" t="s">
        <v>407</v>
      </c>
    </row>
    <row r="105" spans="1:23" x14ac:dyDescent="0.25">
      <c r="A105" s="348" t="s">
        <v>471</v>
      </c>
      <c r="B105" s="349">
        <v>4799</v>
      </c>
      <c r="C105" s="350" t="s">
        <v>458</v>
      </c>
      <c r="D105" s="351">
        <v>45076</v>
      </c>
      <c r="E105" s="352">
        <v>3120</v>
      </c>
      <c r="F105" s="352">
        <v>1</v>
      </c>
      <c r="H105" s="350" t="s">
        <v>438</v>
      </c>
      <c r="I105" s="350" t="s">
        <v>393</v>
      </c>
      <c r="J105" s="354">
        <v>2940</v>
      </c>
      <c r="K105" s="350" t="s">
        <v>394</v>
      </c>
      <c r="L105" s="354">
        <v>0</v>
      </c>
      <c r="M105" s="354">
        <v>1.43</v>
      </c>
      <c r="N105" s="354" t="s">
        <v>395</v>
      </c>
      <c r="O105" s="354">
        <v>3.53</v>
      </c>
      <c r="P105" s="355" t="s">
        <v>396</v>
      </c>
      <c r="Q105" s="353" t="s">
        <v>404</v>
      </c>
      <c r="R105" s="355" t="s">
        <v>405</v>
      </c>
      <c r="S105" s="355">
        <v>117293</v>
      </c>
      <c r="T105" s="350" t="s">
        <v>406</v>
      </c>
      <c r="U105" s="351">
        <v>45082</v>
      </c>
      <c r="V105" s="351">
        <v>45082</v>
      </c>
      <c r="W105" s="350" t="s">
        <v>407</v>
      </c>
    </row>
    <row r="106" spans="1:23" x14ac:dyDescent="0.25">
      <c r="A106" s="348" t="s">
        <v>471</v>
      </c>
      <c r="B106" s="349">
        <v>4799</v>
      </c>
      <c r="C106" s="350" t="s">
        <v>458</v>
      </c>
      <c r="D106" s="351">
        <v>45076</v>
      </c>
      <c r="E106" s="352">
        <v>3120</v>
      </c>
      <c r="F106" s="352">
        <v>1</v>
      </c>
      <c r="H106" s="350" t="s">
        <v>438</v>
      </c>
      <c r="I106" s="350" t="s">
        <v>393</v>
      </c>
      <c r="J106" s="354">
        <v>4410</v>
      </c>
      <c r="K106" s="350" t="s">
        <v>394</v>
      </c>
      <c r="L106" s="354">
        <v>0</v>
      </c>
      <c r="M106" s="354">
        <v>2.15</v>
      </c>
      <c r="N106" s="354" t="s">
        <v>395</v>
      </c>
      <c r="O106" s="354">
        <v>1.18</v>
      </c>
      <c r="P106" s="355" t="s">
        <v>396</v>
      </c>
      <c r="Q106" s="353" t="s">
        <v>404</v>
      </c>
      <c r="R106" s="355" t="s">
        <v>405</v>
      </c>
      <c r="S106" s="355">
        <v>117427</v>
      </c>
      <c r="T106" s="350" t="s">
        <v>406</v>
      </c>
      <c r="U106" s="351">
        <v>45082</v>
      </c>
      <c r="V106" s="351">
        <v>45082</v>
      </c>
      <c r="W106" s="350" t="s">
        <v>407</v>
      </c>
    </row>
    <row r="107" spans="1:23" x14ac:dyDescent="0.25">
      <c r="A107" s="348" t="s">
        <v>472</v>
      </c>
      <c r="B107" s="349">
        <v>4805</v>
      </c>
      <c r="C107" s="350" t="s">
        <v>458</v>
      </c>
      <c r="D107" s="351">
        <v>45057</v>
      </c>
      <c r="E107" s="352">
        <v>3420</v>
      </c>
      <c r="F107" s="352">
        <v>7</v>
      </c>
      <c r="H107" s="350" t="s">
        <v>473</v>
      </c>
      <c r="I107" s="350" t="s">
        <v>393</v>
      </c>
      <c r="J107" s="354">
        <v>35381</v>
      </c>
      <c r="K107" s="350" t="s">
        <v>394</v>
      </c>
      <c r="L107" s="354">
        <v>0</v>
      </c>
      <c r="M107" s="354">
        <v>17.22</v>
      </c>
      <c r="N107" s="354" t="s">
        <v>395</v>
      </c>
      <c r="O107" s="354">
        <v>13.75</v>
      </c>
      <c r="P107" s="355" t="s">
        <v>396</v>
      </c>
      <c r="Q107" s="353" t="s">
        <v>404</v>
      </c>
      <c r="R107" s="355" t="s">
        <v>405</v>
      </c>
      <c r="S107" s="355">
        <v>0</v>
      </c>
      <c r="T107" s="350" t="s">
        <v>474</v>
      </c>
      <c r="U107" s="351">
        <v>45079</v>
      </c>
      <c r="V107" s="351">
        <v>45082</v>
      </c>
      <c r="W107" s="350" t="s">
        <v>407</v>
      </c>
    </row>
    <row r="108" spans="1:23" x14ac:dyDescent="0.25">
      <c r="A108" s="348" t="s">
        <v>472</v>
      </c>
      <c r="B108" s="349">
        <v>4949</v>
      </c>
      <c r="C108" s="350" t="s">
        <v>458</v>
      </c>
      <c r="D108" s="351">
        <v>45057</v>
      </c>
      <c r="E108" s="352">
        <v>3420</v>
      </c>
      <c r="F108" s="352">
        <v>7</v>
      </c>
      <c r="H108" s="350" t="s">
        <v>475</v>
      </c>
      <c r="I108" s="350" t="s">
        <v>476</v>
      </c>
      <c r="J108" s="354">
        <v>-35381</v>
      </c>
      <c r="K108" s="350" t="s">
        <v>394</v>
      </c>
      <c r="L108" s="354">
        <v>0</v>
      </c>
      <c r="M108" s="354">
        <v>-17.22</v>
      </c>
      <c r="N108" s="354" t="s">
        <v>395</v>
      </c>
      <c r="O108" s="354">
        <v>-13.75</v>
      </c>
      <c r="P108" s="355" t="s">
        <v>396</v>
      </c>
      <c r="Q108" s="353" t="s">
        <v>404</v>
      </c>
      <c r="R108" s="355" t="s">
        <v>405</v>
      </c>
      <c r="S108" s="355">
        <v>0</v>
      </c>
      <c r="T108" s="350" t="s">
        <v>410</v>
      </c>
      <c r="U108" s="351">
        <v>45082</v>
      </c>
      <c r="V108" s="351">
        <v>45082</v>
      </c>
      <c r="W108" s="350" t="s">
        <v>407</v>
      </c>
    </row>
    <row r="109" spans="1:23" x14ac:dyDescent="0.25">
      <c r="A109" s="348" t="s">
        <v>477</v>
      </c>
      <c r="B109" s="349">
        <v>4956</v>
      </c>
      <c r="C109" s="350" t="s">
        <v>458</v>
      </c>
      <c r="D109" s="351">
        <v>45048</v>
      </c>
      <c r="E109" s="352">
        <v>3170</v>
      </c>
      <c r="F109" s="352">
        <v>1</v>
      </c>
      <c r="H109" s="350" t="s">
        <v>478</v>
      </c>
      <c r="I109" s="350" t="s">
        <v>393</v>
      </c>
      <c r="J109" s="354">
        <v>231094</v>
      </c>
      <c r="K109" s="350" t="s">
        <v>394</v>
      </c>
      <c r="L109" s="354">
        <v>0</v>
      </c>
      <c r="M109" s="354">
        <v>112.49</v>
      </c>
      <c r="N109" s="354" t="s">
        <v>395</v>
      </c>
      <c r="O109" s="354">
        <v>89.83</v>
      </c>
      <c r="P109" s="355" t="s">
        <v>396</v>
      </c>
      <c r="Q109" s="353" t="s">
        <v>404</v>
      </c>
      <c r="R109" s="355" t="s">
        <v>405</v>
      </c>
      <c r="S109" s="355">
        <v>0</v>
      </c>
      <c r="T109" s="350" t="s">
        <v>410</v>
      </c>
      <c r="U109" s="351">
        <v>45082</v>
      </c>
      <c r="V109" s="351">
        <v>45082</v>
      </c>
      <c r="W109" s="350" t="s">
        <v>407</v>
      </c>
    </row>
    <row r="110" spans="1:23" x14ac:dyDescent="0.25">
      <c r="A110" s="348" t="s">
        <v>477</v>
      </c>
      <c r="B110" s="349">
        <v>4956</v>
      </c>
      <c r="C110" s="350" t="s">
        <v>458</v>
      </c>
      <c r="D110" s="351">
        <v>45048</v>
      </c>
      <c r="E110" s="352">
        <v>3170</v>
      </c>
      <c r="F110" s="352">
        <v>1</v>
      </c>
      <c r="H110" s="350" t="s">
        <v>479</v>
      </c>
      <c r="I110" s="350" t="s">
        <v>393</v>
      </c>
      <c r="J110" s="354">
        <v>410380</v>
      </c>
      <c r="K110" s="350" t="s">
        <v>394</v>
      </c>
      <c r="L110" s="354">
        <v>0</v>
      </c>
      <c r="M110" s="354">
        <v>199.76</v>
      </c>
      <c r="N110" s="354" t="s">
        <v>395</v>
      </c>
      <c r="O110" s="354">
        <v>159.52000000000001</v>
      </c>
      <c r="P110" s="355" t="s">
        <v>396</v>
      </c>
      <c r="Q110" s="353" t="s">
        <v>404</v>
      </c>
      <c r="R110" s="355" t="s">
        <v>405</v>
      </c>
      <c r="S110" s="355">
        <v>0</v>
      </c>
      <c r="T110" s="350" t="s">
        <v>410</v>
      </c>
      <c r="U110" s="351">
        <v>45082</v>
      </c>
      <c r="V110" s="351">
        <v>45082</v>
      </c>
      <c r="W110" s="350" t="s">
        <v>407</v>
      </c>
    </row>
    <row r="111" spans="1:23" x14ac:dyDescent="0.25">
      <c r="A111" s="348" t="s">
        <v>477</v>
      </c>
      <c r="B111" s="349">
        <v>4956</v>
      </c>
      <c r="C111" s="350" t="s">
        <v>458</v>
      </c>
      <c r="D111" s="351">
        <v>45048</v>
      </c>
      <c r="E111" s="352">
        <v>3170</v>
      </c>
      <c r="F111" s="352">
        <v>1</v>
      </c>
      <c r="H111" s="350" t="s">
        <v>480</v>
      </c>
      <c r="I111" s="350" t="s">
        <v>393</v>
      </c>
      <c r="J111" s="354">
        <v>1508810</v>
      </c>
      <c r="K111" s="350" t="s">
        <v>394</v>
      </c>
      <c r="L111" s="354">
        <v>0</v>
      </c>
      <c r="M111" s="354">
        <v>734.46</v>
      </c>
      <c r="N111" s="354" t="s">
        <v>395</v>
      </c>
      <c r="O111" s="354">
        <v>586.49</v>
      </c>
      <c r="P111" s="355" t="s">
        <v>396</v>
      </c>
      <c r="Q111" s="353" t="s">
        <v>404</v>
      </c>
      <c r="R111" s="355" t="s">
        <v>405</v>
      </c>
      <c r="S111" s="355">
        <v>0</v>
      </c>
      <c r="T111" s="350" t="s">
        <v>410</v>
      </c>
      <c r="U111" s="351">
        <v>45082</v>
      </c>
      <c r="V111" s="351">
        <v>45082</v>
      </c>
      <c r="W111" s="350" t="s">
        <v>407</v>
      </c>
    </row>
    <row r="112" spans="1:23" x14ac:dyDescent="0.25">
      <c r="A112" s="348" t="s">
        <v>477</v>
      </c>
      <c r="B112" s="349">
        <v>4956</v>
      </c>
      <c r="C112" s="350" t="s">
        <v>458</v>
      </c>
      <c r="D112" s="351">
        <v>45048</v>
      </c>
      <c r="E112" s="352">
        <v>3170</v>
      </c>
      <c r="F112" s="352">
        <v>1</v>
      </c>
      <c r="H112" s="350" t="s">
        <v>481</v>
      </c>
      <c r="I112" s="350" t="s">
        <v>393</v>
      </c>
      <c r="J112" s="354">
        <v>47280</v>
      </c>
      <c r="K112" s="350" t="s">
        <v>394</v>
      </c>
      <c r="L112" s="354">
        <v>0</v>
      </c>
      <c r="M112" s="354">
        <v>23.01</v>
      </c>
      <c r="N112" s="354" t="s">
        <v>395</v>
      </c>
      <c r="O112" s="354">
        <v>18.38</v>
      </c>
      <c r="P112" s="355" t="s">
        <v>396</v>
      </c>
      <c r="Q112" s="353" t="s">
        <v>404</v>
      </c>
      <c r="R112" s="355" t="s">
        <v>405</v>
      </c>
      <c r="S112" s="355">
        <v>0</v>
      </c>
      <c r="T112" s="350" t="s">
        <v>410</v>
      </c>
      <c r="U112" s="351">
        <v>45082</v>
      </c>
      <c r="V112" s="351">
        <v>45082</v>
      </c>
      <c r="W112" s="350" t="s">
        <v>407</v>
      </c>
    </row>
    <row r="113" spans="1:23" x14ac:dyDescent="0.25">
      <c r="A113" s="348" t="s">
        <v>477</v>
      </c>
      <c r="B113" s="349">
        <v>4956</v>
      </c>
      <c r="C113" s="350" t="s">
        <v>458</v>
      </c>
      <c r="D113" s="351">
        <v>45048</v>
      </c>
      <c r="E113" s="352">
        <v>3170</v>
      </c>
      <c r="F113" s="352">
        <v>1</v>
      </c>
      <c r="H113" s="350" t="s">
        <v>482</v>
      </c>
      <c r="I113" s="350" t="s">
        <v>393</v>
      </c>
      <c r="J113" s="354">
        <v>85664</v>
      </c>
      <c r="K113" s="350" t="s">
        <v>394</v>
      </c>
      <c r="L113" s="354">
        <v>0</v>
      </c>
      <c r="M113" s="354">
        <v>41.7</v>
      </c>
      <c r="N113" s="354" t="s">
        <v>395</v>
      </c>
      <c r="O113" s="354">
        <v>33.299999999999997</v>
      </c>
      <c r="P113" s="355" t="s">
        <v>396</v>
      </c>
      <c r="Q113" s="353" t="s">
        <v>404</v>
      </c>
      <c r="R113" s="355" t="s">
        <v>405</v>
      </c>
      <c r="S113" s="355">
        <v>0</v>
      </c>
      <c r="T113" s="350" t="s">
        <v>410</v>
      </c>
      <c r="U113" s="351">
        <v>45082</v>
      </c>
      <c r="V113" s="351">
        <v>45082</v>
      </c>
      <c r="W113" s="350" t="s">
        <v>407</v>
      </c>
    </row>
    <row r="114" spans="1:23" x14ac:dyDescent="0.25">
      <c r="A114" s="348" t="s">
        <v>477</v>
      </c>
      <c r="B114" s="349">
        <v>4956</v>
      </c>
      <c r="C114" s="350" t="s">
        <v>458</v>
      </c>
      <c r="D114" s="351">
        <v>45048</v>
      </c>
      <c r="E114" s="352">
        <v>3170</v>
      </c>
      <c r="F114" s="352">
        <v>1</v>
      </c>
      <c r="H114" s="350" t="s">
        <v>483</v>
      </c>
      <c r="I114" s="350" t="s">
        <v>393</v>
      </c>
      <c r="J114" s="354">
        <v>2007034</v>
      </c>
      <c r="K114" s="350" t="s">
        <v>394</v>
      </c>
      <c r="L114" s="354">
        <v>0</v>
      </c>
      <c r="M114" s="354">
        <v>976.98</v>
      </c>
      <c r="N114" s="354" t="s">
        <v>395</v>
      </c>
      <c r="O114" s="354">
        <v>780.15</v>
      </c>
      <c r="P114" s="355" t="s">
        <v>396</v>
      </c>
      <c r="Q114" s="353" t="s">
        <v>404</v>
      </c>
      <c r="R114" s="355" t="s">
        <v>405</v>
      </c>
      <c r="S114" s="355">
        <v>0</v>
      </c>
      <c r="T114" s="350" t="s">
        <v>410</v>
      </c>
      <c r="U114" s="351">
        <v>45082</v>
      </c>
      <c r="V114" s="351">
        <v>45082</v>
      </c>
      <c r="W114" s="350" t="s">
        <v>407</v>
      </c>
    </row>
    <row r="115" spans="1:23" x14ac:dyDescent="0.25">
      <c r="A115" s="348" t="s">
        <v>477</v>
      </c>
      <c r="B115" s="349">
        <v>4956</v>
      </c>
      <c r="C115" s="350" t="s">
        <v>458</v>
      </c>
      <c r="D115" s="351">
        <v>45048</v>
      </c>
      <c r="E115" s="352">
        <v>3170</v>
      </c>
      <c r="F115" s="352">
        <v>1</v>
      </c>
      <c r="H115" s="350" t="s">
        <v>484</v>
      </c>
      <c r="I115" s="350" t="s">
        <v>393</v>
      </c>
      <c r="J115" s="354">
        <v>1942838</v>
      </c>
      <c r="K115" s="350" t="s">
        <v>394</v>
      </c>
      <c r="L115" s="354">
        <v>0</v>
      </c>
      <c r="M115" s="354">
        <v>945.73</v>
      </c>
      <c r="N115" s="354" t="s">
        <v>395</v>
      </c>
      <c r="O115" s="354">
        <v>755.2</v>
      </c>
      <c r="P115" s="355" t="s">
        <v>396</v>
      </c>
      <c r="Q115" s="353" t="s">
        <v>404</v>
      </c>
      <c r="R115" s="355" t="s">
        <v>405</v>
      </c>
      <c r="S115" s="355">
        <v>0</v>
      </c>
      <c r="T115" s="350" t="s">
        <v>410</v>
      </c>
      <c r="U115" s="351">
        <v>45082</v>
      </c>
      <c r="V115" s="351">
        <v>45082</v>
      </c>
      <c r="W115" s="350" t="s">
        <v>407</v>
      </c>
    </row>
    <row r="116" spans="1:23" x14ac:dyDescent="0.25">
      <c r="A116" s="348" t="s">
        <v>485</v>
      </c>
      <c r="B116" s="349">
        <v>4822</v>
      </c>
      <c r="C116" s="350" t="s">
        <v>458</v>
      </c>
      <c r="D116" s="351">
        <v>45072</v>
      </c>
      <c r="E116" s="352">
        <v>3420</v>
      </c>
      <c r="F116" s="352">
        <v>7</v>
      </c>
      <c r="H116" s="350" t="s">
        <v>486</v>
      </c>
      <c r="I116" s="350" t="s">
        <v>393</v>
      </c>
      <c r="J116" s="354">
        <v>222775</v>
      </c>
      <c r="K116" s="350" t="s">
        <v>394</v>
      </c>
      <c r="L116" s="354">
        <v>0</v>
      </c>
      <c r="M116" s="354">
        <v>108.44</v>
      </c>
      <c r="N116" s="354" t="s">
        <v>395</v>
      </c>
      <c r="O116" s="354">
        <v>86.59</v>
      </c>
      <c r="P116" s="355" t="s">
        <v>396</v>
      </c>
      <c r="Q116" s="353" t="s">
        <v>404</v>
      </c>
      <c r="R116" s="355" t="s">
        <v>405</v>
      </c>
      <c r="S116" s="355">
        <v>0</v>
      </c>
      <c r="T116" s="350" t="s">
        <v>474</v>
      </c>
      <c r="U116" s="351">
        <v>45080</v>
      </c>
      <c r="V116" s="351">
        <v>45082</v>
      </c>
      <c r="W116" s="350" t="s">
        <v>407</v>
      </c>
    </row>
    <row r="117" spans="1:23" x14ac:dyDescent="0.25">
      <c r="A117" s="348" t="s">
        <v>487</v>
      </c>
      <c r="B117" s="349">
        <v>4950</v>
      </c>
      <c r="C117" s="350" t="s">
        <v>458</v>
      </c>
      <c r="D117" s="351">
        <v>45072</v>
      </c>
      <c r="E117" s="352">
        <v>3420</v>
      </c>
      <c r="F117" s="352">
        <v>7</v>
      </c>
      <c r="H117" s="350" t="s">
        <v>488</v>
      </c>
      <c r="I117" s="350" t="s">
        <v>476</v>
      </c>
      <c r="J117" s="354">
        <v>-222775</v>
      </c>
      <c r="K117" s="350" t="s">
        <v>394</v>
      </c>
      <c r="L117" s="354">
        <v>0</v>
      </c>
      <c r="M117" s="354">
        <v>-108.44</v>
      </c>
      <c r="N117" s="354" t="s">
        <v>395</v>
      </c>
      <c r="O117" s="354">
        <v>-86.59</v>
      </c>
      <c r="P117" s="355" t="s">
        <v>396</v>
      </c>
      <c r="Q117" s="353" t="s">
        <v>404</v>
      </c>
      <c r="R117" s="355" t="s">
        <v>405</v>
      </c>
      <c r="S117" s="355">
        <v>0</v>
      </c>
      <c r="T117" s="350" t="s">
        <v>410</v>
      </c>
      <c r="U117" s="351">
        <v>45082</v>
      </c>
      <c r="V117" s="351">
        <v>45082</v>
      </c>
      <c r="W117" s="350" t="s">
        <v>407</v>
      </c>
    </row>
    <row r="118" spans="1:23" x14ac:dyDescent="0.25">
      <c r="A118" s="348" t="s">
        <v>489</v>
      </c>
      <c r="B118" s="349">
        <v>4912</v>
      </c>
      <c r="C118" s="350" t="s">
        <v>458</v>
      </c>
      <c r="D118" s="351">
        <v>45048</v>
      </c>
      <c r="E118" s="352">
        <v>3440</v>
      </c>
      <c r="F118" s="352">
        <v>7</v>
      </c>
      <c r="H118" s="350" t="s">
        <v>490</v>
      </c>
      <c r="I118" s="350" t="s">
        <v>393</v>
      </c>
      <c r="J118" s="354">
        <v>610000</v>
      </c>
      <c r="K118" s="350" t="s">
        <v>394</v>
      </c>
      <c r="L118" s="354">
        <v>0</v>
      </c>
      <c r="M118" s="354">
        <v>296.94</v>
      </c>
      <c r="N118" s="354" t="s">
        <v>395</v>
      </c>
      <c r="O118" s="354">
        <v>237.11</v>
      </c>
      <c r="P118" s="355" t="s">
        <v>396</v>
      </c>
      <c r="Q118" s="353" t="s">
        <v>404</v>
      </c>
      <c r="R118" s="355" t="s">
        <v>405</v>
      </c>
      <c r="S118" s="355">
        <v>0</v>
      </c>
      <c r="T118" s="350" t="s">
        <v>474</v>
      </c>
      <c r="U118" s="351">
        <v>45082</v>
      </c>
      <c r="V118" s="351">
        <v>45082</v>
      </c>
      <c r="W118" s="350" t="s">
        <v>407</v>
      </c>
    </row>
    <row r="119" spans="1:23" x14ac:dyDescent="0.25">
      <c r="A119" s="348" t="s">
        <v>491</v>
      </c>
      <c r="B119" s="349">
        <v>4955</v>
      </c>
      <c r="C119" s="350" t="s">
        <v>458</v>
      </c>
      <c r="D119" s="351">
        <v>45048</v>
      </c>
      <c r="E119" s="352">
        <v>3170</v>
      </c>
      <c r="F119" s="352">
        <v>1</v>
      </c>
      <c r="H119" s="350" t="s">
        <v>492</v>
      </c>
      <c r="I119" s="350" t="s">
        <v>393</v>
      </c>
      <c r="J119" s="354">
        <v>149131</v>
      </c>
      <c r="K119" s="350" t="s">
        <v>394</v>
      </c>
      <c r="L119" s="354">
        <v>0</v>
      </c>
      <c r="M119" s="354">
        <v>72.59</v>
      </c>
      <c r="N119" s="354" t="s">
        <v>395</v>
      </c>
      <c r="O119" s="354">
        <v>57.97</v>
      </c>
      <c r="P119" s="355" t="s">
        <v>396</v>
      </c>
      <c r="Q119" s="353" t="s">
        <v>404</v>
      </c>
      <c r="R119" s="355" t="s">
        <v>405</v>
      </c>
      <c r="S119" s="355">
        <v>0</v>
      </c>
      <c r="T119" s="350" t="s">
        <v>406</v>
      </c>
      <c r="U119" s="351">
        <v>45084</v>
      </c>
      <c r="V119" s="351">
        <v>45082</v>
      </c>
      <c r="W119" s="350" t="s">
        <v>407</v>
      </c>
    </row>
    <row r="120" spans="1:23" x14ac:dyDescent="0.25">
      <c r="A120" s="348" t="s">
        <v>491</v>
      </c>
      <c r="B120" s="349">
        <v>4955</v>
      </c>
      <c r="C120" s="350" t="s">
        <v>458</v>
      </c>
      <c r="D120" s="351">
        <v>45048</v>
      </c>
      <c r="E120" s="352">
        <v>3170</v>
      </c>
      <c r="F120" s="352">
        <v>1</v>
      </c>
      <c r="H120" s="350" t="s">
        <v>493</v>
      </c>
      <c r="I120" s="350" t="s">
        <v>393</v>
      </c>
      <c r="J120" s="354">
        <v>29364</v>
      </c>
      <c r="K120" s="350" t="s">
        <v>394</v>
      </c>
      <c r="L120" s="354">
        <v>0</v>
      </c>
      <c r="M120" s="354">
        <v>14.29</v>
      </c>
      <c r="N120" s="354" t="s">
        <v>395</v>
      </c>
      <c r="O120" s="354">
        <v>11.41</v>
      </c>
      <c r="P120" s="355" t="s">
        <v>396</v>
      </c>
      <c r="Q120" s="353" t="s">
        <v>404</v>
      </c>
      <c r="R120" s="355" t="s">
        <v>405</v>
      </c>
      <c r="S120" s="355">
        <v>0</v>
      </c>
      <c r="T120" s="350" t="s">
        <v>406</v>
      </c>
      <c r="U120" s="351">
        <v>45084</v>
      </c>
      <c r="V120" s="351">
        <v>45082</v>
      </c>
      <c r="W120" s="350" t="s">
        <v>407</v>
      </c>
    </row>
    <row r="121" spans="1:23" x14ac:dyDescent="0.25">
      <c r="A121" s="348" t="s">
        <v>491</v>
      </c>
      <c r="B121" s="349">
        <v>4955</v>
      </c>
      <c r="C121" s="350" t="s">
        <v>458</v>
      </c>
      <c r="D121" s="351">
        <v>45048</v>
      </c>
      <c r="E121" s="352">
        <v>3170</v>
      </c>
      <c r="F121" s="352">
        <v>1</v>
      </c>
      <c r="H121" s="350" t="s">
        <v>494</v>
      </c>
      <c r="I121" s="350" t="s">
        <v>393</v>
      </c>
      <c r="J121" s="354">
        <v>62043</v>
      </c>
      <c r="K121" s="350" t="s">
        <v>394</v>
      </c>
      <c r="L121" s="354">
        <v>0</v>
      </c>
      <c r="M121" s="354">
        <v>30.2</v>
      </c>
      <c r="N121" s="354" t="s">
        <v>395</v>
      </c>
      <c r="O121" s="354">
        <v>24.12</v>
      </c>
      <c r="P121" s="355" t="s">
        <v>396</v>
      </c>
      <c r="Q121" s="353" t="s">
        <v>404</v>
      </c>
      <c r="R121" s="355" t="s">
        <v>405</v>
      </c>
      <c r="S121" s="355">
        <v>0</v>
      </c>
      <c r="T121" s="350" t="s">
        <v>406</v>
      </c>
      <c r="U121" s="351">
        <v>45084</v>
      </c>
      <c r="V121" s="351">
        <v>45082</v>
      </c>
      <c r="W121" s="350" t="s">
        <v>407</v>
      </c>
    </row>
    <row r="122" spans="1:23" x14ac:dyDescent="0.25">
      <c r="A122" s="348" t="s">
        <v>491</v>
      </c>
      <c r="B122" s="349">
        <v>4955</v>
      </c>
      <c r="C122" s="350" t="s">
        <v>458</v>
      </c>
      <c r="D122" s="351">
        <v>45048</v>
      </c>
      <c r="E122" s="352">
        <v>3170</v>
      </c>
      <c r="F122" s="352">
        <v>1</v>
      </c>
      <c r="H122" s="350" t="s">
        <v>495</v>
      </c>
      <c r="I122" s="350" t="s">
        <v>393</v>
      </c>
      <c r="J122" s="354">
        <v>10251</v>
      </c>
      <c r="K122" s="350" t="s">
        <v>394</v>
      </c>
      <c r="L122" s="354">
        <v>0</v>
      </c>
      <c r="M122" s="354">
        <v>4.99</v>
      </c>
      <c r="N122" s="354" t="s">
        <v>395</v>
      </c>
      <c r="O122" s="354">
        <v>3.98</v>
      </c>
      <c r="P122" s="355" t="s">
        <v>396</v>
      </c>
      <c r="Q122" s="353" t="s">
        <v>404</v>
      </c>
      <c r="R122" s="355" t="s">
        <v>405</v>
      </c>
      <c r="S122" s="355">
        <v>0</v>
      </c>
      <c r="T122" s="350" t="s">
        <v>406</v>
      </c>
      <c r="U122" s="351">
        <v>45084</v>
      </c>
      <c r="V122" s="351">
        <v>45082</v>
      </c>
      <c r="W122" s="350" t="s">
        <v>407</v>
      </c>
    </row>
    <row r="123" spans="1:23" x14ac:dyDescent="0.25">
      <c r="A123" s="348" t="s">
        <v>491</v>
      </c>
      <c r="B123" s="349">
        <v>4955</v>
      </c>
      <c r="C123" s="350" t="s">
        <v>458</v>
      </c>
      <c r="D123" s="351">
        <v>45048</v>
      </c>
      <c r="E123" s="352">
        <v>3170</v>
      </c>
      <c r="F123" s="352">
        <v>1</v>
      </c>
      <c r="H123" s="350" t="s">
        <v>496</v>
      </c>
      <c r="I123" s="350" t="s">
        <v>393</v>
      </c>
      <c r="J123" s="354">
        <v>508317</v>
      </c>
      <c r="K123" s="350" t="s">
        <v>394</v>
      </c>
      <c r="L123" s="354">
        <v>0</v>
      </c>
      <c r="M123" s="354">
        <v>247.44</v>
      </c>
      <c r="N123" s="354" t="s">
        <v>395</v>
      </c>
      <c r="O123" s="354">
        <v>197.59</v>
      </c>
      <c r="P123" s="355" t="s">
        <v>396</v>
      </c>
      <c r="Q123" s="353" t="s">
        <v>404</v>
      </c>
      <c r="R123" s="355" t="s">
        <v>405</v>
      </c>
      <c r="S123" s="355">
        <v>0</v>
      </c>
      <c r="T123" s="350" t="s">
        <v>406</v>
      </c>
      <c r="U123" s="351">
        <v>45084</v>
      </c>
      <c r="V123" s="351">
        <v>45082</v>
      </c>
      <c r="W123" s="350" t="s">
        <v>407</v>
      </c>
    </row>
    <row r="124" spans="1:23" x14ac:dyDescent="0.25">
      <c r="A124" s="348" t="s">
        <v>491</v>
      </c>
      <c r="B124" s="349">
        <v>4955</v>
      </c>
      <c r="C124" s="350" t="s">
        <v>458</v>
      </c>
      <c r="D124" s="351">
        <v>45048</v>
      </c>
      <c r="E124" s="352">
        <v>3170</v>
      </c>
      <c r="F124" s="352">
        <v>1</v>
      </c>
      <c r="H124" s="350" t="s">
        <v>497</v>
      </c>
      <c r="I124" s="350" t="s">
        <v>393</v>
      </c>
      <c r="J124" s="354">
        <v>306966</v>
      </c>
      <c r="K124" s="350" t="s">
        <v>394</v>
      </c>
      <c r="L124" s="354">
        <v>0</v>
      </c>
      <c r="M124" s="354">
        <v>149.41999999999999</v>
      </c>
      <c r="N124" s="354" t="s">
        <v>395</v>
      </c>
      <c r="O124" s="354">
        <v>119.32</v>
      </c>
      <c r="P124" s="355" t="s">
        <v>396</v>
      </c>
      <c r="Q124" s="353" t="s">
        <v>404</v>
      </c>
      <c r="R124" s="355" t="s">
        <v>405</v>
      </c>
      <c r="S124" s="355">
        <v>0</v>
      </c>
      <c r="T124" s="350" t="s">
        <v>406</v>
      </c>
      <c r="U124" s="351">
        <v>45084</v>
      </c>
      <c r="V124" s="351">
        <v>45082</v>
      </c>
      <c r="W124" s="350" t="s">
        <v>407</v>
      </c>
    </row>
    <row r="125" spans="1:23" x14ac:dyDescent="0.25">
      <c r="A125" s="348" t="s">
        <v>491</v>
      </c>
      <c r="B125" s="349">
        <v>4955</v>
      </c>
      <c r="C125" s="350" t="s">
        <v>458</v>
      </c>
      <c r="D125" s="351">
        <v>45048</v>
      </c>
      <c r="E125" s="352">
        <v>3170</v>
      </c>
      <c r="F125" s="352">
        <v>1</v>
      </c>
      <c r="H125" s="350" t="s">
        <v>498</v>
      </c>
      <c r="I125" s="350" t="s">
        <v>393</v>
      </c>
      <c r="J125" s="354">
        <v>286157</v>
      </c>
      <c r="K125" s="350" t="s">
        <v>394</v>
      </c>
      <c r="L125" s="354">
        <v>0</v>
      </c>
      <c r="M125" s="354">
        <v>139.30000000000001</v>
      </c>
      <c r="N125" s="354" t="s">
        <v>395</v>
      </c>
      <c r="O125" s="354">
        <v>111.23</v>
      </c>
      <c r="P125" s="355" t="s">
        <v>396</v>
      </c>
      <c r="Q125" s="353" t="s">
        <v>404</v>
      </c>
      <c r="R125" s="355" t="s">
        <v>405</v>
      </c>
      <c r="S125" s="355">
        <v>0</v>
      </c>
      <c r="T125" s="350" t="s">
        <v>406</v>
      </c>
      <c r="U125" s="351">
        <v>45084</v>
      </c>
      <c r="V125" s="351">
        <v>45082</v>
      </c>
      <c r="W125" s="350" t="s">
        <v>407</v>
      </c>
    </row>
    <row r="126" spans="1:23" ht="28.5" customHeight="1" x14ac:dyDescent="0.25">
      <c r="A126" s="422" t="s">
        <v>528</v>
      </c>
      <c r="B126" s="349">
        <v>1</v>
      </c>
      <c r="C126" s="423">
        <v>44927</v>
      </c>
      <c r="D126" s="351">
        <v>44958</v>
      </c>
      <c r="E126" s="352"/>
      <c r="F126" s="352">
        <v>6</v>
      </c>
      <c r="G126" s="352" t="s">
        <v>312</v>
      </c>
      <c r="H126" s="424" t="s">
        <v>530</v>
      </c>
      <c r="I126" s="350" t="s">
        <v>393</v>
      </c>
      <c r="J126" s="375">
        <f>3827662*10%</f>
        <v>382766.2</v>
      </c>
      <c r="K126" s="350" t="s">
        <v>394</v>
      </c>
      <c r="L126" s="425">
        <v>2043.09</v>
      </c>
      <c r="M126" s="375">
        <f>J126/L126</f>
        <v>187.34671502479088</v>
      </c>
      <c r="N126" s="354" t="s">
        <v>395</v>
      </c>
      <c r="O126" s="354">
        <v>0</v>
      </c>
      <c r="P126" s="355" t="s">
        <v>396</v>
      </c>
      <c r="Q126" s="354" t="s">
        <v>397</v>
      </c>
      <c r="R126" s="378">
        <v>0</v>
      </c>
      <c r="S126" s="378">
        <v>0</v>
      </c>
      <c r="T126" s="373">
        <v>0</v>
      </c>
      <c r="U126" s="373">
        <v>0</v>
      </c>
      <c r="V126" s="373">
        <v>0</v>
      </c>
      <c r="W126" s="373">
        <v>0</v>
      </c>
    </row>
    <row r="127" spans="1:23" ht="28.15" customHeight="1" x14ac:dyDescent="0.25">
      <c r="A127" s="422" t="s">
        <v>528</v>
      </c>
      <c r="B127" s="349">
        <v>1</v>
      </c>
      <c r="C127" s="423">
        <v>44927</v>
      </c>
      <c r="D127" s="351">
        <v>44958</v>
      </c>
      <c r="E127" s="352"/>
      <c r="F127" s="352">
        <v>6</v>
      </c>
      <c r="G127" s="352" t="s">
        <v>313</v>
      </c>
      <c r="H127" s="424" t="s">
        <v>531</v>
      </c>
      <c r="I127" s="350" t="s">
        <v>393</v>
      </c>
      <c r="J127" s="375">
        <f>2279846*5%</f>
        <v>113992.3</v>
      </c>
      <c r="K127" s="350" t="s">
        <v>394</v>
      </c>
      <c r="L127" s="425">
        <v>2043.09</v>
      </c>
      <c r="M127" s="375">
        <f t="shared" ref="M127:M174" si="0">J127/L127</f>
        <v>55.794066830144537</v>
      </c>
      <c r="N127" s="354" t="s">
        <v>395</v>
      </c>
      <c r="O127" s="354">
        <v>0</v>
      </c>
      <c r="P127" s="355" t="s">
        <v>396</v>
      </c>
      <c r="Q127" s="354" t="s">
        <v>397</v>
      </c>
      <c r="R127" s="378">
        <v>0</v>
      </c>
      <c r="S127" s="378">
        <v>0</v>
      </c>
      <c r="T127" s="373">
        <v>0</v>
      </c>
      <c r="U127" s="373">
        <v>0</v>
      </c>
      <c r="V127" s="373">
        <v>0</v>
      </c>
      <c r="W127" s="373">
        <v>0</v>
      </c>
    </row>
    <row r="128" spans="1:23" ht="41.65" customHeight="1" x14ac:dyDescent="0.25">
      <c r="A128" s="422" t="s">
        <v>528</v>
      </c>
      <c r="B128" s="349">
        <v>1</v>
      </c>
      <c r="C128" s="423">
        <v>44927</v>
      </c>
      <c r="D128" s="351">
        <v>44958</v>
      </c>
      <c r="E128" s="352"/>
      <c r="F128" s="352">
        <v>6</v>
      </c>
      <c r="G128" s="352" t="s">
        <v>314</v>
      </c>
      <c r="H128" s="424" t="s">
        <v>532</v>
      </c>
      <c r="I128" s="350" t="s">
        <v>393</v>
      </c>
      <c r="J128" s="375">
        <f>1831466*10%</f>
        <v>183146.6</v>
      </c>
      <c r="K128" s="350" t="s">
        <v>394</v>
      </c>
      <c r="L128" s="425">
        <v>2043.09</v>
      </c>
      <c r="M128" s="375">
        <f t="shared" si="0"/>
        <v>89.64196388803235</v>
      </c>
      <c r="N128" s="354" t="s">
        <v>395</v>
      </c>
      <c r="O128" s="354">
        <v>0</v>
      </c>
      <c r="P128" s="355" t="s">
        <v>396</v>
      </c>
      <c r="Q128" s="354" t="s">
        <v>397</v>
      </c>
      <c r="R128" s="378">
        <v>0</v>
      </c>
      <c r="S128" s="378">
        <v>0</v>
      </c>
      <c r="T128" s="373">
        <v>0</v>
      </c>
      <c r="U128" s="373">
        <v>0</v>
      </c>
      <c r="V128" s="373">
        <v>0</v>
      </c>
      <c r="W128" s="373">
        <v>0</v>
      </c>
    </row>
    <row r="129" spans="1:23" ht="38.65" customHeight="1" x14ac:dyDescent="0.25">
      <c r="A129" s="422" t="s">
        <v>528</v>
      </c>
      <c r="B129" s="349">
        <v>1</v>
      </c>
      <c r="C129" s="423">
        <v>44927</v>
      </c>
      <c r="D129" s="351">
        <v>44958</v>
      </c>
      <c r="E129" s="352"/>
      <c r="F129" s="352">
        <v>6</v>
      </c>
      <c r="G129" s="352" t="s">
        <v>315</v>
      </c>
      <c r="H129" s="424" t="s">
        <v>533</v>
      </c>
      <c r="I129" s="350" t="s">
        <v>393</v>
      </c>
      <c r="J129" s="375">
        <f>1334036*10%</f>
        <v>133403.6</v>
      </c>
      <c r="K129" s="350" t="s">
        <v>394</v>
      </c>
      <c r="L129" s="425">
        <v>2043.09</v>
      </c>
      <c r="M129" s="375">
        <f t="shared" si="0"/>
        <v>65.295018819533169</v>
      </c>
      <c r="N129" s="354" t="s">
        <v>395</v>
      </c>
      <c r="O129" s="354">
        <v>0</v>
      </c>
      <c r="P129" s="355" t="s">
        <v>396</v>
      </c>
      <c r="Q129" s="354" t="s">
        <v>397</v>
      </c>
      <c r="R129" s="378">
        <v>0</v>
      </c>
      <c r="S129" s="378">
        <v>0</v>
      </c>
      <c r="T129" s="373">
        <v>0</v>
      </c>
      <c r="U129" s="373">
        <v>0</v>
      </c>
      <c r="V129" s="373">
        <v>0</v>
      </c>
      <c r="W129" s="373">
        <v>0</v>
      </c>
    </row>
    <row r="130" spans="1:23" ht="17.649999999999999" customHeight="1" x14ac:dyDescent="0.25">
      <c r="A130" s="422" t="s">
        <v>528</v>
      </c>
      <c r="B130" s="349">
        <v>1</v>
      </c>
      <c r="C130" s="423">
        <v>44927</v>
      </c>
      <c r="D130" s="351">
        <v>44958</v>
      </c>
      <c r="E130" s="352"/>
      <c r="F130" s="352">
        <v>6</v>
      </c>
      <c r="G130" s="352" t="s">
        <v>316</v>
      </c>
      <c r="H130" s="424" t="s">
        <v>534</v>
      </c>
      <c r="I130" s="350" t="s">
        <v>393</v>
      </c>
      <c r="J130" s="375">
        <f>690937*50%</f>
        <v>345468.5</v>
      </c>
      <c r="K130" s="350" t="s">
        <v>394</v>
      </c>
      <c r="L130" s="425">
        <v>2043.09</v>
      </c>
      <c r="M130" s="375">
        <f t="shared" si="0"/>
        <v>169.09118051578736</v>
      </c>
      <c r="N130" s="354" t="s">
        <v>395</v>
      </c>
      <c r="O130" s="354">
        <v>0</v>
      </c>
      <c r="P130" s="355" t="s">
        <v>396</v>
      </c>
      <c r="Q130" s="354" t="s">
        <v>397</v>
      </c>
      <c r="R130" s="378">
        <v>0</v>
      </c>
      <c r="S130" s="378">
        <v>0</v>
      </c>
      <c r="T130" s="373">
        <v>0</v>
      </c>
      <c r="U130" s="373">
        <v>0</v>
      </c>
      <c r="V130" s="373">
        <v>0</v>
      </c>
      <c r="W130" s="373">
        <v>0</v>
      </c>
    </row>
    <row r="131" spans="1:23" ht="22.5" customHeight="1" x14ac:dyDescent="0.25">
      <c r="A131" s="422" t="s">
        <v>535</v>
      </c>
      <c r="B131" s="349">
        <v>2</v>
      </c>
      <c r="C131" s="423">
        <v>44958</v>
      </c>
      <c r="D131" s="351">
        <v>44985</v>
      </c>
      <c r="E131" s="352"/>
      <c r="F131" s="352">
        <v>6</v>
      </c>
      <c r="G131" s="352" t="s">
        <v>312</v>
      </c>
      <c r="H131" s="424" t="s">
        <v>537</v>
      </c>
      <c r="I131" s="350" t="s">
        <v>393</v>
      </c>
      <c r="J131" s="375">
        <f>3827662*10%</f>
        <v>382766.2</v>
      </c>
      <c r="K131" s="350" t="s">
        <v>394</v>
      </c>
      <c r="L131" s="354">
        <v>2047.28</v>
      </c>
      <c r="M131" s="375">
        <f t="shared" si="0"/>
        <v>186.96328787464344</v>
      </c>
      <c r="N131" s="354" t="s">
        <v>395</v>
      </c>
      <c r="O131" s="354">
        <v>0</v>
      </c>
      <c r="P131" s="355" t="s">
        <v>396</v>
      </c>
      <c r="Q131" s="354" t="s">
        <v>397</v>
      </c>
      <c r="R131" s="378">
        <v>0</v>
      </c>
      <c r="S131" s="378">
        <v>0</v>
      </c>
      <c r="T131" s="373">
        <v>0</v>
      </c>
      <c r="U131" s="373">
        <v>0</v>
      </c>
      <c r="V131" s="373">
        <v>0</v>
      </c>
      <c r="W131" s="373">
        <v>0</v>
      </c>
    </row>
    <row r="132" spans="1:23" ht="45" customHeight="1" x14ac:dyDescent="0.25">
      <c r="A132" s="422" t="s">
        <v>535</v>
      </c>
      <c r="B132" s="349">
        <v>2</v>
      </c>
      <c r="C132" s="423">
        <v>44958</v>
      </c>
      <c r="D132" s="351">
        <v>44985</v>
      </c>
      <c r="E132" s="352"/>
      <c r="F132" s="352">
        <v>6</v>
      </c>
      <c r="G132" s="352" t="s">
        <v>313</v>
      </c>
      <c r="H132" s="424" t="s">
        <v>538</v>
      </c>
      <c r="I132" s="350" t="s">
        <v>393</v>
      </c>
      <c r="J132" s="375">
        <f>2279846*5%</f>
        <v>113992.3</v>
      </c>
      <c r="K132" s="350" t="s">
        <v>394</v>
      </c>
      <c r="L132" s="354">
        <v>2047.28</v>
      </c>
      <c r="M132" s="375">
        <f t="shared" si="0"/>
        <v>55.679877691375879</v>
      </c>
      <c r="N132" s="354" t="s">
        <v>395</v>
      </c>
      <c r="O132" s="354">
        <v>0</v>
      </c>
      <c r="P132" s="355" t="s">
        <v>396</v>
      </c>
      <c r="Q132" s="354" t="s">
        <v>397</v>
      </c>
      <c r="R132" s="378">
        <v>0</v>
      </c>
      <c r="S132" s="378">
        <v>0</v>
      </c>
      <c r="T132" s="373">
        <v>0</v>
      </c>
      <c r="U132" s="373">
        <v>0</v>
      </c>
      <c r="V132" s="373">
        <v>0</v>
      </c>
      <c r="W132" s="373">
        <v>0</v>
      </c>
    </row>
    <row r="133" spans="1:23" ht="31.15" customHeight="1" x14ac:dyDescent="0.25">
      <c r="A133" s="422" t="s">
        <v>535</v>
      </c>
      <c r="B133" s="349">
        <v>2</v>
      </c>
      <c r="C133" s="423">
        <v>44958</v>
      </c>
      <c r="D133" s="351">
        <v>44985</v>
      </c>
      <c r="E133" s="352"/>
      <c r="F133" s="352">
        <v>6</v>
      </c>
      <c r="G133" s="352" t="s">
        <v>314</v>
      </c>
      <c r="H133" s="424" t="s">
        <v>539</v>
      </c>
      <c r="I133" s="350" t="s">
        <v>393</v>
      </c>
      <c r="J133" s="375">
        <f>1831466*10%</f>
        <v>183146.6</v>
      </c>
      <c r="K133" s="350" t="s">
        <v>394</v>
      </c>
      <c r="L133" s="354">
        <v>2047.28</v>
      </c>
      <c r="M133" s="375">
        <f t="shared" si="0"/>
        <v>89.4585010355203</v>
      </c>
      <c r="N133" s="354" t="s">
        <v>395</v>
      </c>
      <c r="O133" s="354">
        <v>0</v>
      </c>
      <c r="P133" s="355" t="s">
        <v>396</v>
      </c>
      <c r="Q133" s="354" t="s">
        <v>397</v>
      </c>
      <c r="R133" s="378">
        <v>0</v>
      </c>
      <c r="S133" s="378">
        <v>0</v>
      </c>
      <c r="T133" s="373">
        <v>0</v>
      </c>
      <c r="U133" s="373">
        <v>0</v>
      </c>
      <c r="V133" s="373">
        <v>0</v>
      </c>
      <c r="W133" s="373">
        <v>0</v>
      </c>
    </row>
    <row r="134" spans="1:23" ht="36" customHeight="1" x14ac:dyDescent="0.25">
      <c r="A134" s="422" t="s">
        <v>535</v>
      </c>
      <c r="B134" s="349">
        <v>2</v>
      </c>
      <c r="C134" s="423">
        <v>44958</v>
      </c>
      <c r="D134" s="351">
        <v>44985</v>
      </c>
      <c r="E134" s="352"/>
      <c r="F134" s="352">
        <v>6</v>
      </c>
      <c r="G134" s="352" t="s">
        <v>315</v>
      </c>
      <c r="H134" s="424" t="s">
        <v>540</v>
      </c>
      <c r="I134" s="350" t="s">
        <v>393</v>
      </c>
      <c r="J134" s="375">
        <f>1334036*10%</f>
        <v>133403.6</v>
      </c>
      <c r="K134" s="350" t="s">
        <v>394</v>
      </c>
      <c r="L134" s="354">
        <v>2047.28</v>
      </c>
      <c r="M134" s="375">
        <f t="shared" si="0"/>
        <v>65.1613848618655</v>
      </c>
      <c r="N134" s="354" t="s">
        <v>395</v>
      </c>
      <c r="O134" s="354">
        <v>0</v>
      </c>
      <c r="P134" s="355" t="s">
        <v>396</v>
      </c>
      <c r="Q134" s="354" t="s">
        <v>397</v>
      </c>
      <c r="R134" s="378">
        <v>0</v>
      </c>
      <c r="S134" s="378">
        <v>0</v>
      </c>
      <c r="T134" s="373">
        <v>0</v>
      </c>
      <c r="U134" s="373">
        <v>0</v>
      </c>
      <c r="V134" s="373">
        <v>0</v>
      </c>
      <c r="W134" s="373">
        <v>0</v>
      </c>
    </row>
    <row r="135" spans="1:23" ht="25.5" customHeight="1" x14ac:dyDescent="0.25">
      <c r="A135" s="422" t="s">
        <v>535</v>
      </c>
      <c r="B135" s="349">
        <v>2</v>
      </c>
      <c r="C135" s="423">
        <v>44958</v>
      </c>
      <c r="D135" s="351">
        <v>44985</v>
      </c>
      <c r="E135" s="352"/>
      <c r="F135" s="352">
        <v>6</v>
      </c>
      <c r="G135" s="352" t="s">
        <v>316</v>
      </c>
      <c r="H135" s="424" t="s">
        <v>541</v>
      </c>
      <c r="I135" s="350" t="s">
        <v>393</v>
      </c>
      <c r="J135" s="375">
        <f>690937*50%</f>
        <v>345468.5</v>
      </c>
      <c r="K135" s="350" t="s">
        <v>394</v>
      </c>
      <c r="L135" s="354">
        <v>2047.28</v>
      </c>
      <c r="M135" s="375">
        <f t="shared" si="0"/>
        <v>168.74511547028251</v>
      </c>
      <c r="N135" s="354" t="s">
        <v>395</v>
      </c>
      <c r="O135" s="354">
        <v>0</v>
      </c>
      <c r="P135" s="355" t="s">
        <v>396</v>
      </c>
      <c r="Q135" s="354" t="s">
        <v>397</v>
      </c>
      <c r="R135" s="378">
        <v>0</v>
      </c>
      <c r="S135" s="378">
        <v>0</v>
      </c>
      <c r="T135" s="373">
        <v>0</v>
      </c>
      <c r="U135" s="373">
        <v>0</v>
      </c>
      <c r="V135" s="373">
        <v>0</v>
      </c>
      <c r="W135" s="373">
        <v>0</v>
      </c>
    </row>
    <row r="136" spans="1:23" ht="31.5" customHeight="1" x14ac:dyDescent="0.25">
      <c r="A136" s="422" t="s">
        <v>542</v>
      </c>
      <c r="B136" s="349">
        <v>3</v>
      </c>
      <c r="C136" s="423">
        <v>44986</v>
      </c>
      <c r="D136" s="351">
        <v>45013</v>
      </c>
      <c r="E136" s="352"/>
      <c r="F136" s="352">
        <v>6</v>
      </c>
      <c r="G136" s="352" t="s">
        <v>312</v>
      </c>
      <c r="H136" s="424" t="s">
        <v>544</v>
      </c>
      <c r="I136" s="350" t="s">
        <v>393</v>
      </c>
      <c r="J136" s="375">
        <f>3827662*10%</f>
        <v>382766.2</v>
      </c>
      <c r="K136" s="350" t="s">
        <v>394</v>
      </c>
      <c r="L136" s="354">
        <v>2049.2399999999998</v>
      </c>
      <c r="M136" s="375">
        <f t="shared" si="0"/>
        <v>186.7844664363374</v>
      </c>
      <c r="N136" s="354" t="s">
        <v>395</v>
      </c>
      <c r="O136" s="354">
        <v>0</v>
      </c>
      <c r="P136" s="355" t="s">
        <v>396</v>
      </c>
      <c r="Q136" s="354" t="s">
        <v>397</v>
      </c>
      <c r="R136" s="378">
        <v>0</v>
      </c>
      <c r="S136" s="378">
        <v>0</v>
      </c>
      <c r="T136" s="373">
        <v>0</v>
      </c>
      <c r="U136" s="373">
        <v>0</v>
      </c>
      <c r="V136" s="373">
        <v>0</v>
      </c>
      <c r="W136" s="373">
        <v>0</v>
      </c>
    </row>
    <row r="137" spans="1:23" ht="32.1" customHeight="1" x14ac:dyDescent="0.25">
      <c r="A137" s="422" t="s">
        <v>542</v>
      </c>
      <c r="B137" s="349">
        <v>3</v>
      </c>
      <c r="C137" s="423">
        <v>44986</v>
      </c>
      <c r="D137" s="351">
        <v>45013</v>
      </c>
      <c r="E137" s="352"/>
      <c r="F137" s="352">
        <v>6</v>
      </c>
      <c r="G137" s="352" t="s">
        <v>313</v>
      </c>
      <c r="H137" s="424" t="s">
        <v>545</v>
      </c>
      <c r="I137" s="350" t="s">
        <v>393</v>
      </c>
      <c r="J137" s="375">
        <f>2279846*5%</f>
        <v>113992.3</v>
      </c>
      <c r="K137" s="350" t="s">
        <v>394</v>
      </c>
      <c r="L137" s="354">
        <v>2049.2399999999998</v>
      </c>
      <c r="M137" s="375">
        <f t="shared" si="0"/>
        <v>55.626622552751272</v>
      </c>
      <c r="N137" s="354" t="s">
        <v>395</v>
      </c>
      <c r="O137" s="354">
        <v>0</v>
      </c>
      <c r="P137" s="355" t="s">
        <v>396</v>
      </c>
      <c r="Q137" s="354" t="s">
        <v>397</v>
      </c>
      <c r="R137" s="378">
        <v>0</v>
      </c>
      <c r="S137" s="378">
        <v>0</v>
      </c>
      <c r="T137" s="373">
        <v>0</v>
      </c>
      <c r="U137" s="373">
        <v>0</v>
      </c>
      <c r="V137" s="373">
        <v>0</v>
      </c>
      <c r="W137" s="373">
        <v>0</v>
      </c>
    </row>
    <row r="138" spans="1:23" ht="28.5" customHeight="1" x14ac:dyDescent="0.25">
      <c r="A138" s="422" t="s">
        <v>542</v>
      </c>
      <c r="B138" s="349">
        <v>3</v>
      </c>
      <c r="C138" s="423">
        <v>44986</v>
      </c>
      <c r="D138" s="351">
        <v>45013</v>
      </c>
      <c r="E138" s="352"/>
      <c r="F138" s="352">
        <v>6</v>
      </c>
      <c r="G138" s="352" t="s">
        <v>314</v>
      </c>
      <c r="H138" s="424" t="s">
        <v>546</v>
      </c>
      <c r="I138" s="350" t="s">
        <v>393</v>
      </c>
      <c r="J138" s="375">
        <f>1831466*10%</f>
        <v>183146.6</v>
      </c>
      <c r="K138" s="350" t="s">
        <v>394</v>
      </c>
      <c r="L138" s="354">
        <v>2049.2399999999998</v>
      </c>
      <c r="M138" s="375">
        <f t="shared" si="0"/>
        <v>89.372938260037884</v>
      </c>
      <c r="N138" s="354" t="s">
        <v>395</v>
      </c>
      <c r="O138" s="354">
        <v>0</v>
      </c>
      <c r="P138" s="355" t="s">
        <v>396</v>
      </c>
      <c r="Q138" s="354" t="s">
        <v>397</v>
      </c>
      <c r="R138" s="378">
        <v>0</v>
      </c>
      <c r="S138" s="378">
        <v>0</v>
      </c>
      <c r="T138" s="373">
        <v>0</v>
      </c>
      <c r="U138" s="373">
        <v>0</v>
      </c>
      <c r="V138" s="373">
        <v>0</v>
      </c>
      <c r="W138" s="373">
        <v>0</v>
      </c>
    </row>
    <row r="139" spans="1:23" ht="30" customHeight="1" x14ac:dyDescent="0.25">
      <c r="A139" s="422" t="s">
        <v>542</v>
      </c>
      <c r="B139" s="349">
        <v>3</v>
      </c>
      <c r="C139" s="423">
        <v>44986</v>
      </c>
      <c r="D139" s="351">
        <v>45013</v>
      </c>
      <c r="E139" s="352"/>
      <c r="F139" s="352">
        <v>6</v>
      </c>
      <c r="G139" s="352" t="s">
        <v>315</v>
      </c>
      <c r="H139" s="424" t="s">
        <v>547</v>
      </c>
      <c r="I139" s="350" t="s">
        <v>393</v>
      </c>
      <c r="J139" s="375">
        <f>1334036*10%</f>
        <v>133403.6</v>
      </c>
      <c r="K139" s="350" t="s">
        <v>394</v>
      </c>
      <c r="L139" s="354">
        <v>2049.2399999999998</v>
      </c>
      <c r="M139" s="375">
        <f t="shared" si="0"/>
        <v>65.099061115340334</v>
      </c>
      <c r="N139" s="354" t="s">
        <v>395</v>
      </c>
      <c r="O139" s="354">
        <v>0</v>
      </c>
      <c r="P139" s="355" t="s">
        <v>396</v>
      </c>
      <c r="Q139" s="354" t="s">
        <v>397</v>
      </c>
      <c r="R139" s="378">
        <v>0</v>
      </c>
      <c r="S139" s="378">
        <v>0</v>
      </c>
      <c r="T139" s="373">
        <v>0</v>
      </c>
      <c r="U139" s="373">
        <v>0</v>
      </c>
      <c r="V139" s="373">
        <v>0</v>
      </c>
      <c r="W139" s="373">
        <v>0</v>
      </c>
    </row>
    <row r="140" spans="1:23" ht="31.5" customHeight="1" x14ac:dyDescent="0.25">
      <c r="A140" s="422" t="s">
        <v>542</v>
      </c>
      <c r="B140" s="349">
        <v>3</v>
      </c>
      <c r="C140" s="423">
        <v>44986</v>
      </c>
      <c r="D140" s="351">
        <v>45013</v>
      </c>
      <c r="E140" s="352"/>
      <c r="F140" s="352">
        <v>6</v>
      </c>
      <c r="G140" s="352" t="s">
        <v>316</v>
      </c>
      <c r="H140" s="424" t="s">
        <v>548</v>
      </c>
      <c r="I140" s="350" t="s">
        <v>393</v>
      </c>
      <c r="J140" s="375">
        <f>690937*50%</f>
        <v>345468.5</v>
      </c>
      <c r="K140" s="350" t="s">
        <v>394</v>
      </c>
      <c r="L140" s="354">
        <v>2049.2399999999998</v>
      </c>
      <c r="M140" s="375">
        <f t="shared" si="0"/>
        <v>168.58371884210734</v>
      </c>
      <c r="N140" s="354" t="s">
        <v>395</v>
      </c>
      <c r="O140" s="354">
        <v>0</v>
      </c>
      <c r="P140" s="355" t="s">
        <v>396</v>
      </c>
      <c r="Q140" s="354" t="s">
        <v>397</v>
      </c>
      <c r="R140" s="378">
        <v>0</v>
      </c>
      <c r="S140" s="378">
        <v>0</v>
      </c>
      <c r="T140" s="373">
        <v>0</v>
      </c>
      <c r="U140" s="373">
        <v>0</v>
      </c>
      <c r="V140" s="373">
        <v>0</v>
      </c>
      <c r="W140" s="373">
        <v>0</v>
      </c>
    </row>
    <row r="141" spans="1:23" ht="21" customHeight="1" x14ac:dyDescent="0.25">
      <c r="A141" s="422" t="s">
        <v>549</v>
      </c>
      <c r="B141" s="349">
        <v>3</v>
      </c>
      <c r="C141" s="423">
        <v>44986</v>
      </c>
      <c r="D141" s="351">
        <v>45013</v>
      </c>
      <c r="E141" s="352"/>
      <c r="F141" s="352">
        <v>6</v>
      </c>
      <c r="G141" s="352" t="s">
        <v>317</v>
      </c>
      <c r="H141" s="424" t="s">
        <v>550</v>
      </c>
      <c r="I141" s="350" t="s">
        <v>393</v>
      </c>
      <c r="J141" s="375">
        <f>647896+59306+29400+18000</f>
        <v>754602</v>
      </c>
      <c r="K141" s="350" t="s">
        <v>394</v>
      </c>
      <c r="L141" s="354">
        <v>2049.2399999999998</v>
      </c>
      <c r="M141" s="375">
        <f t="shared" si="0"/>
        <v>368.23505299525681</v>
      </c>
      <c r="N141" s="354" t="s">
        <v>395</v>
      </c>
      <c r="O141" s="354">
        <v>0</v>
      </c>
      <c r="P141" s="355" t="s">
        <v>396</v>
      </c>
      <c r="Q141" s="354" t="s">
        <v>397</v>
      </c>
      <c r="R141" s="378">
        <v>0</v>
      </c>
      <c r="S141" s="378">
        <v>0</v>
      </c>
      <c r="T141" s="373">
        <v>0</v>
      </c>
      <c r="U141" s="373">
        <v>0</v>
      </c>
      <c r="V141" s="373">
        <v>0</v>
      </c>
      <c r="W141" s="373">
        <v>0</v>
      </c>
    </row>
    <row r="142" spans="1:23" ht="36" customHeight="1" x14ac:dyDescent="0.25">
      <c r="A142" s="422" t="s">
        <v>551</v>
      </c>
      <c r="B142" s="349">
        <v>4</v>
      </c>
      <c r="C142" s="423">
        <v>45017</v>
      </c>
      <c r="D142" s="351">
        <v>45044</v>
      </c>
      <c r="E142" s="352"/>
      <c r="F142" s="352">
        <v>6</v>
      </c>
      <c r="G142" s="352" t="s">
        <v>312</v>
      </c>
      <c r="H142" s="424" t="s">
        <v>553</v>
      </c>
      <c r="I142" s="350" t="s">
        <v>393</v>
      </c>
      <c r="J142" s="375">
        <f>3827662*10%</f>
        <v>382766.2</v>
      </c>
      <c r="K142" s="350" t="s">
        <v>394</v>
      </c>
      <c r="L142" s="354">
        <v>20050.46</v>
      </c>
      <c r="M142" s="375">
        <f t="shared" si="0"/>
        <v>19.090145562745196</v>
      </c>
      <c r="N142" s="354" t="s">
        <v>395</v>
      </c>
      <c r="O142" s="354">
        <v>0</v>
      </c>
      <c r="P142" s="355" t="s">
        <v>396</v>
      </c>
      <c r="Q142" s="354" t="s">
        <v>397</v>
      </c>
      <c r="R142" s="378">
        <v>0</v>
      </c>
      <c r="S142" s="378">
        <v>0</v>
      </c>
      <c r="T142" s="373">
        <v>0</v>
      </c>
      <c r="U142" s="373">
        <v>0</v>
      </c>
      <c r="V142" s="373">
        <v>0</v>
      </c>
      <c r="W142" s="373">
        <v>0</v>
      </c>
    </row>
    <row r="143" spans="1:23" ht="28.15" customHeight="1" x14ac:dyDescent="0.25">
      <c r="A143" s="422" t="s">
        <v>551</v>
      </c>
      <c r="B143" s="349">
        <v>4</v>
      </c>
      <c r="C143" s="423">
        <v>45017</v>
      </c>
      <c r="D143" s="351">
        <v>45044</v>
      </c>
      <c r="E143" s="352"/>
      <c r="F143" s="352">
        <v>6</v>
      </c>
      <c r="G143" s="352" t="s">
        <v>313</v>
      </c>
      <c r="H143" s="424" t="s">
        <v>554</v>
      </c>
      <c r="I143" s="350" t="s">
        <v>393</v>
      </c>
      <c r="J143" s="375">
        <f>2279846*5%</f>
        <v>113992.3</v>
      </c>
      <c r="K143" s="350" t="s">
        <v>394</v>
      </c>
      <c r="L143" s="354">
        <v>20050.46</v>
      </c>
      <c r="M143" s="375">
        <f t="shared" si="0"/>
        <v>5.6852710611128128</v>
      </c>
      <c r="N143" s="354" t="s">
        <v>395</v>
      </c>
      <c r="O143" s="354">
        <v>0</v>
      </c>
      <c r="P143" s="355" t="s">
        <v>396</v>
      </c>
      <c r="Q143" s="354" t="s">
        <v>397</v>
      </c>
      <c r="R143" s="378">
        <v>0</v>
      </c>
      <c r="S143" s="378">
        <v>0</v>
      </c>
      <c r="T143" s="373">
        <v>0</v>
      </c>
      <c r="U143" s="373">
        <v>0</v>
      </c>
      <c r="V143" s="373">
        <v>0</v>
      </c>
      <c r="W143" s="373">
        <v>0</v>
      </c>
    </row>
    <row r="144" spans="1:23" ht="22.15" customHeight="1" x14ac:dyDescent="0.25">
      <c r="A144" s="422" t="s">
        <v>551</v>
      </c>
      <c r="B144" s="349">
        <v>4</v>
      </c>
      <c r="C144" s="423">
        <v>45017</v>
      </c>
      <c r="D144" s="351">
        <v>45044</v>
      </c>
      <c r="E144" s="352"/>
      <c r="F144" s="352">
        <v>6</v>
      </c>
      <c r="G144" s="352" t="s">
        <v>314</v>
      </c>
      <c r="H144" s="424" t="s">
        <v>555</v>
      </c>
      <c r="I144" s="350" t="s">
        <v>393</v>
      </c>
      <c r="J144" s="375">
        <f>1831466*10%</f>
        <v>183146.6</v>
      </c>
      <c r="K144" s="350" t="s">
        <v>394</v>
      </c>
      <c r="L144" s="354">
        <v>20050.46</v>
      </c>
      <c r="M144" s="375">
        <f t="shared" si="0"/>
        <v>9.1342842009609768</v>
      </c>
      <c r="N144" s="354" t="s">
        <v>395</v>
      </c>
      <c r="O144" s="354">
        <v>0</v>
      </c>
      <c r="P144" s="355" t="s">
        <v>396</v>
      </c>
      <c r="Q144" s="354" t="s">
        <v>397</v>
      </c>
      <c r="R144" s="378">
        <v>0</v>
      </c>
      <c r="S144" s="378">
        <v>0</v>
      </c>
      <c r="T144" s="373">
        <v>0</v>
      </c>
      <c r="U144" s="373">
        <v>0</v>
      </c>
      <c r="V144" s="373">
        <v>0</v>
      </c>
      <c r="W144" s="373">
        <v>0</v>
      </c>
    </row>
    <row r="145" spans="1:23" ht="35.65" customHeight="1" x14ac:dyDescent="0.25">
      <c r="A145" s="422" t="s">
        <v>551</v>
      </c>
      <c r="B145" s="349">
        <v>4</v>
      </c>
      <c r="C145" s="423">
        <v>45017</v>
      </c>
      <c r="D145" s="351">
        <v>45044</v>
      </c>
      <c r="E145" s="352"/>
      <c r="F145" s="352">
        <v>6</v>
      </c>
      <c r="G145" s="352" t="s">
        <v>315</v>
      </c>
      <c r="H145" s="424" t="s">
        <v>556</v>
      </c>
      <c r="I145" s="350" t="s">
        <v>393</v>
      </c>
      <c r="J145" s="375">
        <f>1334036*10%</f>
        <v>133403.6</v>
      </c>
      <c r="K145" s="350" t="s">
        <v>394</v>
      </c>
      <c r="L145" s="354">
        <v>20050.46</v>
      </c>
      <c r="M145" s="375">
        <f t="shared" si="0"/>
        <v>6.6533934882291987</v>
      </c>
      <c r="N145" s="354" t="s">
        <v>395</v>
      </c>
      <c r="O145" s="354">
        <v>0</v>
      </c>
      <c r="P145" s="355" t="s">
        <v>396</v>
      </c>
      <c r="Q145" s="354" t="s">
        <v>397</v>
      </c>
      <c r="R145" s="378">
        <v>0</v>
      </c>
      <c r="S145" s="378">
        <v>0</v>
      </c>
      <c r="T145" s="373">
        <v>0</v>
      </c>
      <c r="U145" s="373">
        <v>0</v>
      </c>
      <c r="V145" s="373">
        <v>0</v>
      </c>
      <c r="W145" s="373">
        <v>0</v>
      </c>
    </row>
    <row r="146" spans="1:23" ht="28.15" customHeight="1" x14ac:dyDescent="0.25">
      <c r="A146" s="422" t="s">
        <v>551</v>
      </c>
      <c r="B146" s="349">
        <v>4</v>
      </c>
      <c r="C146" s="423">
        <v>45017</v>
      </c>
      <c r="D146" s="351">
        <v>45044</v>
      </c>
      <c r="E146" s="352"/>
      <c r="F146" s="352">
        <v>6</v>
      </c>
      <c r="G146" s="352" t="s">
        <v>316</v>
      </c>
      <c r="H146" s="424" t="s">
        <v>557</v>
      </c>
      <c r="I146" s="350" t="s">
        <v>393</v>
      </c>
      <c r="J146" s="375">
        <f>690937*50%</f>
        <v>345468.5</v>
      </c>
      <c r="K146" s="350" t="s">
        <v>394</v>
      </c>
      <c r="L146" s="354">
        <v>20050.46</v>
      </c>
      <c r="M146" s="375">
        <f t="shared" si="0"/>
        <v>17.229953826495752</v>
      </c>
      <c r="N146" s="354" t="s">
        <v>395</v>
      </c>
      <c r="O146" s="354">
        <v>0</v>
      </c>
      <c r="P146" s="355" t="s">
        <v>396</v>
      </c>
      <c r="Q146" s="354" t="s">
        <v>397</v>
      </c>
      <c r="R146" s="378">
        <v>0</v>
      </c>
      <c r="S146" s="378">
        <v>0</v>
      </c>
      <c r="T146" s="373">
        <v>0</v>
      </c>
      <c r="U146" s="373">
        <v>0</v>
      </c>
      <c r="V146" s="373">
        <v>0</v>
      </c>
      <c r="W146" s="373">
        <v>0</v>
      </c>
    </row>
    <row r="147" spans="1:23" ht="24.6" customHeight="1" x14ac:dyDescent="0.25">
      <c r="A147" s="422" t="s">
        <v>551</v>
      </c>
      <c r="B147" s="349">
        <v>4</v>
      </c>
      <c r="C147" s="423">
        <v>45017</v>
      </c>
      <c r="D147" s="351">
        <v>45044</v>
      </c>
      <c r="E147" s="352"/>
      <c r="F147" s="352">
        <v>6</v>
      </c>
      <c r="G147" s="352" t="s">
        <v>317</v>
      </c>
      <c r="H147" s="424" t="s">
        <v>558</v>
      </c>
      <c r="I147" s="350" t="s">
        <v>393</v>
      </c>
      <c r="J147" s="375">
        <f>1251995+169809+29400+18000+40000</f>
        <v>1509204</v>
      </c>
      <c r="K147" s="350" t="s">
        <v>394</v>
      </c>
      <c r="L147" s="354">
        <v>20050.46</v>
      </c>
      <c r="M147" s="375">
        <f t="shared" si="0"/>
        <v>75.270293050633256</v>
      </c>
      <c r="N147" s="354" t="s">
        <v>395</v>
      </c>
      <c r="O147" s="354">
        <v>0</v>
      </c>
      <c r="P147" s="355" t="s">
        <v>396</v>
      </c>
      <c r="Q147" s="354" t="s">
        <v>397</v>
      </c>
      <c r="R147" s="378">
        <v>0</v>
      </c>
      <c r="S147" s="378">
        <v>0</v>
      </c>
      <c r="T147" s="373">
        <v>0</v>
      </c>
      <c r="U147" s="373">
        <v>0</v>
      </c>
      <c r="V147" s="373">
        <v>0</v>
      </c>
      <c r="W147" s="373">
        <v>0</v>
      </c>
    </row>
    <row r="148" spans="1:23" ht="33.6" customHeight="1" x14ac:dyDescent="0.25">
      <c r="A148" s="422" t="s">
        <v>559</v>
      </c>
      <c r="B148" s="349">
        <v>5</v>
      </c>
      <c r="C148" s="423">
        <v>45047</v>
      </c>
      <c r="D148" s="351">
        <v>45077</v>
      </c>
      <c r="E148" s="352"/>
      <c r="F148" s="352">
        <v>6</v>
      </c>
      <c r="G148" s="352" t="s">
        <v>312</v>
      </c>
      <c r="H148" s="424" t="s">
        <v>561</v>
      </c>
      <c r="I148" s="350" t="s">
        <v>393</v>
      </c>
      <c r="J148" s="375">
        <f>3827662*10%</f>
        <v>382766.2</v>
      </c>
      <c r="K148" s="350" t="s">
        <v>394</v>
      </c>
      <c r="L148" s="354">
        <v>2054.29</v>
      </c>
      <c r="M148" s="375">
        <f t="shared" si="0"/>
        <v>186.32529973859582</v>
      </c>
      <c r="N148" s="354" t="s">
        <v>395</v>
      </c>
      <c r="O148" s="354">
        <v>0</v>
      </c>
      <c r="P148" s="355" t="s">
        <v>396</v>
      </c>
      <c r="Q148" s="354" t="s">
        <v>397</v>
      </c>
      <c r="R148" s="378">
        <v>0</v>
      </c>
      <c r="S148" s="378">
        <v>0</v>
      </c>
      <c r="T148" s="373">
        <v>0</v>
      </c>
      <c r="U148" s="373">
        <v>0</v>
      </c>
      <c r="V148" s="373">
        <v>0</v>
      </c>
      <c r="W148" s="373">
        <v>0</v>
      </c>
    </row>
    <row r="149" spans="1:23" ht="30" customHeight="1" x14ac:dyDescent="0.25">
      <c r="A149" s="422" t="s">
        <v>559</v>
      </c>
      <c r="B149" s="349">
        <v>5</v>
      </c>
      <c r="C149" s="423">
        <v>45047</v>
      </c>
      <c r="D149" s="351">
        <v>45077</v>
      </c>
      <c r="E149" s="352"/>
      <c r="F149" s="352">
        <v>6</v>
      </c>
      <c r="G149" s="352" t="s">
        <v>313</v>
      </c>
      <c r="H149" s="424" t="s">
        <v>562</v>
      </c>
      <c r="I149" s="350" t="s">
        <v>393</v>
      </c>
      <c r="J149" s="375">
        <f>2279846*5%</f>
        <v>113992.3</v>
      </c>
      <c r="K149" s="350" t="s">
        <v>394</v>
      </c>
      <c r="L149" s="354">
        <v>2054.29</v>
      </c>
      <c r="M149" s="375">
        <f t="shared" si="0"/>
        <v>55.489877281201778</v>
      </c>
      <c r="N149" s="354" t="s">
        <v>395</v>
      </c>
      <c r="O149" s="354">
        <v>0</v>
      </c>
      <c r="P149" s="355" t="s">
        <v>396</v>
      </c>
      <c r="Q149" s="354" t="s">
        <v>397</v>
      </c>
      <c r="R149" s="378">
        <v>0</v>
      </c>
      <c r="S149" s="378">
        <v>0</v>
      </c>
      <c r="T149" s="373">
        <v>0</v>
      </c>
      <c r="U149" s="373">
        <v>0</v>
      </c>
      <c r="V149" s="373">
        <v>0</v>
      </c>
      <c r="W149" s="373">
        <v>0</v>
      </c>
    </row>
    <row r="150" spans="1:23" ht="25.5" customHeight="1" x14ac:dyDescent="0.25">
      <c r="A150" s="422" t="s">
        <v>559</v>
      </c>
      <c r="B150" s="349">
        <v>5</v>
      </c>
      <c r="C150" s="423">
        <v>45047</v>
      </c>
      <c r="D150" s="351">
        <v>45077</v>
      </c>
      <c r="E150" s="352"/>
      <c r="F150" s="352">
        <v>6</v>
      </c>
      <c r="G150" s="352" t="s">
        <v>314</v>
      </c>
      <c r="H150" s="424" t="s">
        <v>563</v>
      </c>
      <c r="I150" s="350" t="s">
        <v>393</v>
      </c>
      <c r="J150" s="375">
        <f>1831466*10%</f>
        <v>183146.6</v>
      </c>
      <c r="K150" s="350" t="s">
        <v>394</v>
      </c>
      <c r="L150" s="354">
        <v>2054.29</v>
      </c>
      <c r="M150" s="375">
        <f t="shared" si="0"/>
        <v>89.153235424404542</v>
      </c>
      <c r="N150" s="354" t="s">
        <v>395</v>
      </c>
      <c r="O150" s="354">
        <v>0</v>
      </c>
      <c r="P150" s="355" t="s">
        <v>396</v>
      </c>
      <c r="Q150" s="354" t="s">
        <v>397</v>
      </c>
      <c r="R150" s="378">
        <v>0</v>
      </c>
      <c r="S150" s="378">
        <v>0</v>
      </c>
      <c r="T150" s="373">
        <v>0</v>
      </c>
      <c r="U150" s="373">
        <v>0</v>
      </c>
      <c r="V150" s="373">
        <v>0</v>
      </c>
      <c r="W150" s="373">
        <v>0</v>
      </c>
    </row>
    <row r="151" spans="1:23" ht="28.15" customHeight="1" x14ac:dyDescent="0.25">
      <c r="A151" s="422" t="s">
        <v>559</v>
      </c>
      <c r="B151" s="349">
        <v>5</v>
      </c>
      <c r="C151" s="423">
        <v>45047</v>
      </c>
      <c r="D151" s="351">
        <v>45077</v>
      </c>
      <c r="E151" s="352"/>
      <c r="F151" s="352">
        <v>6</v>
      </c>
      <c r="G151" s="352" t="s">
        <v>315</v>
      </c>
      <c r="H151" s="424" t="s">
        <v>564</v>
      </c>
      <c r="I151" s="350" t="s">
        <v>393</v>
      </c>
      <c r="J151" s="375">
        <f>1334036*10%</f>
        <v>133403.6</v>
      </c>
      <c r="K151" s="350" t="s">
        <v>394</v>
      </c>
      <c r="L151" s="354">
        <v>2054.29</v>
      </c>
      <c r="M151" s="375">
        <f t="shared" si="0"/>
        <v>64.939030029839998</v>
      </c>
      <c r="N151" s="354" t="s">
        <v>395</v>
      </c>
      <c r="O151" s="354">
        <v>0</v>
      </c>
      <c r="P151" s="355" t="s">
        <v>396</v>
      </c>
      <c r="Q151" s="354" t="s">
        <v>397</v>
      </c>
      <c r="R151" s="378">
        <v>0</v>
      </c>
      <c r="S151" s="378">
        <v>0</v>
      </c>
      <c r="T151" s="373">
        <v>0</v>
      </c>
      <c r="U151" s="373">
        <v>0</v>
      </c>
      <c r="V151" s="373">
        <v>0</v>
      </c>
      <c r="W151" s="373">
        <v>0</v>
      </c>
    </row>
    <row r="152" spans="1:23" ht="20.65" customHeight="1" x14ac:dyDescent="0.25">
      <c r="A152" s="422" t="s">
        <v>559</v>
      </c>
      <c r="B152" s="349">
        <v>5</v>
      </c>
      <c r="C152" s="423">
        <v>45047</v>
      </c>
      <c r="D152" s="351">
        <v>45077</v>
      </c>
      <c r="E152" s="352"/>
      <c r="F152" s="352">
        <v>6</v>
      </c>
      <c r="G152" s="352" t="s">
        <v>316</v>
      </c>
      <c r="H152" s="424" t="s">
        <v>565</v>
      </c>
      <c r="I152" s="350" t="s">
        <v>393</v>
      </c>
      <c r="J152" s="375">
        <f>690937*50%</f>
        <v>345468.5</v>
      </c>
      <c r="K152" s="350" t="s">
        <v>394</v>
      </c>
      <c r="L152" s="354">
        <v>2054.29</v>
      </c>
      <c r="M152" s="375">
        <f t="shared" si="0"/>
        <v>168.16929450077643</v>
      </c>
      <c r="N152" s="354" t="s">
        <v>395</v>
      </c>
      <c r="O152" s="354">
        <v>0</v>
      </c>
      <c r="P152" s="355" t="s">
        <v>396</v>
      </c>
      <c r="Q152" s="354" t="s">
        <v>397</v>
      </c>
      <c r="R152" s="378">
        <v>0</v>
      </c>
      <c r="S152" s="378">
        <v>0</v>
      </c>
      <c r="T152" s="373">
        <v>0</v>
      </c>
      <c r="U152" s="373">
        <v>0</v>
      </c>
      <c r="V152" s="373">
        <v>0</v>
      </c>
      <c r="W152" s="373">
        <v>0</v>
      </c>
    </row>
    <row r="153" spans="1:23" ht="18" customHeight="1" x14ac:dyDescent="0.25">
      <c r="A153" s="422" t="s">
        <v>559</v>
      </c>
      <c r="B153" s="349">
        <v>5</v>
      </c>
      <c r="C153" s="423">
        <v>45047</v>
      </c>
      <c r="D153" s="351">
        <v>45077</v>
      </c>
      <c r="E153" s="352"/>
      <c r="F153" s="352">
        <v>6</v>
      </c>
      <c r="G153" s="352" t="s">
        <v>317</v>
      </c>
      <c r="H153" s="424" t="s">
        <v>566</v>
      </c>
      <c r="I153" s="350" t="s">
        <v>393</v>
      </c>
      <c r="J153" s="375">
        <f>1251995+169809+29400+18000+40000</f>
        <v>1509204</v>
      </c>
      <c r="K153" s="350" t="s">
        <v>394</v>
      </c>
      <c r="L153" s="354">
        <v>2054.29</v>
      </c>
      <c r="M153" s="375">
        <f t="shared" si="0"/>
        <v>734.65966343602895</v>
      </c>
      <c r="N153" s="354" t="s">
        <v>395</v>
      </c>
      <c r="O153" s="354">
        <v>0</v>
      </c>
      <c r="P153" s="355" t="s">
        <v>396</v>
      </c>
      <c r="Q153" s="354" t="s">
        <v>397</v>
      </c>
      <c r="R153" s="378">
        <v>0</v>
      </c>
      <c r="S153" s="378">
        <v>0</v>
      </c>
      <c r="T153" s="373">
        <v>0</v>
      </c>
      <c r="U153" s="373">
        <v>0</v>
      </c>
      <c r="V153" s="373">
        <v>0</v>
      </c>
      <c r="W153" s="373">
        <v>0</v>
      </c>
    </row>
    <row r="154" spans="1:23" x14ac:dyDescent="0.25">
      <c r="A154" s="348" t="s">
        <v>567</v>
      </c>
      <c r="B154" s="349">
        <v>6</v>
      </c>
      <c r="C154" s="423">
        <v>44927</v>
      </c>
      <c r="D154" s="351">
        <v>44936</v>
      </c>
      <c r="E154" s="352"/>
      <c r="F154" s="352">
        <v>6</v>
      </c>
      <c r="G154" s="352" t="s">
        <v>338</v>
      </c>
      <c r="H154" s="424" t="s">
        <v>568</v>
      </c>
      <c r="I154" s="350" t="s">
        <v>393</v>
      </c>
      <c r="J154" s="375">
        <f>350000*20%</f>
        <v>70000</v>
      </c>
      <c r="K154" s="350" t="s">
        <v>394</v>
      </c>
      <c r="L154" s="354">
        <v>2043.09</v>
      </c>
      <c r="M154" s="375">
        <f t="shared" si="0"/>
        <v>34.261828896426493</v>
      </c>
      <c r="N154" s="354" t="s">
        <v>395</v>
      </c>
      <c r="O154" s="354">
        <v>0</v>
      </c>
      <c r="P154" s="355" t="s">
        <v>396</v>
      </c>
      <c r="Q154" s="354" t="s">
        <v>397</v>
      </c>
      <c r="R154" s="378">
        <v>0</v>
      </c>
      <c r="S154" s="378">
        <v>0</v>
      </c>
      <c r="T154" s="373">
        <v>0</v>
      </c>
      <c r="U154" s="373">
        <v>0</v>
      </c>
      <c r="V154" s="373">
        <v>0</v>
      </c>
      <c r="W154" s="373">
        <v>0</v>
      </c>
    </row>
    <row r="155" spans="1:23" x14ac:dyDescent="0.25">
      <c r="A155" s="348" t="s">
        <v>569</v>
      </c>
      <c r="B155" s="349">
        <v>7</v>
      </c>
      <c r="C155" s="423">
        <v>44927</v>
      </c>
      <c r="D155" s="351">
        <v>44958</v>
      </c>
      <c r="E155" s="352"/>
      <c r="F155" s="352">
        <v>6</v>
      </c>
      <c r="G155" s="352" t="s">
        <v>335</v>
      </c>
      <c r="H155" s="424" t="s">
        <v>570</v>
      </c>
      <c r="I155" s="350" t="s">
        <v>393</v>
      </c>
      <c r="J155" s="375">
        <f>1000000*20%</f>
        <v>200000</v>
      </c>
      <c r="K155" s="350" t="s">
        <v>394</v>
      </c>
      <c r="L155" s="354">
        <v>2043.09</v>
      </c>
      <c r="M155" s="375">
        <f t="shared" si="0"/>
        <v>97.890939704075691</v>
      </c>
      <c r="N155" s="354" t="s">
        <v>395</v>
      </c>
      <c r="O155" s="354">
        <v>0</v>
      </c>
      <c r="P155" s="355" t="s">
        <v>396</v>
      </c>
      <c r="Q155" s="354" t="s">
        <v>397</v>
      </c>
      <c r="R155" s="378">
        <v>0</v>
      </c>
      <c r="S155" s="378">
        <v>0</v>
      </c>
      <c r="T155" s="373">
        <v>0</v>
      </c>
      <c r="U155" s="373">
        <v>0</v>
      </c>
      <c r="V155" s="373">
        <v>0</v>
      </c>
      <c r="W155" s="373">
        <v>0</v>
      </c>
    </row>
    <row r="156" spans="1:23" x14ac:dyDescent="0.25">
      <c r="A156" s="348" t="s">
        <v>569</v>
      </c>
      <c r="B156" s="349">
        <v>8</v>
      </c>
      <c r="C156" s="423">
        <v>44927</v>
      </c>
      <c r="D156" s="351">
        <v>44958</v>
      </c>
      <c r="E156" s="352"/>
      <c r="F156" s="352">
        <v>6</v>
      </c>
      <c r="G156" s="352" t="s">
        <v>339</v>
      </c>
      <c r="H156" s="424" t="s">
        <v>571</v>
      </c>
      <c r="I156" s="350" t="s">
        <v>393</v>
      </c>
      <c r="J156" s="375">
        <f>300000*20%</f>
        <v>60000</v>
      </c>
      <c r="K156" s="350" t="s">
        <v>394</v>
      </c>
      <c r="L156" s="354">
        <v>2043.09</v>
      </c>
      <c r="M156" s="375">
        <f t="shared" si="0"/>
        <v>29.367281911222708</v>
      </c>
      <c r="N156" s="354" t="s">
        <v>395</v>
      </c>
      <c r="O156" s="354">
        <v>0</v>
      </c>
      <c r="P156" s="355" t="s">
        <v>396</v>
      </c>
      <c r="Q156" s="354" t="s">
        <v>397</v>
      </c>
      <c r="R156" s="378">
        <v>0</v>
      </c>
      <c r="S156" s="378">
        <v>0</v>
      </c>
      <c r="T156" s="373">
        <v>0</v>
      </c>
      <c r="U156" s="373">
        <v>0</v>
      </c>
      <c r="V156" s="373">
        <v>0</v>
      </c>
      <c r="W156" s="373">
        <v>0</v>
      </c>
    </row>
    <row r="157" spans="1:23" x14ac:dyDescent="0.25">
      <c r="A157" s="348" t="s">
        <v>572</v>
      </c>
      <c r="B157" s="349">
        <v>9</v>
      </c>
      <c r="C157" s="423">
        <v>44958</v>
      </c>
      <c r="D157" s="351">
        <v>44973</v>
      </c>
      <c r="E157" s="352"/>
      <c r="F157" s="352">
        <v>6</v>
      </c>
      <c r="G157" s="352" t="s">
        <v>340</v>
      </c>
      <c r="H157" s="424" t="s">
        <v>573</v>
      </c>
      <c r="I157" s="350" t="s">
        <v>393</v>
      </c>
      <c r="J157" s="375">
        <v>36385</v>
      </c>
      <c r="K157" s="350" t="s">
        <v>394</v>
      </c>
      <c r="L157" s="354">
        <v>2043.09</v>
      </c>
      <c r="M157" s="375">
        <f t="shared" si="0"/>
        <v>17.80880920566397</v>
      </c>
      <c r="N157" s="354" t="s">
        <v>395</v>
      </c>
      <c r="O157" s="354">
        <v>0</v>
      </c>
      <c r="P157" s="355" t="s">
        <v>396</v>
      </c>
      <c r="Q157" s="354" t="s">
        <v>397</v>
      </c>
      <c r="R157" s="378">
        <v>0</v>
      </c>
      <c r="S157" s="378">
        <v>0</v>
      </c>
      <c r="T157" s="373">
        <v>0</v>
      </c>
      <c r="U157" s="373">
        <v>0</v>
      </c>
      <c r="V157" s="373">
        <v>0</v>
      </c>
      <c r="W157" s="373">
        <v>0</v>
      </c>
    </row>
    <row r="158" spans="1:23" x14ac:dyDescent="0.25">
      <c r="A158" s="348" t="s">
        <v>574</v>
      </c>
      <c r="B158" s="349">
        <v>10</v>
      </c>
      <c r="C158" s="423">
        <v>44927</v>
      </c>
      <c r="D158" s="351">
        <v>44963</v>
      </c>
      <c r="E158" s="352"/>
      <c r="F158" s="352">
        <v>6</v>
      </c>
      <c r="G158" s="352" t="s">
        <v>337</v>
      </c>
      <c r="H158" s="424" t="s">
        <v>575</v>
      </c>
      <c r="I158" s="350" t="s">
        <v>393</v>
      </c>
      <c r="J158" s="375">
        <f>100000*30%</f>
        <v>30000</v>
      </c>
      <c r="K158" s="350" t="s">
        <v>394</v>
      </c>
      <c r="L158" s="354">
        <v>2043.09</v>
      </c>
      <c r="M158" s="375">
        <f t="shared" si="0"/>
        <v>14.683640955611354</v>
      </c>
      <c r="N158" s="354" t="s">
        <v>395</v>
      </c>
      <c r="O158" s="354">
        <v>0</v>
      </c>
      <c r="P158" s="355" t="s">
        <v>396</v>
      </c>
      <c r="Q158" s="354" t="s">
        <v>397</v>
      </c>
      <c r="R158" s="378">
        <v>0</v>
      </c>
      <c r="S158" s="378">
        <v>0</v>
      </c>
      <c r="T158" s="373">
        <v>0</v>
      </c>
      <c r="U158" s="373">
        <v>0</v>
      </c>
      <c r="V158" s="373">
        <v>0</v>
      </c>
      <c r="W158" s="373">
        <v>0</v>
      </c>
    </row>
    <row r="159" spans="1:23" x14ac:dyDescent="0.25">
      <c r="A159" s="348" t="s">
        <v>576</v>
      </c>
      <c r="B159" s="349">
        <v>11</v>
      </c>
      <c r="C159" s="423">
        <v>44958</v>
      </c>
      <c r="D159" s="351">
        <v>44963</v>
      </c>
      <c r="E159" s="352"/>
      <c r="F159" s="352">
        <v>6</v>
      </c>
      <c r="G159" s="352" t="s">
        <v>335</v>
      </c>
      <c r="H159" s="424" t="s">
        <v>577</v>
      </c>
      <c r="I159" s="350" t="s">
        <v>393</v>
      </c>
      <c r="J159" s="375">
        <f>1000000*20%</f>
        <v>200000</v>
      </c>
      <c r="K159" s="350" t="s">
        <v>394</v>
      </c>
      <c r="L159" s="354">
        <v>2047.28</v>
      </c>
      <c r="M159" s="375">
        <f t="shared" si="0"/>
        <v>97.690594349576031</v>
      </c>
      <c r="N159" s="354" t="s">
        <v>395</v>
      </c>
      <c r="O159" s="354">
        <v>0</v>
      </c>
      <c r="P159" s="355" t="s">
        <v>396</v>
      </c>
      <c r="Q159" s="354" t="s">
        <v>397</v>
      </c>
      <c r="R159" s="378">
        <v>0</v>
      </c>
      <c r="S159" s="378">
        <v>0</v>
      </c>
      <c r="T159" s="373">
        <v>0</v>
      </c>
      <c r="U159" s="373">
        <v>0</v>
      </c>
      <c r="V159" s="373">
        <v>0</v>
      </c>
      <c r="W159" s="373">
        <v>0</v>
      </c>
    </row>
    <row r="160" spans="1:23" x14ac:dyDescent="0.25">
      <c r="A160" s="348" t="s">
        <v>578</v>
      </c>
      <c r="B160" s="349">
        <v>12</v>
      </c>
      <c r="C160" s="423">
        <v>44958</v>
      </c>
      <c r="D160" s="351">
        <v>44967</v>
      </c>
      <c r="E160" s="352"/>
      <c r="F160" s="352">
        <v>6</v>
      </c>
      <c r="G160" s="352" t="s">
        <v>338</v>
      </c>
      <c r="H160" s="424" t="s">
        <v>579</v>
      </c>
      <c r="I160" s="350" t="s">
        <v>393</v>
      </c>
      <c r="J160" s="375">
        <f>350000*20%</f>
        <v>70000</v>
      </c>
      <c r="K160" s="350" t="s">
        <v>394</v>
      </c>
      <c r="L160" s="354">
        <v>2047.28</v>
      </c>
      <c r="M160" s="375">
        <f t="shared" si="0"/>
        <v>34.191708022351605</v>
      </c>
      <c r="N160" s="354" t="s">
        <v>395</v>
      </c>
      <c r="O160" s="354">
        <v>0</v>
      </c>
      <c r="P160" s="355" t="s">
        <v>396</v>
      </c>
      <c r="Q160" s="354" t="s">
        <v>397</v>
      </c>
      <c r="R160" s="378">
        <v>0</v>
      </c>
      <c r="S160" s="378">
        <v>0</v>
      </c>
      <c r="T160" s="373">
        <v>0</v>
      </c>
      <c r="U160" s="373">
        <v>0</v>
      </c>
      <c r="V160" s="373">
        <v>0</v>
      </c>
      <c r="W160" s="373">
        <v>0</v>
      </c>
    </row>
    <row r="161" spans="1:23" x14ac:dyDescent="0.25">
      <c r="A161" s="348" t="s">
        <v>580</v>
      </c>
      <c r="B161" s="349">
        <v>13</v>
      </c>
      <c r="C161" s="423">
        <v>44958</v>
      </c>
      <c r="D161" s="351">
        <v>44978</v>
      </c>
      <c r="E161" s="352"/>
      <c r="F161" s="352">
        <v>6</v>
      </c>
      <c r="G161" s="352" t="s">
        <v>340</v>
      </c>
      <c r="H161" s="424" t="s">
        <v>581</v>
      </c>
      <c r="I161" s="350" t="s">
        <v>393</v>
      </c>
      <c r="J161" s="375">
        <v>36385</v>
      </c>
      <c r="K161" s="350" t="s">
        <v>394</v>
      </c>
      <c r="L161" s="354">
        <v>2047.28</v>
      </c>
      <c r="M161" s="375">
        <f t="shared" si="0"/>
        <v>17.772361377046618</v>
      </c>
      <c r="N161" s="354" t="s">
        <v>395</v>
      </c>
      <c r="O161" s="354">
        <v>0</v>
      </c>
      <c r="P161" s="355" t="s">
        <v>396</v>
      </c>
      <c r="Q161" s="354" t="s">
        <v>397</v>
      </c>
      <c r="R161" s="378">
        <v>0</v>
      </c>
      <c r="S161" s="378">
        <v>0</v>
      </c>
      <c r="T161" s="373">
        <v>0</v>
      </c>
      <c r="U161" s="373">
        <v>0</v>
      </c>
      <c r="V161" s="373">
        <v>0</v>
      </c>
      <c r="W161" s="373">
        <v>0</v>
      </c>
    </row>
    <row r="162" spans="1:23" x14ac:dyDescent="0.25">
      <c r="A162" s="348" t="s">
        <v>582</v>
      </c>
      <c r="B162" s="349">
        <v>14</v>
      </c>
      <c r="C162" s="423">
        <v>44958</v>
      </c>
      <c r="D162" s="351">
        <v>44985</v>
      </c>
      <c r="E162" s="352"/>
      <c r="F162" s="352">
        <v>6</v>
      </c>
      <c r="G162" s="352" t="s">
        <v>339</v>
      </c>
      <c r="H162" s="424" t="s">
        <v>583</v>
      </c>
      <c r="I162" s="350" t="s">
        <v>393</v>
      </c>
      <c r="J162" s="375">
        <f>300000*20%</f>
        <v>60000</v>
      </c>
      <c r="K162" s="350" t="s">
        <v>394</v>
      </c>
      <c r="L162" s="354">
        <v>2047.28</v>
      </c>
      <c r="M162" s="375">
        <f t="shared" si="0"/>
        <v>29.307178304872807</v>
      </c>
      <c r="N162" s="354" t="s">
        <v>395</v>
      </c>
      <c r="O162" s="354">
        <v>0</v>
      </c>
      <c r="P162" s="355" t="s">
        <v>396</v>
      </c>
      <c r="Q162" s="354" t="s">
        <v>397</v>
      </c>
      <c r="R162" s="378">
        <v>0</v>
      </c>
      <c r="S162" s="378">
        <v>0</v>
      </c>
      <c r="T162" s="373">
        <v>0</v>
      </c>
      <c r="U162" s="373">
        <v>0</v>
      </c>
      <c r="V162" s="373">
        <v>0</v>
      </c>
      <c r="W162" s="373">
        <v>0</v>
      </c>
    </row>
    <row r="163" spans="1:23" x14ac:dyDescent="0.25">
      <c r="A163" s="348" t="s">
        <v>584</v>
      </c>
      <c r="B163" s="349">
        <v>15</v>
      </c>
      <c r="C163" s="423">
        <v>44986</v>
      </c>
      <c r="D163" s="351">
        <v>44998</v>
      </c>
      <c r="E163" s="352"/>
      <c r="F163" s="352">
        <v>6</v>
      </c>
      <c r="G163" s="352" t="s">
        <v>338</v>
      </c>
      <c r="H163" s="424" t="s">
        <v>585</v>
      </c>
      <c r="I163" s="350" t="s">
        <v>393</v>
      </c>
      <c r="J163" s="375">
        <f>350000*20%</f>
        <v>70000</v>
      </c>
      <c r="K163" s="350" t="s">
        <v>394</v>
      </c>
      <c r="L163" s="426">
        <v>2049.2399999999998</v>
      </c>
      <c r="M163" s="375">
        <f t="shared" si="0"/>
        <v>34.159005289765965</v>
      </c>
      <c r="N163" s="354" t="s">
        <v>395</v>
      </c>
      <c r="O163" s="354">
        <v>0</v>
      </c>
      <c r="P163" s="355" t="s">
        <v>396</v>
      </c>
      <c r="Q163" s="354" t="s">
        <v>397</v>
      </c>
      <c r="R163" s="378">
        <v>0</v>
      </c>
      <c r="S163" s="378">
        <v>0</v>
      </c>
      <c r="T163" s="373">
        <v>0</v>
      </c>
      <c r="U163" s="373">
        <v>0</v>
      </c>
      <c r="V163" s="373">
        <v>0</v>
      </c>
      <c r="W163" s="373">
        <v>0</v>
      </c>
    </row>
    <row r="164" spans="1:23" x14ac:dyDescent="0.25">
      <c r="A164" s="348" t="s">
        <v>584</v>
      </c>
      <c r="B164" s="349">
        <v>16</v>
      </c>
      <c r="C164" s="423">
        <v>44958</v>
      </c>
      <c r="D164" s="351">
        <v>44998</v>
      </c>
      <c r="E164" s="352"/>
      <c r="F164" s="352">
        <v>6</v>
      </c>
      <c r="G164" s="352" t="s">
        <v>337</v>
      </c>
      <c r="H164" s="424" t="s">
        <v>586</v>
      </c>
      <c r="I164" s="350" t="s">
        <v>393</v>
      </c>
      <c r="J164" s="375">
        <f>100000*30%</f>
        <v>30000</v>
      </c>
      <c r="K164" s="350" t="s">
        <v>394</v>
      </c>
      <c r="L164" s="354">
        <v>2047.28</v>
      </c>
      <c r="M164" s="375">
        <f t="shared" si="0"/>
        <v>14.653589152436403</v>
      </c>
      <c r="N164" s="354" t="s">
        <v>395</v>
      </c>
      <c r="O164" s="354">
        <v>0</v>
      </c>
      <c r="P164" s="355" t="s">
        <v>396</v>
      </c>
      <c r="Q164" s="354" t="s">
        <v>397</v>
      </c>
      <c r="R164" s="378">
        <v>0</v>
      </c>
      <c r="S164" s="378">
        <v>0</v>
      </c>
      <c r="T164" s="373">
        <v>0</v>
      </c>
      <c r="U164" s="373">
        <v>0</v>
      </c>
      <c r="V164" s="373">
        <v>0</v>
      </c>
      <c r="W164" s="373">
        <v>0</v>
      </c>
    </row>
    <row r="165" spans="1:23" x14ac:dyDescent="0.25">
      <c r="A165" s="348" t="s">
        <v>587</v>
      </c>
      <c r="B165" s="349">
        <v>17</v>
      </c>
      <c r="C165" s="423">
        <v>45017</v>
      </c>
      <c r="D165" s="351">
        <v>45030</v>
      </c>
      <c r="E165" s="352"/>
      <c r="F165" s="352">
        <v>6</v>
      </c>
      <c r="G165" s="352" t="s">
        <v>338</v>
      </c>
      <c r="H165" s="424" t="s">
        <v>588</v>
      </c>
      <c r="I165" s="350" t="s">
        <v>393</v>
      </c>
      <c r="J165" s="375">
        <f>350000*20%</f>
        <v>70000</v>
      </c>
      <c r="K165" s="350" t="s">
        <v>394</v>
      </c>
      <c r="L165" s="426">
        <v>2049.2399999999998</v>
      </c>
      <c r="M165" s="375">
        <f t="shared" si="0"/>
        <v>34.159005289765965</v>
      </c>
      <c r="N165" s="354" t="s">
        <v>395</v>
      </c>
      <c r="O165" s="354">
        <v>0</v>
      </c>
      <c r="P165" s="355" t="s">
        <v>396</v>
      </c>
      <c r="Q165" s="354" t="s">
        <v>397</v>
      </c>
      <c r="R165" s="378">
        <v>0</v>
      </c>
      <c r="S165" s="378">
        <v>0</v>
      </c>
      <c r="T165" s="373">
        <v>0</v>
      </c>
      <c r="U165" s="373">
        <v>0</v>
      </c>
      <c r="V165" s="373">
        <v>0</v>
      </c>
      <c r="W165" s="373">
        <v>0</v>
      </c>
    </row>
    <row r="166" spans="1:23" x14ac:dyDescent="0.25">
      <c r="A166" s="348" t="s">
        <v>587</v>
      </c>
      <c r="B166" s="349">
        <v>18</v>
      </c>
      <c r="C166" s="423">
        <v>44986</v>
      </c>
      <c r="D166" s="351">
        <v>45030</v>
      </c>
      <c r="E166" s="352"/>
      <c r="F166" s="352">
        <v>6</v>
      </c>
      <c r="G166" s="352" t="s">
        <v>337</v>
      </c>
      <c r="H166" s="424" t="s">
        <v>589</v>
      </c>
      <c r="I166" s="350" t="s">
        <v>393</v>
      </c>
      <c r="J166" s="375">
        <f>100000*30%</f>
        <v>30000</v>
      </c>
      <c r="K166" s="350" t="s">
        <v>394</v>
      </c>
      <c r="L166" s="426">
        <v>2049.2399999999998</v>
      </c>
      <c r="M166" s="375">
        <f t="shared" si="0"/>
        <v>14.639573695613985</v>
      </c>
      <c r="N166" s="354" t="s">
        <v>395</v>
      </c>
      <c r="O166" s="354">
        <v>0</v>
      </c>
      <c r="P166" s="355" t="s">
        <v>396</v>
      </c>
      <c r="Q166" s="354" t="s">
        <v>397</v>
      </c>
      <c r="R166" s="378">
        <v>0</v>
      </c>
      <c r="S166" s="378">
        <v>0</v>
      </c>
      <c r="T166" s="373">
        <v>0</v>
      </c>
      <c r="U166" s="373">
        <v>0</v>
      </c>
      <c r="V166" s="373">
        <v>0</v>
      </c>
      <c r="W166" s="373">
        <v>0</v>
      </c>
    </row>
    <row r="167" spans="1:23" x14ac:dyDescent="0.25">
      <c r="A167" s="348" t="s">
        <v>590</v>
      </c>
      <c r="B167" s="349">
        <v>19</v>
      </c>
      <c r="C167" s="423">
        <v>44986</v>
      </c>
      <c r="D167" s="351">
        <v>45002</v>
      </c>
      <c r="E167" s="352"/>
      <c r="F167" s="352">
        <v>6</v>
      </c>
      <c r="G167" s="352" t="s">
        <v>335</v>
      </c>
      <c r="H167" s="424" t="s">
        <v>591</v>
      </c>
      <c r="I167" s="350" t="s">
        <v>393</v>
      </c>
      <c r="J167" s="375">
        <f>1000000*20%</f>
        <v>200000</v>
      </c>
      <c r="K167" s="350" t="s">
        <v>394</v>
      </c>
      <c r="L167" s="426">
        <v>2049.2399999999998</v>
      </c>
      <c r="M167" s="375">
        <f t="shared" si="0"/>
        <v>97.597157970759895</v>
      </c>
      <c r="N167" s="354" t="s">
        <v>395</v>
      </c>
      <c r="O167" s="354">
        <v>0</v>
      </c>
      <c r="P167" s="355" t="s">
        <v>396</v>
      </c>
      <c r="Q167" s="354" t="s">
        <v>397</v>
      </c>
      <c r="R167" s="378">
        <v>0</v>
      </c>
      <c r="S167" s="378">
        <v>0</v>
      </c>
      <c r="T167" s="373">
        <v>0</v>
      </c>
      <c r="U167" s="373">
        <v>0</v>
      </c>
      <c r="V167" s="373">
        <v>0</v>
      </c>
      <c r="W167" s="373">
        <v>0</v>
      </c>
    </row>
    <row r="168" spans="1:23" x14ac:dyDescent="0.25">
      <c r="A168" s="348" t="s">
        <v>592</v>
      </c>
      <c r="B168" s="349">
        <v>20</v>
      </c>
      <c r="C168" s="423">
        <v>44986</v>
      </c>
      <c r="D168" s="351">
        <v>45012</v>
      </c>
      <c r="E168" s="352"/>
      <c r="F168" s="352">
        <v>6</v>
      </c>
      <c r="G168" s="352" t="s">
        <v>340</v>
      </c>
      <c r="H168" s="424" t="s">
        <v>593</v>
      </c>
      <c r="I168" s="350" t="s">
        <v>393</v>
      </c>
      <c r="J168" s="375">
        <v>36385</v>
      </c>
      <c r="K168" s="350" t="s">
        <v>394</v>
      </c>
      <c r="L168" s="354">
        <v>2049.2399999999998</v>
      </c>
      <c r="M168" s="375">
        <f t="shared" si="0"/>
        <v>17.755362963830496</v>
      </c>
      <c r="N168" s="354" t="s">
        <v>395</v>
      </c>
      <c r="O168" s="354">
        <v>0</v>
      </c>
      <c r="P168" s="355" t="s">
        <v>396</v>
      </c>
      <c r="Q168" s="354" t="s">
        <v>397</v>
      </c>
      <c r="R168" s="378">
        <v>0</v>
      </c>
      <c r="S168" s="378">
        <v>0</v>
      </c>
      <c r="T168" s="373">
        <v>0</v>
      </c>
      <c r="U168" s="373">
        <v>0</v>
      </c>
      <c r="V168" s="373">
        <v>0</v>
      </c>
      <c r="W168" s="373">
        <v>0</v>
      </c>
    </row>
    <row r="169" spans="1:23" x14ac:dyDescent="0.25">
      <c r="A169" s="348" t="s">
        <v>594</v>
      </c>
      <c r="B169" s="349">
        <v>21</v>
      </c>
      <c r="C169" s="423">
        <v>44986</v>
      </c>
      <c r="D169" s="351">
        <v>45016</v>
      </c>
      <c r="E169" s="352"/>
      <c r="F169" s="352">
        <v>6</v>
      </c>
      <c r="G169" s="352" t="s">
        <v>339</v>
      </c>
      <c r="H169" s="424" t="s">
        <v>595</v>
      </c>
      <c r="I169" s="350" t="s">
        <v>393</v>
      </c>
      <c r="J169" s="375">
        <f>300000*20%</f>
        <v>60000</v>
      </c>
      <c r="K169" s="350" t="s">
        <v>394</v>
      </c>
      <c r="L169" s="354">
        <v>2049.2399999999998</v>
      </c>
      <c r="M169" s="375">
        <f t="shared" si="0"/>
        <v>29.279147391227969</v>
      </c>
      <c r="N169" s="354" t="s">
        <v>395</v>
      </c>
      <c r="O169" s="354">
        <v>0</v>
      </c>
      <c r="P169" s="355" t="s">
        <v>396</v>
      </c>
      <c r="Q169" s="354" t="s">
        <v>397</v>
      </c>
      <c r="R169" s="378">
        <v>0</v>
      </c>
      <c r="S169" s="378">
        <v>0</v>
      </c>
      <c r="T169" s="373">
        <v>0</v>
      </c>
      <c r="U169" s="373">
        <v>0</v>
      </c>
      <c r="V169" s="373">
        <v>0</v>
      </c>
      <c r="W169" s="373">
        <v>0</v>
      </c>
    </row>
    <row r="170" spans="1:23" x14ac:dyDescent="0.25">
      <c r="A170" s="348" t="s">
        <v>596</v>
      </c>
      <c r="B170" s="349">
        <v>22</v>
      </c>
      <c r="C170" s="423">
        <v>45017</v>
      </c>
      <c r="D170" s="351">
        <v>45049</v>
      </c>
      <c r="E170" s="352"/>
      <c r="F170" s="352">
        <v>6</v>
      </c>
      <c r="G170" s="352" t="s">
        <v>335</v>
      </c>
      <c r="H170" s="424" t="s">
        <v>597</v>
      </c>
      <c r="I170" s="350" t="s">
        <v>393</v>
      </c>
      <c r="J170" s="375">
        <f>1000000*20%</f>
        <v>200000</v>
      </c>
      <c r="K170" s="350" t="s">
        <v>394</v>
      </c>
      <c r="L170" s="426">
        <v>2050.46</v>
      </c>
      <c r="M170" s="375">
        <f t="shared" si="0"/>
        <v>97.539088789832519</v>
      </c>
      <c r="N170" s="354" t="s">
        <v>395</v>
      </c>
      <c r="O170" s="354">
        <v>0</v>
      </c>
      <c r="P170" s="355" t="s">
        <v>396</v>
      </c>
      <c r="Q170" s="354" t="s">
        <v>397</v>
      </c>
      <c r="R170" s="378">
        <v>0</v>
      </c>
      <c r="S170" s="378">
        <v>0</v>
      </c>
      <c r="T170" s="373">
        <v>0</v>
      </c>
      <c r="U170" s="373">
        <v>0</v>
      </c>
      <c r="V170" s="373">
        <v>0</v>
      </c>
      <c r="W170" s="373">
        <v>0</v>
      </c>
    </row>
    <row r="171" spans="1:23" x14ac:dyDescent="0.25">
      <c r="A171" s="348" t="s">
        <v>596</v>
      </c>
      <c r="B171" s="349">
        <v>23</v>
      </c>
      <c r="C171" s="423">
        <v>45017</v>
      </c>
      <c r="D171" s="351">
        <v>45049</v>
      </c>
      <c r="E171" s="352"/>
      <c r="F171" s="352">
        <v>6</v>
      </c>
      <c r="G171" s="352" t="s">
        <v>339</v>
      </c>
      <c r="H171" s="424" t="s">
        <v>598</v>
      </c>
      <c r="I171" s="350" t="s">
        <v>393</v>
      </c>
      <c r="J171" s="375">
        <f>300000*20%</f>
        <v>60000</v>
      </c>
      <c r="K171" s="350" t="s">
        <v>394</v>
      </c>
      <c r="L171" s="426">
        <v>2050.46</v>
      </c>
      <c r="M171" s="375">
        <f t="shared" si="0"/>
        <v>29.261726636949756</v>
      </c>
      <c r="N171" s="354" t="s">
        <v>395</v>
      </c>
      <c r="O171" s="354">
        <v>0</v>
      </c>
      <c r="P171" s="355" t="s">
        <v>396</v>
      </c>
      <c r="Q171" s="354" t="s">
        <v>397</v>
      </c>
      <c r="R171" s="378">
        <v>0</v>
      </c>
      <c r="S171" s="378">
        <v>0</v>
      </c>
      <c r="T171" s="373">
        <v>0</v>
      </c>
      <c r="U171" s="373">
        <v>0</v>
      </c>
      <c r="V171" s="373">
        <v>0</v>
      </c>
      <c r="W171" s="373">
        <v>0</v>
      </c>
    </row>
    <row r="172" spans="1:23" x14ac:dyDescent="0.25">
      <c r="A172" s="348" t="s">
        <v>599</v>
      </c>
      <c r="B172" s="349">
        <v>24</v>
      </c>
      <c r="C172" s="423">
        <v>45017</v>
      </c>
      <c r="D172" s="351">
        <v>45051</v>
      </c>
      <c r="E172" s="352"/>
      <c r="F172" s="352">
        <v>6</v>
      </c>
      <c r="G172" s="352" t="s">
        <v>337</v>
      </c>
      <c r="H172" s="424" t="s">
        <v>600</v>
      </c>
      <c r="I172" s="350" t="s">
        <v>393</v>
      </c>
      <c r="J172" s="375">
        <f>100000*30%</f>
        <v>30000</v>
      </c>
      <c r="K172" s="350" t="s">
        <v>394</v>
      </c>
      <c r="L172" s="426">
        <v>2050.46</v>
      </c>
      <c r="M172" s="375">
        <f t="shared" si="0"/>
        <v>14.630863318474878</v>
      </c>
      <c r="N172" s="354" t="s">
        <v>395</v>
      </c>
      <c r="O172" s="354">
        <v>0</v>
      </c>
      <c r="P172" s="355" t="s">
        <v>396</v>
      </c>
      <c r="Q172" s="354" t="s">
        <v>397</v>
      </c>
      <c r="R172" s="378">
        <v>0</v>
      </c>
      <c r="S172" s="378">
        <v>0</v>
      </c>
      <c r="T172" s="373">
        <v>0</v>
      </c>
      <c r="U172" s="373">
        <v>0</v>
      </c>
      <c r="V172" s="373">
        <v>0</v>
      </c>
      <c r="W172" s="373">
        <v>0</v>
      </c>
    </row>
    <row r="173" spans="1:23" x14ac:dyDescent="0.25">
      <c r="A173" s="348" t="s">
        <v>601</v>
      </c>
      <c r="B173" s="349">
        <v>25</v>
      </c>
      <c r="C173" s="423">
        <v>45047</v>
      </c>
      <c r="D173" s="351">
        <v>45062</v>
      </c>
      <c r="E173" s="352"/>
      <c r="F173" s="352">
        <v>6</v>
      </c>
      <c r="G173" s="352" t="s">
        <v>338</v>
      </c>
      <c r="H173" s="424" t="s">
        <v>602</v>
      </c>
      <c r="I173" s="350" t="s">
        <v>393</v>
      </c>
      <c r="J173" s="375">
        <f>350000*20%</f>
        <v>70000</v>
      </c>
      <c r="K173" s="350" t="s">
        <v>394</v>
      </c>
      <c r="L173" s="354">
        <v>2054.29</v>
      </c>
      <c r="M173" s="375">
        <f t="shared" si="0"/>
        <v>34.075033223157391</v>
      </c>
      <c r="N173" s="354" t="s">
        <v>395</v>
      </c>
      <c r="O173" s="354">
        <v>0</v>
      </c>
      <c r="P173" s="355" t="s">
        <v>396</v>
      </c>
      <c r="Q173" s="354" t="s">
        <v>397</v>
      </c>
      <c r="R173" s="378">
        <v>0</v>
      </c>
      <c r="S173" s="378">
        <v>0</v>
      </c>
      <c r="T173" s="373">
        <v>0</v>
      </c>
      <c r="U173" s="373">
        <v>0</v>
      </c>
      <c r="V173" s="373">
        <v>0</v>
      </c>
      <c r="W173" s="373">
        <v>0</v>
      </c>
    </row>
    <row r="174" spans="1:23" x14ac:dyDescent="0.25">
      <c r="A174" s="348" t="s">
        <v>601</v>
      </c>
      <c r="B174" s="349">
        <v>26</v>
      </c>
      <c r="C174" s="423">
        <v>45047</v>
      </c>
      <c r="D174" s="351">
        <v>45062</v>
      </c>
      <c r="E174" s="352"/>
      <c r="F174" s="352">
        <v>6</v>
      </c>
      <c r="G174" s="352" t="s">
        <v>335</v>
      </c>
      <c r="H174" s="424" t="s">
        <v>603</v>
      </c>
      <c r="I174" s="350" t="s">
        <v>393</v>
      </c>
      <c r="J174" s="375">
        <f>1000000*20%</f>
        <v>200000</v>
      </c>
      <c r="K174" s="350" t="s">
        <v>394</v>
      </c>
      <c r="L174" s="354">
        <v>2054.29</v>
      </c>
      <c r="M174" s="375">
        <f t="shared" si="0"/>
        <v>97.357237780449694</v>
      </c>
      <c r="N174" s="354" t="s">
        <v>395</v>
      </c>
      <c r="O174" s="354">
        <v>0</v>
      </c>
      <c r="P174" s="355" t="s">
        <v>396</v>
      </c>
      <c r="Q174" s="354" t="s">
        <v>397</v>
      </c>
      <c r="R174" s="378">
        <v>0</v>
      </c>
      <c r="S174" s="378">
        <v>0</v>
      </c>
      <c r="T174" s="373">
        <v>0</v>
      </c>
      <c r="U174" s="373">
        <v>0</v>
      </c>
      <c r="V174" s="373">
        <v>0</v>
      </c>
      <c r="W174" s="373">
        <v>0</v>
      </c>
    </row>
    <row r="175" spans="1:23" x14ac:dyDescent="0.25">
      <c r="A175" s="348" t="s">
        <v>617</v>
      </c>
      <c r="B175" s="349">
        <v>1</v>
      </c>
      <c r="C175" s="423">
        <v>45047</v>
      </c>
      <c r="D175" s="351">
        <v>45065</v>
      </c>
      <c r="E175" s="352"/>
      <c r="F175" s="352">
        <v>6</v>
      </c>
      <c r="G175" s="427" t="s">
        <v>343</v>
      </c>
      <c r="H175" s="350" t="s">
        <v>618</v>
      </c>
      <c r="I175" s="350" t="s">
        <v>393</v>
      </c>
      <c r="J175" s="375">
        <v>20000</v>
      </c>
      <c r="K175" s="350" t="s">
        <v>394</v>
      </c>
      <c r="L175" s="353">
        <v>2054.29</v>
      </c>
      <c r="M175" s="375">
        <f>+J175/L175</f>
        <v>9.735723778044969</v>
      </c>
      <c r="N175" s="354" t="s">
        <v>395</v>
      </c>
      <c r="O175" s="354">
        <v>0</v>
      </c>
      <c r="P175" s="355" t="s">
        <v>396</v>
      </c>
      <c r="Q175" s="354" t="s">
        <v>344</v>
      </c>
      <c r="R175" s="378">
        <v>0</v>
      </c>
      <c r="S175" s="378">
        <v>0</v>
      </c>
      <c r="T175" s="373">
        <v>0</v>
      </c>
      <c r="U175" s="373">
        <v>0</v>
      </c>
      <c r="V175" s="373">
        <v>0</v>
      </c>
      <c r="W175" s="373">
        <v>0</v>
      </c>
    </row>
    <row r="176" spans="1:23" x14ac:dyDescent="0.25">
      <c r="A176" s="348" t="s">
        <v>621</v>
      </c>
      <c r="B176" s="349">
        <v>5055</v>
      </c>
      <c r="C176" s="350" t="s">
        <v>628</v>
      </c>
      <c r="D176" s="351">
        <v>45107</v>
      </c>
      <c r="E176" s="352">
        <v>3600</v>
      </c>
      <c r="F176" s="352">
        <v>7</v>
      </c>
      <c r="G176" s="427"/>
      <c r="H176" s="350" t="s">
        <v>629</v>
      </c>
      <c r="I176" s="350" t="s">
        <v>393</v>
      </c>
      <c r="J176" s="375">
        <v>43</v>
      </c>
      <c r="K176" s="350" t="s">
        <v>395</v>
      </c>
      <c r="L176" s="354">
        <v>0</v>
      </c>
      <c r="M176" s="354">
        <v>43</v>
      </c>
      <c r="N176" s="354" t="s">
        <v>395</v>
      </c>
      <c r="O176" s="354">
        <v>34.69</v>
      </c>
      <c r="P176" s="355" t="s">
        <v>396</v>
      </c>
      <c r="Q176" s="354" t="s">
        <v>404</v>
      </c>
      <c r="R176" s="355" t="s">
        <v>405</v>
      </c>
      <c r="S176" s="355">
        <v>0</v>
      </c>
      <c r="T176" s="350" t="s">
        <v>410</v>
      </c>
      <c r="U176" s="351">
        <v>45112</v>
      </c>
      <c r="V176" s="351">
        <v>45112</v>
      </c>
      <c r="W176" s="350" t="s">
        <v>407</v>
      </c>
    </row>
    <row r="177" spans="1:23" x14ac:dyDescent="0.25">
      <c r="A177" s="348" t="s">
        <v>622</v>
      </c>
      <c r="B177" s="349">
        <v>4990</v>
      </c>
      <c r="C177" s="350" t="s">
        <v>628</v>
      </c>
      <c r="D177" s="351">
        <v>45103</v>
      </c>
      <c r="E177" s="352">
        <v>3420</v>
      </c>
      <c r="F177" s="352">
        <v>7</v>
      </c>
      <c r="G177" s="427"/>
      <c r="H177" s="350" t="s">
        <v>630</v>
      </c>
      <c r="I177" s="350" t="s">
        <v>393</v>
      </c>
      <c r="J177" s="375">
        <v>50000</v>
      </c>
      <c r="K177" s="350" t="s">
        <v>394</v>
      </c>
      <c r="L177" s="354">
        <v>0</v>
      </c>
      <c r="M177" s="354">
        <v>17.91</v>
      </c>
      <c r="N177" s="354" t="s">
        <v>395</v>
      </c>
      <c r="O177" s="354">
        <v>14.45</v>
      </c>
      <c r="P177" s="355" t="s">
        <v>396</v>
      </c>
      <c r="Q177" s="354" t="s">
        <v>404</v>
      </c>
      <c r="R177" s="355" t="s">
        <v>405</v>
      </c>
      <c r="S177" s="355">
        <v>0</v>
      </c>
      <c r="T177" s="350" t="s">
        <v>410</v>
      </c>
      <c r="U177" s="351">
        <v>45111</v>
      </c>
      <c r="V177" s="351">
        <v>45112</v>
      </c>
      <c r="W177" s="350" t="s">
        <v>407</v>
      </c>
    </row>
    <row r="178" spans="1:23" x14ac:dyDescent="0.25">
      <c r="A178" s="348" t="s">
        <v>623</v>
      </c>
      <c r="B178" s="349">
        <v>5004</v>
      </c>
      <c r="C178" s="350" t="s">
        <v>628</v>
      </c>
      <c r="D178" s="351">
        <v>45079</v>
      </c>
      <c r="E178" s="352">
        <v>3170</v>
      </c>
      <c r="F178" s="352">
        <v>1</v>
      </c>
      <c r="G178" s="427"/>
      <c r="H178" s="350" t="s">
        <v>631</v>
      </c>
      <c r="I178" s="350" t="s">
        <v>393</v>
      </c>
      <c r="J178" s="375">
        <v>80000</v>
      </c>
      <c r="K178" s="350" t="s">
        <v>394</v>
      </c>
      <c r="L178" s="354">
        <v>0</v>
      </c>
      <c r="M178" s="354">
        <v>28.65</v>
      </c>
      <c r="N178" s="354" t="s">
        <v>395</v>
      </c>
      <c r="O178" s="354">
        <v>23.11</v>
      </c>
      <c r="P178" s="355" t="s">
        <v>396</v>
      </c>
      <c r="Q178" s="354" t="s">
        <v>404</v>
      </c>
      <c r="R178" s="355" t="s">
        <v>405</v>
      </c>
      <c r="S178" s="355">
        <v>0</v>
      </c>
      <c r="T178" s="350" t="s">
        <v>410</v>
      </c>
      <c r="U178" s="351">
        <v>45112</v>
      </c>
      <c r="V178" s="351">
        <v>45112</v>
      </c>
      <c r="W178" s="350" t="s">
        <v>407</v>
      </c>
    </row>
    <row r="179" spans="1:23" x14ac:dyDescent="0.25">
      <c r="A179" s="348" t="s">
        <v>624</v>
      </c>
      <c r="B179" s="349">
        <v>4999</v>
      </c>
      <c r="C179" s="350" t="s">
        <v>628</v>
      </c>
      <c r="D179" s="351">
        <v>45107</v>
      </c>
      <c r="E179" s="352">
        <v>3420</v>
      </c>
      <c r="F179" s="352">
        <v>7</v>
      </c>
      <c r="G179" s="427"/>
      <c r="H179" s="350" t="s">
        <v>632</v>
      </c>
      <c r="I179" s="350" t="s">
        <v>393</v>
      </c>
      <c r="J179" s="375">
        <v>140000</v>
      </c>
      <c r="K179" s="350" t="s">
        <v>394</v>
      </c>
      <c r="L179" s="354">
        <v>0</v>
      </c>
      <c r="M179" s="354">
        <v>50.13</v>
      </c>
      <c r="N179" s="354" t="s">
        <v>395</v>
      </c>
      <c r="O179" s="354">
        <v>40.450000000000003</v>
      </c>
      <c r="P179" s="355" t="s">
        <v>396</v>
      </c>
      <c r="Q179" s="354" t="s">
        <v>404</v>
      </c>
      <c r="R179" s="355" t="s">
        <v>405</v>
      </c>
      <c r="S179" s="355">
        <v>0</v>
      </c>
      <c r="T179" s="350" t="s">
        <v>410</v>
      </c>
      <c r="U179" s="351">
        <v>45111</v>
      </c>
      <c r="V179" s="351">
        <v>45112</v>
      </c>
      <c r="W179" s="350" t="s">
        <v>407</v>
      </c>
    </row>
    <row r="180" spans="1:23" x14ac:dyDescent="0.25">
      <c r="A180" s="348" t="s">
        <v>625</v>
      </c>
      <c r="B180" s="349">
        <v>4978</v>
      </c>
      <c r="C180" s="350" t="s">
        <v>628</v>
      </c>
      <c r="D180" s="351">
        <v>45097</v>
      </c>
      <c r="E180" s="352">
        <v>3440</v>
      </c>
      <c r="F180" s="352">
        <v>7</v>
      </c>
      <c r="G180" s="427"/>
      <c r="H180" s="350" t="s">
        <v>633</v>
      </c>
      <c r="I180" s="350" t="s">
        <v>393</v>
      </c>
      <c r="J180" s="375">
        <v>500000</v>
      </c>
      <c r="K180" s="350" t="s">
        <v>394</v>
      </c>
      <c r="L180" s="354">
        <v>0</v>
      </c>
      <c r="M180" s="354">
        <v>179.05</v>
      </c>
      <c r="N180" s="354" t="s">
        <v>395</v>
      </c>
      <c r="O180" s="354">
        <v>144.46</v>
      </c>
      <c r="P180" s="355" t="s">
        <v>396</v>
      </c>
      <c r="Q180" s="354" t="s">
        <v>404</v>
      </c>
      <c r="R180" s="355" t="s">
        <v>405</v>
      </c>
      <c r="S180" s="355">
        <v>0</v>
      </c>
      <c r="T180" s="350" t="s">
        <v>410</v>
      </c>
      <c r="U180" s="351">
        <v>45111</v>
      </c>
      <c r="V180" s="351">
        <v>45112</v>
      </c>
      <c r="W180" s="350" t="s">
        <v>407</v>
      </c>
    </row>
    <row r="181" spans="1:23" x14ac:dyDescent="0.25">
      <c r="A181" s="348" t="s">
        <v>626</v>
      </c>
      <c r="B181" s="349">
        <v>5090</v>
      </c>
      <c r="C181" s="350" t="s">
        <v>628</v>
      </c>
      <c r="D181" s="351">
        <v>45089</v>
      </c>
      <c r="E181" s="352">
        <v>3350</v>
      </c>
      <c r="F181" s="352">
        <v>5</v>
      </c>
      <c r="G181" s="427"/>
      <c r="H181" s="350" t="s">
        <v>634</v>
      </c>
      <c r="I181" s="350" t="s">
        <v>393</v>
      </c>
      <c r="J181" s="375">
        <v>145340</v>
      </c>
      <c r="K181" s="350" t="s">
        <v>394</v>
      </c>
      <c r="L181" s="354">
        <v>0</v>
      </c>
      <c r="M181" s="354">
        <v>52.05</v>
      </c>
      <c r="N181" s="354" t="s">
        <v>395</v>
      </c>
      <c r="O181" s="354">
        <v>41.99</v>
      </c>
      <c r="P181" s="355" t="s">
        <v>396</v>
      </c>
      <c r="Q181" s="354" t="s">
        <v>404</v>
      </c>
      <c r="R181" s="355" t="s">
        <v>405</v>
      </c>
      <c r="S181" s="355">
        <v>0</v>
      </c>
      <c r="T181" s="350" t="s">
        <v>410</v>
      </c>
      <c r="U181" s="351">
        <v>45112</v>
      </c>
      <c r="V181" s="351">
        <v>45112</v>
      </c>
      <c r="W181" s="350" t="s">
        <v>407</v>
      </c>
    </row>
    <row r="182" spans="1:23" x14ac:dyDescent="0.25">
      <c r="A182" s="348" t="s">
        <v>627</v>
      </c>
      <c r="B182" s="349">
        <v>4967</v>
      </c>
      <c r="C182" s="350" t="s">
        <v>628</v>
      </c>
      <c r="D182" s="351">
        <v>45107</v>
      </c>
      <c r="E182" s="352">
        <v>3130</v>
      </c>
      <c r="F182" s="352">
        <v>1</v>
      </c>
      <c r="G182" s="427"/>
      <c r="H182" s="350" t="s">
        <v>439</v>
      </c>
      <c r="I182" s="350" t="s">
        <v>393</v>
      </c>
      <c r="J182" s="375">
        <v>205107.4</v>
      </c>
      <c r="K182" s="350" t="s">
        <v>394</v>
      </c>
      <c r="L182" s="354">
        <v>0</v>
      </c>
      <c r="M182" s="354">
        <v>73.45</v>
      </c>
      <c r="N182" s="354" t="s">
        <v>395</v>
      </c>
      <c r="O182" s="354">
        <v>61.53</v>
      </c>
      <c r="P182" s="355" t="s">
        <v>396</v>
      </c>
      <c r="Q182" s="354" t="s">
        <v>404</v>
      </c>
      <c r="R182" s="355" t="s">
        <v>405</v>
      </c>
      <c r="S182" s="355">
        <v>102955</v>
      </c>
      <c r="T182" s="350" t="s">
        <v>406</v>
      </c>
      <c r="U182" s="351">
        <v>45111</v>
      </c>
      <c r="V182" s="351">
        <v>45111</v>
      </c>
      <c r="W182" s="350" t="s">
        <v>407</v>
      </c>
    </row>
    <row r="183" spans="1:23" x14ac:dyDescent="0.25">
      <c r="A183" s="348" t="s">
        <v>627</v>
      </c>
      <c r="B183" s="349">
        <v>4967</v>
      </c>
      <c r="C183" s="350" t="s">
        <v>628</v>
      </c>
      <c r="D183" s="351">
        <v>45107</v>
      </c>
      <c r="E183" s="352">
        <v>3130</v>
      </c>
      <c r="F183" s="352">
        <v>1</v>
      </c>
      <c r="G183" s="427"/>
      <c r="H183" s="350" t="s">
        <v>439</v>
      </c>
      <c r="I183" s="350" t="s">
        <v>393</v>
      </c>
      <c r="J183" s="375">
        <v>55502.85</v>
      </c>
      <c r="K183" s="350" t="s">
        <v>394</v>
      </c>
      <c r="L183" s="354">
        <v>0</v>
      </c>
      <c r="M183" s="354">
        <v>19.88</v>
      </c>
      <c r="N183" s="354" t="s">
        <v>395</v>
      </c>
      <c r="O183" s="354">
        <v>16.649999999999999</v>
      </c>
      <c r="P183" s="355" t="s">
        <v>396</v>
      </c>
      <c r="Q183" s="354" t="s">
        <v>404</v>
      </c>
      <c r="R183" s="355" t="s">
        <v>405</v>
      </c>
      <c r="S183" s="355">
        <v>103265</v>
      </c>
      <c r="T183" s="350" t="s">
        <v>406</v>
      </c>
      <c r="U183" s="351">
        <v>45111</v>
      </c>
      <c r="V183" s="351">
        <v>45111</v>
      </c>
      <c r="W183" s="350" t="s">
        <v>407</v>
      </c>
    </row>
    <row r="184" spans="1:23" x14ac:dyDescent="0.25">
      <c r="A184" s="348" t="s">
        <v>627</v>
      </c>
      <c r="B184" s="349">
        <v>4967</v>
      </c>
      <c r="C184" s="350" t="s">
        <v>628</v>
      </c>
      <c r="D184" s="351">
        <v>45107</v>
      </c>
      <c r="E184" s="352">
        <v>3130</v>
      </c>
      <c r="F184" s="352">
        <v>1</v>
      </c>
      <c r="G184" s="427"/>
      <c r="H184" s="350" t="s">
        <v>439</v>
      </c>
      <c r="I184" s="350" t="s">
        <v>393</v>
      </c>
      <c r="J184" s="375">
        <v>532244</v>
      </c>
      <c r="K184" s="350" t="s">
        <v>394</v>
      </c>
      <c r="L184" s="354">
        <v>0</v>
      </c>
      <c r="M184" s="354">
        <v>190.6</v>
      </c>
      <c r="N184" s="354" t="s">
        <v>395</v>
      </c>
      <c r="O184" s="354">
        <v>159.66999999999999</v>
      </c>
      <c r="P184" s="355" t="s">
        <v>396</v>
      </c>
      <c r="Q184" s="354" t="s">
        <v>404</v>
      </c>
      <c r="R184" s="355" t="s">
        <v>405</v>
      </c>
      <c r="S184" s="355">
        <v>117871</v>
      </c>
      <c r="T184" s="350" t="s">
        <v>406</v>
      </c>
      <c r="U184" s="351">
        <v>45111</v>
      </c>
      <c r="V184" s="351">
        <v>45111</v>
      </c>
      <c r="W184" s="350" t="s">
        <v>407</v>
      </c>
    </row>
    <row r="185" spans="1:23" x14ac:dyDescent="0.25">
      <c r="A185" s="348" t="s">
        <v>627</v>
      </c>
      <c r="B185" s="349">
        <v>4967</v>
      </c>
      <c r="C185" s="350" t="s">
        <v>628</v>
      </c>
      <c r="D185" s="351">
        <v>45107</v>
      </c>
      <c r="E185" s="352">
        <v>3130</v>
      </c>
      <c r="F185" s="352">
        <v>1</v>
      </c>
      <c r="G185" s="427"/>
      <c r="H185" s="350" t="s">
        <v>439</v>
      </c>
      <c r="I185" s="350" t="s">
        <v>393</v>
      </c>
      <c r="J185" s="375">
        <v>286764.79999999999</v>
      </c>
      <c r="K185" s="350" t="s">
        <v>394</v>
      </c>
      <c r="L185" s="354">
        <v>0</v>
      </c>
      <c r="M185" s="354">
        <v>102.69</v>
      </c>
      <c r="N185" s="354" t="s">
        <v>395</v>
      </c>
      <c r="O185" s="354">
        <v>86.03</v>
      </c>
      <c r="P185" s="355" t="s">
        <v>396</v>
      </c>
      <c r="Q185" s="354" t="s">
        <v>404</v>
      </c>
      <c r="R185" s="355" t="s">
        <v>405</v>
      </c>
      <c r="S185" s="355">
        <v>103321</v>
      </c>
      <c r="T185" s="350" t="s">
        <v>406</v>
      </c>
      <c r="U185" s="351">
        <v>45111</v>
      </c>
      <c r="V185" s="351">
        <v>45111</v>
      </c>
      <c r="W185" s="350" t="s">
        <v>407</v>
      </c>
    </row>
    <row r="186" spans="1:23" x14ac:dyDescent="0.25">
      <c r="A186" s="348" t="s">
        <v>627</v>
      </c>
      <c r="B186" s="349">
        <v>4967</v>
      </c>
      <c r="C186" s="350" t="s">
        <v>628</v>
      </c>
      <c r="D186" s="351">
        <v>45107</v>
      </c>
      <c r="E186" s="352">
        <v>3130</v>
      </c>
      <c r="F186" s="352">
        <v>1</v>
      </c>
      <c r="G186" s="427"/>
      <c r="H186" s="350" t="s">
        <v>439</v>
      </c>
      <c r="I186" s="350" t="s">
        <v>393</v>
      </c>
      <c r="J186" s="375">
        <v>55848.3</v>
      </c>
      <c r="K186" s="350" t="s">
        <v>394</v>
      </c>
      <c r="L186" s="354">
        <v>0</v>
      </c>
      <c r="M186" s="354">
        <v>20</v>
      </c>
      <c r="N186" s="354" t="s">
        <v>395</v>
      </c>
      <c r="O186" s="354">
        <v>16.75</v>
      </c>
      <c r="P186" s="355" t="s">
        <v>396</v>
      </c>
      <c r="Q186" s="354" t="s">
        <v>404</v>
      </c>
      <c r="R186" s="355" t="s">
        <v>405</v>
      </c>
      <c r="S186" s="355">
        <v>117427</v>
      </c>
      <c r="T186" s="350" t="s">
        <v>406</v>
      </c>
      <c r="U186" s="351">
        <v>45111</v>
      </c>
      <c r="V186" s="351">
        <v>45111</v>
      </c>
      <c r="W186" s="350" t="s">
        <v>407</v>
      </c>
    </row>
    <row r="187" spans="1:23" x14ac:dyDescent="0.25">
      <c r="A187" s="348" t="s">
        <v>627</v>
      </c>
      <c r="B187" s="349">
        <v>4967</v>
      </c>
      <c r="C187" s="350" t="s">
        <v>628</v>
      </c>
      <c r="D187" s="351">
        <v>45107</v>
      </c>
      <c r="E187" s="352">
        <v>3130</v>
      </c>
      <c r="F187" s="352">
        <v>1</v>
      </c>
      <c r="G187" s="427"/>
      <c r="H187" s="350" t="s">
        <v>439</v>
      </c>
      <c r="I187" s="350" t="s">
        <v>393</v>
      </c>
      <c r="J187" s="375">
        <v>297857.59999999998</v>
      </c>
      <c r="K187" s="350" t="s">
        <v>394</v>
      </c>
      <c r="L187" s="354">
        <v>0</v>
      </c>
      <c r="M187" s="354">
        <v>106.66</v>
      </c>
      <c r="N187" s="354" t="s">
        <v>395</v>
      </c>
      <c r="O187" s="354">
        <v>89.36</v>
      </c>
      <c r="P187" s="355" t="s">
        <v>396</v>
      </c>
      <c r="Q187" s="354" t="s">
        <v>404</v>
      </c>
      <c r="R187" s="355" t="s">
        <v>405</v>
      </c>
      <c r="S187" s="355">
        <v>117872</v>
      </c>
      <c r="T187" s="350" t="s">
        <v>406</v>
      </c>
      <c r="U187" s="351">
        <v>45111</v>
      </c>
      <c r="V187" s="351">
        <v>45111</v>
      </c>
      <c r="W187" s="350" t="s">
        <v>407</v>
      </c>
    </row>
    <row r="188" spans="1:23" x14ac:dyDescent="0.25">
      <c r="A188" s="348" t="s">
        <v>627</v>
      </c>
      <c r="B188" s="349">
        <v>4967</v>
      </c>
      <c r="C188" s="350" t="s">
        <v>628</v>
      </c>
      <c r="D188" s="351">
        <v>45107</v>
      </c>
      <c r="E188" s="352">
        <v>3130</v>
      </c>
      <c r="F188" s="352">
        <v>1</v>
      </c>
      <c r="G188" s="427"/>
      <c r="H188" s="350" t="s">
        <v>439</v>
      </c>
      <c r="I188" s="350" t="s">
        <v>393</v>
      </c>
      <c r="J188" s="375">
        <v>40032.9</v>
      </c>
      <c r="K188" s="350" t="s">
        <v>394</v>
      </c>
      <c r="L188" s="354">
        <v>0</v>
      </c>
      <c r="M188" s="354">
        <v>14.34</v>
      </c>
      <c r="N188" s="354" t="s">
        <v>395</v>
      </c>
      <c r="O188" s="354">
        <v>12.01</v>
      </c>
      <c r="P188" s="355" t="s">
        <v>396</v>
      </c>
      <c r="Q188" s="354" t="s">
        <v>404</v>
      </c>
      <c r="R188" s="355" t="s">
        <v>405</v>
      </c>
      <c r="S188" s="355">
        <v>103328</v>
      </c>
      <c r="T188" s="350" t="s">
        <v>406</v>
      </c>
      <c r="U188" s="351">
        <v>45111</v>
      </c>
      <c r="V188" s="351">
        <v>45111</v>
      </c>
      <c r="W188" s="350" t="s">
        <v>407</v>
      </c>
    </row>
    <row r="189" spans="1:23" x14ac:dyDescent="0.25">
      <c r="A189" s="348" t="s">
        <v>627</v>
      </c>
      <c r="B189" s="349">
        <v>4967</v>
      </c>
      <c r="C189" s="350" t="s">
        <v>628</v>
      </c>
      <c r="D189" s="351">
        <v>45107</v>
      </c>
      <c r="E189" s="352">
        <v>3130</v>
      </c>
      <c r="F189" s="352">
        <v>1</v>
      </c>
      <c r="G189" s="427"/>
      <c r="H189" s="350" t="s">
        <v>439</v>
      </c>
      <c r="I189" s="350" t="s">
        <v>393</v>
      </c>
      <c r="J189" s="375">
        <v>65749.600000000006</v>
      </c>
      <c r="K189" s="350" t="s">
        <v>394</v>
      </c>
      <c r="L189" s="354">
        <v>0</v>
      </c>
      <c r="M189" s="354">
        <v>23.55</v>
      </c>
      <c r="N189" s="354" t="s">
        <v>395</v>
      </c>
      <c r="O189" s="354">
        <v>19.72</v>
      </c>
      <c r="P189" s="355" t="s">
        <v>396</v>
      </c>
      <c r="Q189" s="354" t="s">
        <v>404</v>
      </c>
      <c r="R189" s="355" t="s">
        <v>405</v>
      </c>
      <c r="S189" s="355">
        <v>117293</v>
      </c>
      <c r="T189" s="350" t="s">
        <v>406</v>
      </c>
      <c r="U189" s="351">
        <v>45111</v>
      </c>
      <c r="V189" s="351">
        <v>45111</v>
      </c>
      <c r="W189" s="350" t="s">
        <v>407</v>
      </c>
    </row>
    <row r="190" spans="1:23" x14ac:dyDescent="0.25">
      <c r="A190" s="348" t="s">
        <v>627</v>
      </c>
      <c r="B190" s="349">
        <v>4967</v>
      </c>
      <c r="C190" s="350" t="s">
        <v>628</v>
      </c>
      <c r="D190" s="351">
        <v>45107</v>
      </c>
      <c r="E190" s="352">
        <v>3120</v>
      </c>
      <c r="F190" s="352">
        <v>1</v>
      </c>
      <c r="G190" s="427"/>
      <c r="H190" s="350" t="s">
        <v>438</v>
      </c>
      <c r="I190" s="350" t="s">
        <v>393</v>
      </c>
      <c r="J190" s="375">
        <v>4410</v>
      </c>
      <c r="K190" s="350" t="s">
        <v>394</v>
      </c>
      <c r="L190" s="354">
        <v>0</v>
      </c>
      <c r="M190" s="354">
        <v>1.58</v>
      </c>
      <c r="N190" s="354" t="s">
        <v>395</v>
      </c>
      <c r="O190" s="354">
        <v>1.32</v>
      </c>
      <c r="P190" s="355" t="s">
        <v>396</v>
      </c>
      <c r="Q190" s="354" t="s">
        <v>404</v>
      </c>
      <c r="R190" s="355" t="s">
        <v>405</v>
      </c>
      <c r="S190" s="355">
        <v>103265</v>
      </c>
      <c r="T190" s="350" t="s">
        <v>406</v>
      </c>
      <c r="U190" s="351">
        <v>45111</v>
      </c>
      <c r="V190" s="351">
        <v>45111</v>
      </c>
      <c r="W190" s="350" t="s">
        <v>407</v>
      </c>
    </row>
    <row r="191" spans="1:23" x14ac:dyDescent="0.25">
      <c r="A191" s="348" t="s">
        <v>627</v>
      </c>
      <c r="B191" s="349">
        <v>4967</v>
      </c>
      <c r="C191" s="350" t="s">
        <v>628</v>
      </c>
      <c r="D191" s="351">
        <v>45107</v>
      </c>
      <c r="E191" s="352">
        <v>3120</v>
      </c>
      <c r="F191" s="352">
        <v>1</v>
      </c>
      <c r="G191" s="427"/>
      <c r="H191" s="350" t="s">
        <v>438</v>
      </c>
      <c r="I191" s="350" t="s">
        <v>393</v>
      </c>
      <c r="J191" s="375">
        <v>29400</v>
      </c>
      <c r="K191" s="350" t="s">
        <v>394</v>
      </c>
      <c r="L191" s="354">
        <v>0</v>
      </c>
      <c r="M191" s="354">
        <v>10.53</v>
      </c>
      <c r="N191" s="354" t="s">
        <v>395</v>
      </c>
      <c r="O191" s="354">
        <v>8.82</v>
      </c>
      <c r="P191" s="355" t="s">
        <v>396</v>
      </c>
      <c r="Q191" s="354" t="s">
        <v>404</v>
      </c>
      <c r="R191" s="355" t="s">
        <v>405</v>
      </c>
      <c r="S191" s="355">
        <v>117871</v>
      </c>
      <c r="T191" s="350" t="s">
        <v>406</v>
      </c>
      <c r="U191" s="351">
        <v>45111</v>
      </c>
      <c r="V191" s="351">
        <v>45111</v>
      </c>
      <c r="W191" s="350" t="s">
        <v>407</v>
      </c>
    </row>
    <row r="192" spans="1:23" x14ac:dyDescent="0.25">
      <c r="A192" s="348" t="s">
        <v>627</v>
      </c>
      <c r="B192" s="349">
        <v>4967</v>
      </c>
      <c r="C192" s="350" t="s">
        <v>628</v>
      </c>
      <c r="D192" s="351">
        <v>45107</v>
      </c>
      <c r="E192" s="352">
        <v>3120</v>
      </c>
      <c r="F192" s="352">
        <v>1</v>
      </c>
      <c r="G192" s="427"/>
      <c r="H192" s="350" t="s">
        <v>438</v>
      </c>
      <c r="I192" s="350" t="s">
        <v>393</v>
      </c>
      <c r="J192" s="375">
        <v>23520</v>
      </c>
      <c r="K192" s="350" t="s">
        <v>394</v>
      </c>
      <c r="L192" s="354">
        <v>0</v>
      </c>
      <c r="M192" s="354">
        <v>8.42</v>
      </c>
      <c r="N192" s="354" t="s">
        <v>395</v>
      </c>
      <c r="O192" s="354">
        <v>7.06</v>
      </c>
      <c r="P192" s="355" t="s">
        <v>396</v>
      </c>
      <c r="Q192" s="354" t="s">
        <v>404</v>
      </c>
      <c r="R192" s="355" t="s">
        <v>405</v>
      </c>
      <c r="S192" s="355">
        <v>103321</v>
      </c>
      <c r="T192" s="350" t="s">
        <v>406</v>
      </c>
      <c r="U192" s="351">
        <v>45111</v>
      </c>
      <c r="V192" s="351">
        <v>45111</v>
      </c>
      <c r="W192" s="350" t="s">
        <v>407</v>
      </c>
    </row>
    <row r="193" spans="1:23" x14ac:dyDescent="0.25">
      <c r="A193" s="348" t="s">
        <v>627</v>
      </c>
      <c r="B193" s="349">
        <v>4967</v>
      </c>
      <c r="C193" s="350" t="s">
        <v>628</v>
      </c>
      <c r="D193" s="351">
        <v>45107</v>
      </c>
      <c r="E193" s="352">
        <v>3120</v>
      </c>
      <c r="F193" s="352">
        <v>1</v>
      </c>
      <c r="G193" s="427"/>
      <c r="H193" s="350" t="s">
        <v>438</v>
      </c>
      <c r="I193" s="350" t="s">
        <v>393</v>
      </c>
      <c r="J193" s="375">
        <v>4410</v>
      </c>
      <c r="K193" s="350" t="s">
        <v>394</v>
      </c>
      <c r="L193" s="354">
        <v>0</v>
      </c>
      <c r="M193" s="354">
        <v>1.58</v>
      </c>
      <c r="N193" s="354" t="s">
        <v>395</v>
      </c>
      <c r="O193" s="354">
        <v>1.32</v>
      </c>
      <c r="P193" s="355" t="s">
        <v>396</v>
      </c>
      <c r="Q193" s="354" t="s">
        <v>404</v>
      </c>
      <c r="R193" s="355" t="s">
        <v>405</v>
      </c>
      <c r="S193" s="355">
        <v>117427</v>
      </c>
      <c r="T193" s="350" t="s">
        <v>406</v>
      </c>
      <c r="U193" s="351">
        <v>45111</v>
      </c>
      <c r="V193" s="351">
        <v>45111</v>
      </c>
      <c r="W193" s="350" t="s">
        <v>407</v>
      </c>
    </row>
    <row r="194" spans="1:23" x14ac:dyDescent="0.25">
      <c r="A194" s="348" t="s">
        <v>627</v>
      </c>
      <c r="B194" s="349">
        <v>4967</v>
      </c>
      <c r="C194" s="350" t="s">
        <v>628</v>
      </c>
      <c r="D194" s="351">
        <v>45107</v>
      </c>
      <c r="E194" s="352">
        <v>3120</v>
      </c>
      <c r="F194" s="352">
        <v>1</v>
      </c>
      <c r="G194" s="427"/>
      <c r="H194" s="350" t="s">
        <v>438</v>
      </c>
      <c r="I194" s="350" t="s">
        <v>393</v>
      </c>
      <c r="J194" s="375">
        <v>23520</v>
      </c>
      <c r="K194" s="350" t="s">
        <v>394</v>
      </c>
      <c r="L194" s="354">
        <v>0</v>
      </c>
      <c r="M194" s="354">
        <v>8.42</v>
      </c>
      <c r="N194" s="354" t="s">
        <v>395</v>
      </c>
      <c r="O194" s="354">
        <v>7.06</v>
      </c>
      <c r="P194" s="355" t="s">
        <v>396</v>
      </c>
      <c r="Q194" s="354" t="s">
        <v>404</v>
      </c>
      <c r="R194" s="355" t="s">
        <v>405</v>
      </c>
      <c r="S194" s="355">
        <v>117872</v>
      </c>
      <c r="T194" s="350" t="s">
        <v>406</v>
      </c>
      <c r="U194" s="351">
        <v>45111</v>
      </c>
      <c r="V194" s="351">
        <v>45111</v>
      </c>
      <c r="W194" s="350" t="s">
        <v>407</v>
      </c>
    </row>
    <row r="195" spans="1:23" x14ac:dyDescent="0.25">
      <c r="A195" s="348" t="s">
        <v>627</v>
      </c>
      <c r="B195" s="349">
        <v>4967</v>
      </c>
      <c r="C195" s="350" t="s">
        <v>628</v>
      </c>
      <c r="D195" s="351">
        <v>45107</v>
      </c>
      <c r="E195" s="352">
        <v>3120</v>
      </c>
      <c r="F195" s="352">
        <v>1</v>
      </c>
      <c r="G195" s="427"/>
      <c r="H195" s="350" t="s">
        <v>438</v>
      </c>
      <c r="I195" s="350" t="s">
        <v>393</v>
      </c>
      <c r="J195" s="375">
        <v>8820</v>
      </c>
      <c r="K195" s="350" t="s">
        <v>394</v>
      </c>
      <c r="L195" s="354">
        <v>0</v>
      </c>
      <c r="M195" s="354">
        <v>3.16</v>
      </c>
      <c r="N195" s="354" t="s">
        <v>395</v>
      </c>
      <c r="O195" s="354">
        <v>2.65</v>
      </c>
      <c r="P195" s="355" t="s">
        <v>396</v>
      </c>
      <c r="Q195" s="354" t="s">
        <v>404</v>
      </c>
      <c r="R195" s="355" t="s">
        <v>405</v>
      </c>
      <c r="S195" s="355">
        <v>103328</v>
      </c>
      <c r="T195" s="350" t="s">
        <v>406</v>
      </c>
      <c r="U195" s="351">
        <v>45111</v>
      </c>
      <c r="V195" s="351">
        <v>45111</v>
      </c>
      <c r="W195" s="350" t="s">
        <v>407</v>
      </c>
    </row>
    <row r="196" spans="1:23" x14ac:dyDescent="0.25">
      <c r="A196" s="348" t="s">
        <v>627</v>
      </c>
      <c r="B196" s="349">
        <v>4967</v>
      </c>
      <c r="C196" s="350" t="s">
        <v>628</v>
      </c>
      <c r="D196" s="351">
        <v>45107</v>
      </c>
      <c r="E196" s="352">
        <v>3120</v>
      </c>
      <c r="F196" s="352">
        <v>1</v>
      </c>
      <c r="G196" s="427"/>
      <c r="H196" s="350" t="s">
        <v>438</v>
      </c>
      <c r="I196" s="350" t="s">
        <v>393</v>
      </c>
      <c r="J196" s="375">
        <v>2940</v>
      </c>
      <c r="K196" s="350" t="s">
        <v>394</v>
      </c>
      <c r="L196" s="354">
        <v>0</v>
      </c>
      <c r="M196" s="354">
        <v>1.05</v>
      </c>
      <c r="N196" s="354" t="s">
        <v>395</v>
      </c>
      <c r="O196" s="354">
        <v>0.88</v>
      </c>
      <c r="P196" s="355" t="s">
        <v>396</v>
      </c>
      <c r="Q196" s="354" t="s">
        <v>404</v>
      </c>
      <c r="R196" s="355" t="s">
        <v>405</v>
      </c>
      <c r="S196" s="355">
        <v>117293</v>
      </c>
      <c r="T196" s="350" t="s">
        <v>406</v>
      </c>
      <c r="U196" s="351">
        <v>45111</v>
      </c>
      <c r="V196" s="351">
        <v>45111</v>
      </c>
      <c r="W196" s="350" t="s">
        <v>407</v>
      </c>
    </row>
    <row r="197" spans="1:23" x14ac:dyDescent="0.25">
      <c r="A197" s="348" t="s">
        <v>627</v>
      </c>
      <c r="B197" s="349">
        <v>4967</v>
      </c>
      <c r="C197" s="350" t="s">
        <v>628</v>
      </c>
      <c r="D197" s="351">
        <v>45107</v>
      </c>
      <c r="E197" s="352">
        <v>3110</v>
      </c>
      <c r="F197" s="352">
        <v>1</v>
      </c>
      <c r="G197" s="427"/>
      <c r="H197" s="350" t="s">
        <v>437</v>
      </c>
      <c r="I197" s="350" t="s">
        <v>393</v>
      </c>
      <c r="J197" s="375">
        <v>2051074.3</v>
      </c>
      <c r="K197" s="350" t="s">
        <v>394</v>
      </c>
      <c r="L197" s="354">
        <v>0</v>
      </c>
      <c r="M197" s="354">
        <v>734.5</v>
      </c>
      <c r="N197" s="354" t="s">
        <v>395</v>
      </c>
      <c r="O197" s="354">
        <v>615.32000000000005</v>
      </c>
      <c r="P197" s="355" t="s">
        <v>396</v>
      </c>
      <c r="Q197" s="354" t="s">
        <v>404</v>
      </c>
      <c r="R197" s="355" t="s">
        <v>405</v>
      </c>
      <c r="S197" s="355">
        <v>102955</v>
      </c>
      <c r="T197" s="350" t="s">
        <v>406</v>
      </c>
      <c r="U197" s="351">
        <v>45111</v>
      </c>
      <c r="V197" s="351">
        <v>45111</v>
      </c>
      <c r="W197" s="350" t="s">
        <v>407</v>
      </c>
    </row>
    <row r="198" spans="1:23" x14ac:dyDescent="0.25">
      <c r="A198" s="348" t="s">
        <v>627</v>
      </c>
      <c r="B198" s="349">
        <v>4967</v>
      </c>
      <c r="C198" s="350" t="s">
        <v>628</v>
      </c>
      <c r="D198" s="351">
        <v>45107</v>
      </c>
      <c r="E198" s="352">
        <v>3110</v>
      </c>
      <c r="F198" s="352">
        <v>1</v>
      </c>
      <c r="G198" s="427"/>
      <c r="H198" s="350" t="s">
        <v>437</v>
      </c>
      <c r="I198" s="350" t="s">
        <v>393</v>
      </c>
      <c r="J198" s="375">
        <v>595528.80000000005</v>
      </c>
      <c r="K198" s="350" t="s">
        <v>394</v>
      </c>
      <c r="L198" s="354">
        <v>0</v>
      </c>
      <c r="M198" s="354">
        <v>213.26</v>
      </c>
      <c r="N198" s="354" t="s">
        <v>395</v>
      </c>
      <c r="O198" s="354">
        <v>178.66</v>
      </c>
      <c r="P198" s="355" t="s">
        <v>396</v>
      </c>
      <c r="Q198" s="354" t="s">
        <v>404</v>
      </c>
      <c r="R198" s="355" t="s">
        <v>405</v>
      </c>
      <c r="S198" s="355">
        <v>103265</v>
      </c>
      <c r="T198" s="350" t="s">
        <v>406</v>
      </c>
      <c r="U198" s="351">
        <v>45111</v>
      </c>
      <c r="V198" s="351">
        <v>45111</v>
      </c>
      <c r="W198" s="350" t="s">
        <v>407</v>
      </c>
    </row>
    <row r="199" spans="1:23" x14ac:dyDescent="0.25">
      <c r="A199" s="348" t="s">
        <v>627</v>
      </c>
      <c r="B199" s="349">
        <v>4967</v>
      </c>
      <c r="C199" s="350" t="s">
        <v>628</v>
      </c>
      <c r="D199" s="351">
        <v>45107</v>
      </c>
      <c r="E199" s="352">
        <v>3110</v>
      </c>
      <c r="F199" s="352">
        <v>1</v>
      </c>
      <c r="G199" s="427"/>
      <c r="H199" s="350" t="s">
        <v>437</v>
      </c>
      <c r="I199" s="350" t="s">
        <v>393</v>
      </c>
      <c r="J199" s="375">
        <v>5592445</v>
      </c>
      <c r="K199" s="350" t="s">
        <v>394</v>
      </c>
      <c r="L199" s="354">
        <v>0</v>
      </c>
      <c r="M199" s="354">
        <v>2002.68</v>
      </c>
      <c r="N199" s="354" t="s">
        <v>395</v>
      </c>
      <c r="O199" s="354">
        <v>1677.73</v>
      </c>
      <c r="P199" s="355" t="s">
        <v>396</v>
      </c>
      <c r="Q199" s="354" t="s">
        <v>404</v>
      </c>
      <c r="R199" s="355" t="s">
        <v>405</v>
      </c>
      <c r="S199" s="355">
        <v>117871</v>
      </c>
      <c r="T199" s="350" t="s">
        <v>406</v>
      </c>
      <c r="U199" s="351">
        <v>45111</v>
      </c>
      <c r="V199" s="351">
        <v>45111</v>
      </c>
      <c r="W199" s="350" t="s">
        <v>407</v>
      </c>
    </row>
    <row r="200" spans="1:23" x14ac:dyDescent="0.25">
      <c r="A200" s="348" t="s">
        <v>627</v>
      </c>
      <c r="B200" s="349">
        <v>4967</v>
      </c>
      <c r="C200" s="350" t="s">
        <v>628</v>
      </c>
      <c r="D200" s="351">
        <v>45107</v>
      </c>
      <c r="E200" s="352">
        <v>3110</v>
      </c>
      <c r="F200" s="352">
        <v>1</v>
      </c>
      <c r="G200" s="427"/>
      <c r="H200" s="350" t="s">
        <v>437</v>
      </c>
      <c r="I200" s="350" t="s">
        <v>393</v>
      </c>
      <c r="J200" s="375">
        <v>3083644.8</v>
      </c>
      <c r="K200" s="350" t="s">
        <v>394</v>
      </c>
      <c r="L200" s="354">
        <v>0</v>
      </c>
      <c r="M200" s="354">
        <v>1104.27</v>
      </c>
      <c r="N200" s="354" t="s">
        <v>395</v>
      </c>
      <c r="O200" s="354">
        <v>925.09</v>
      </c>
      <c r="P200" s="355" t="s">
        <v>396</v>
      </c>
      <c r="Q200" s="354" t="s">
        <v>404</v>
      </c>
      <c r="R200" s="355" t="s">
        <v>405</v>
      </c>
      <c r="S200" s="355">
        <v>103321</v>
      </c>
      <c r="T200" s="350" t="s">
        <v>406</v>
      </c>
      <c r="U200" s="351">
        <v>45111</v>
      </c>
      <c r="V200" s="351">
        <v>45111</v>
      </c>
      <c r="W200" s="350" t="s">
        <v>407</v>
      </c>
    </row>
    <row r="201" spans="1:23" x14ac:dyDescent="0.25">
      <c r="A201" s="348" t="s">
        <v>627</v>
      </c>
      <c r="B201" s="349">
        <v>4967</v>
      </c>
      <c r="C201" s="350" t="s">
        <v>628</v>
      </c>
      <c r="D201" s="351">
        <v>45107</v>
      </c>
      <c r="E201" s="352">
        <v>3110</v>
      </c>
      <c r="F201" s="352">
        <v>1</v>
      </c>
      <c r="G201" s="427"/>
      <c r="H201" s="350" t="s">
        <v>437</v>
      </c>
      <c r="I201" s="350" t="s">
        <v>393</v>
      </c>
      <c r="J201" s="375">
        <v>598983.44999999995</v>
      </c>
      <c r="K201" s="350" t="s">
        <v>394</v>
      </c>
      <c r="L201" s="354">
        <v>0</v>
      </c>
      <c r="M201" s="354">
        <v>214.5</v>
      </c>
      <c r="N201" s="354" t="s">
        <v>395</v>
      </c>
      <c r="O201" s="354">
        <v>179.7</v>
      </c>
      <c r="P201" s="355" t="s">
        <v>396</v>
      </c>
      <c r="Q201" s="354" t="s">
        <v>404</v>
      </c>
      <c r="R201" s="355" t="s">
        <v>405</v>
      </c>
      <c r="S201" s="355">
        <v>117427</v>
      </c>
      <c r="T201" s="350" t="s">
        <v>406</v>
      </c>
      <c r="U201" s="351">
        <v>45111</v>
      </c>
      <c r="V201" s="351">
        <v>45111</v>
      </c>
      <c r="W201" s="350" t="s">
        <v>407</v>
      </c>
    </row>
    <row r="202" spans="1:23" x14ac:dyDescent="0.25">
      <c r="A202" s="348" t="s">
        <v>627</v>
      </c>
      <c r="B202" s="349">
        <v>4967</v>
      </c>
      <c r="C202" s="350" t="s">
        <v>628</v>
      </c>
      <c r="D202" s="351">
        <v>45107</v>
      </c>
      <c r="E202" s="352">
        <v>3110</v>
      </c>
      <c r="F202" s="352">
        <v>1</v>
      </c>
      <c r="G202" s="427"/>
      <c r="H202" s="350" t="s">
        <v>437</v>
      </c>
      <c r="I202" s="350" t="s">
        <v>393</v>
      </c>
      <c r="J202" s="375">
        <v>3194579.2</v>
      </c>
      <c r="K202" s="350" t="s">
        <v>394</v>
      </c>
      <c r="L202" s="354">
        <v>0</v>
      </c>
      <c r="M202" s="354">
        <v>1143.99</v>
      </c>
      <c r="N202" s="354" t="s">
        <v>395</v>
      </c>
      <c r="O202" s="354">
        <v>958.37</v>
      </c>
      <c r="P202" s="355" t="s">
        <v>396</v>
      </c>
      <c r="Q202" s="354" t="s">
        <v>404</v>
      </c>
      <c r="R202" s="355" t="s">
        <v>405</v>
      </c>
      <c r="S202" s="355">
        <v>117872</v>
      </c>
      <c r="T202" s="350" t="s">
        <v>406</v>
      </c>
      <c r="U202" s="351">
        <v>45111</v>
      </c>
      <c r="V202" s="351">
        <v>45111</v>
      </c>
      <c r="W202" s="350" t="s">
        <v>407</v>
      </c>
    </row>
    <row r="203" spans="1:23" x14ac:dyDescent="0.25">
      <c r="A203" s="348" t="s">
        <v>627</v>
      </c>
      <c r="B203" s="349">
        <v>4967</v>
      </c>
      <c r="C203" s="350" t="s">
        <v>628</v>
      </c>
      <c r="D203" s="351">
        <v>45107</v>
      </c>
      <c r="E203" s="352">
        <v>3110</v>
      </c>
      <c r="F203" s="352">
        <v>1</v>
      </c>
      <c r="G203" s="427"/>
      <c r="H203" s="350" t="s">
        <v>437</v>
      </c>
      <c r="I203" s="350" t="s">
        <v>393</v>
      </c>
      <c r="J203" s="375">
        <v>481329.9</v>
      </c>
      <c r="K203" s="350" t="s">
        <v>394</v>
      </c>
      <c r="L203" s="354">
        <v>0</v>
      </c>
      <c r="M203" s="354">
        <v>172.37</v>
      </c>
      <c r="N203" s="354" t="s">
        <v>395</v>
      </c>
      <c r="O203" s="354">
        <v>144.4</v>
      </c>
      <c r="P203" s="355" t="s">
        <v>396</v>
      </c>
      <c r="Q203" s="354" t="s">
        <v>404</v>
      </c>
      <c r="R203" s="355" t="s">
        <v>405</v>
      </c>
      <c r="S203" s="355">
        <v>103328</v>
      </c>
      <c r="T203" s="350" t="s">
        <v>406</v>
      </c>
      <c r="U203" s="351">
        <v>45111</v>
      </c>
      <c r="V203" s="351">
        <v>45111</v>
      </c>
      <c r="W203" s="350" t="s">
        <v>407</v>
      </c>
    </row>
    <row r="204" spans="1:23" x14ac:dyDescent="0.25">
      <c r="A204" s="348" t="s">
        <v>627</v>
      </c>
      <c r="B204" s="349">
        <v>4967</v>
      </c>
      <c r="C204" s="350" t="s">
        <v>628</v>
      </c>
      <c r="D204" s="351">
        <v>45107</v>
      </c>
      <c r="E204" s="352">
        <v>3110</v>
      </c>
      <c r="F204" s="352">
        <v>1</v>
      </c>
      <c r="G204" s="427"/>
      <c r="H204" s="350" t="s">
        <v>437</v>
      </c>
      <c r="I204" s="350" t="s">
        <v>393</v>
      </c>
      <c r="J204" s="375">
        <v>684495.8</v>
      </c>
      <c r="K204" s="350" t="s">
        <v>394</v>
      </c>
      <c r="L204" s="354">
        <v>0</v>
      </c>
      <c r="M204" s="354">
        <v>245.12</v>
      </c>
      <c r="N204" s="354" t="s">
        <v>395</v>
      </c>
      <c r="O204" s="354">
        <v>205.35</v>
      </c>
      <c r="P204" s="355" t="s">
        <v>396</v>
      </c>
      <c r="Q204" s="354" t="s">
        <v>404</v>
      </c>
      <c r="R204" s="355" t="s">
        <v>405</v>
      </c>
      <c r="S204" s="355">
        <v>117293</v>
      </c>
      <c r="T204" s="350" t="s">
        <v>406</v>
      </c>
      <c r="U204" s="351">
        <v>45111</v>
      </c>
      <c r="V204" s="351">
        <v>45111</v>
      </c>
      <c r="W204" s="350" t="s">
        <v>407</v>
      </c>
    </row>
    <row r="205" spans="1:23" x14ac:dyDescent="0.25">
      <c r="A205" s="348" t="s">
        <v>638</v>
      </c>
      <c r="B205" s="379">
        <v>1</v>
      </c>
      <c r="C205" s="380">
        <v>45078</v>
      </c>
      <c r="D205" s="351">
        <v>45092</v>
      </c>
      <c r="E205" s="352"/>
      <c r="F205" s="352">
        <v>6</v>
      </c>
      <c r="G205" s="428" t="s">
        <v>321</v>
      </c>
      <c r="H205" s="350" t="s">
        <v>817</v>
      </c>
      <c r="I205" s="350" t="s">
        <v>393</v>
      </c>
      <c r="J205" s="556">
        <f>400000*10/100</f>
        <v>40000</v>
      </c>
      <c r="K205" s="350" t="s">
        <v>394</v>
      </c>
      <c r="L205" s="353">
        <v>2801.6</v>
      </c>
      <c r="M205" s="375">
        <f>+J205/L205</f>
        <v>14.277555682467161</v>
      </c>
      <c r="N205" s="354" t="s">
        <v>395</v>
      </c>
      <c r="O205" s="354">
        <v>0</v>
      </c>
      <c r="P205" s="355" t="s">
        <v>396</v>
      </c>
      <c r="Q205" s="354" t="s">
        <v>345</v>
      </c>
      <c r="R205" s="353">
        <v>0</v>
      </c>
      <c r="S205" s="353">
        <v>0</v>
      </c>
      <c r="T205" s="353">
        <v>0</v>
      </c>
      <c r="U205" s="353">
        <v>0</v>
      </c>
      <c r="V205" s="353">
        <v>0</v>
      </c>
      <c r="W205" s="353">
        <v>0</v>
      </c>
    </row>
    <row r="206" spans="1:23" x14ac:dyDescent="0.25">
      <c r="A206" s="348" t="s">
        <v>639</v>
      </c>
      <c r="B206" s="379">
        <v>2</v>
      </c>
      <c r="C206" s="380">
        <v>45078</v>
      </c>
      <c r="D206" s="351">
        <v>45092</v>
      </c>
      <c r="E206" s="352"/>
      <c r="F206" s="352">
        <v>6</v>
      </c>
      <c r="G206" s="428" t="s">
        <v>327</v>
      </c>
      <c r="H206" s="350" t="s">
        <v>640</v>
      </c>
      <c r="I206" s="350" t="s">
        <v>393</v>
      </c>
      <c r="J206" s="556">
        <v>45000</v>
      </c>
      <c r="K206" s="350" t="s">
        <v>394</v>
      </c>
      <c r="L206" s="353">
        <v>2801.6</v>
      </c>
      <c r="M206" s="375">
        <f t="shared" ref="M206:M264" si="1">+J206/L206</f>
        <v>16.062250142775557</v>
      </c>
      <c r="N206" s="354" t="s">
        <v>395</v>
      </c>
      <c r="O206" s="354">
        <v>0</v>
      </c>
      <c r="P206" s="355" t="s">
        <v>396</v>
      </c>
      <c r="Q206" s="354" t="s">
        <v>345</v>
      </c>
      <c r="R206" s="353">
        <v>0</v>
      </c>
      <c r="S206" s="353">
        <v>0</v>
      </c>
      <c r="T206" s="353">
        <v>0</v>
      </c>
      <c r="U206" s="353">
        <v>0</v>
      </c>
      <c r="V206" s="353">
        <v>0</v>
      </c>
      <c r="W206" s="353">
        <v>0</v>
      </c>
    </row>
    <row r="207" spans="1:23" x14ac:dyDescent="0.25">
      <c r="A207" s="348" t="s">
        <v>639</v>
      </c>
      <c r="B207" s="379">
        <v>2</v>
      </c>
      <c r="C207" s="380">
        <v>45078</v>
      </c>
      <c r="D207" s="351">
        <v>45092</v>
      </c>
      <c r="E207" s="352"/>
      <c r="F207" s="352">
        <v>6</v>
      </c>
      <c r="G207" s="428" t="s">
        <v>327</v>
      </c>
      <c r="H207" s="350" t="s">
        <v>641</v>
      </c>
      <c r="I207" s="350" t="s">
        <v>393</v>
      </c>
      <c r="J207" s="556">
        <v>45000</v>
      </c>
      <c r="K207" s="350" t="s">
        <v>394</v>
      </c>
      <c r="L207" s="353">
        <v>2801.6</v>
      </c>
      <c r="M207" s="375">
        <f t="shared" si="1"/>
        <v>16.062250142775557</v>
      </c>
      <c r="N207" s="354" t="s">
        <v>395</v>
      </c>
      <c r="O207" s="354">
        <v>0</v>
      </c>
      <c r="P207" s="355" t="s">
        <v>396</v>
      </c>
      <c r="Q207" s="354" t="s">
        <v>345</v>
      </c>
      <c r="R207" s="353">
        <v>0</v>
      </c>
      <c r="S207" s="353">
        <v>0</v>
      </c>
      <c r="T207" s="353">
        <v>0</v>
      </c>
      <c r="U207" s="353">
        <v>0</v>
      </c>
      <c r="V207" s="353">
        <v>0</v>
      </c>
      <c r="W207" s="353">
        <v>0</v>
      </c>
    </row>
    <row r="208" spans="1:23" x14ac:dyDescent="0.25">
      <c r="A208" s="348" t="s">
        <v>639</v>
      </c>
      <c r="B208" s="379">
        <v>2</v>
      </c>
      <c r="C208" s="380">
        <v>45078</v>
      </c>
      <c r="D208" s="351">
        <v>45092</v>
      </c>
      <c r="E208" s="352"/>
      <c r="F208" s="352">
        <v>6</v>
      </c>
      <c r="G208" s="428" t="s">
        <v>327</v>
      </c>
      <c r="H208" s="350" t="s">
        <v>642</v>
      </c>
      <c r="I208" s="350" t="s">
        <v>393</v>
      </c>
      <c r="J208" s="556">
        <v>45000</v>
      </c>
      <c r="K208" s="350" t="s">
        <v>394</v>
      </c>
      <c r="L208" s="353">
        <v>2801.6</v>
      </c>
      <c r="M208" s="375">
        <f t="shared" si="1"/>
        <v>16.062250142775557</v>
      </c>
      <c r="N208" s="354" t="s">
        <v>395</v>
      </c>
      <c r="O208" s="354">
        <v>0</v>
      </c>
      <c r="P208" s="355" t="s">
        <v>396</v>
      </c>
      <c r="Q208" s="354" t="s">
        <v>345</v>
      </c>
      <c r="R208" s="353">
        <v>0</v>
      </c>
      <c r="S208" s="353">
        <v>0</v>
      </c>
      <c r="T208" s="353">
        <v>0</v>
      </c>
      <c r="U208" s="353">
        <v>0</v>
      </c>
      <c r="V208" s="353">
        <v>0</v>
      </c>
      <c r="W208" s="353">
        <v>0</v>
      </c>
    </row>
    <row r="209" spans="1:23" x14ac:dyDescent="0.25">
      <c r="A209" s="348" t="s">
        <v>639</v>
      </c>
      <c r="B209" s="379">
        <v>2</v>
      </c>
      <c r="C209" s="380">
        <v>45078</v>
      </c>
      <c r="D209" s="351">
        <v>45092</v>
      </c>
      <c r="E209" s="352"/>
      <c r="F209" s="352">
        <v>6</v>
      </c>
      <c r="G209" s="428" t="s">
        <v>327</v>
      </c>
      <c r="H209" s="350" t="s">
        <v>643</v>
      </c>
      <c r="I209" s="350" t="s">
        <v>393</v>
      </c>
      <c r="J209" s="556">
        <v>45000</v>
      </c>
      <c r="K209" s="350" t="s">
        <v>394</v>
      </c>
      <c r="L209" s="353">
        <v>2801.6</v>
      </c>
      <c r="M209" s="375">
        <f t="shared" si="1"/>
        <v>16.062250142775557</v>
      </c>
      <c r="N209" s="354" t="s">
        <v>395</v>
      </c>
      <c r="O209" s="354">
        <v>0</v>
      </c>
      <c r="P209" s="355" t="s">
        <v>396</v>
      </c>
      <c r="Q209" s="354" t="s">
        <v>345</v>
      </c>
      <c r="R209" s="353">
        <v>0</v>
      </c>
      <c r="S209" s="353">
        <v>0</v>
      </c>
      <c r="T209" s="353">
        <v>0</v>
      </c>
      <c r="U209" s="353">
        <v>0</v>
      </c>
      <c r="V209" s="353">
        <v>0</v>
      </c>
      <c r="W209" s="353">
        <v>0</v>
      </c>
    </row>
    <row r="210" spans="1:23" x14ac:dyDescent="0.25">
      <c r="A210" s="348" t="s">
        <v>639</v>
      </c>
      <c r="B210" s="379">
        <v>2</v>
      </c>
      <c r="C210" s="380">
        <v>45078</v>
      </c>
      <c r="D210" s="351">
        <v>45092</v>
      </c>
      <c r="E210" s="352"/>
      <c r="F210" s="352">
        <v>6</v>
      </c>
      <c r="G210" s="428" t="s">
        <v>327</v>
      </c>
      <c r="H210" s="350" t="s">
        <v>644</v>
      </c>
      <c r="I210" s="350" t="s">
        <v>393</v>
      </c>
      <c r="J210" s="556">
        <v>45000</v>
      </c>
      <c r="K210" s="350" t="s">
        <v>394</v>
      </c>
      <c r="L210" s="353">
        <v>2801.6</v>
      </c>
      <c r="M210" s="375">
        <f t="shared" si="1"/>
        <v>16.062250142775557</v>
      </c>
      <c r="N210" s="354" t="s">
        <v>395</v>
      </c>
      <c r="O210" s="354">
        <v>0</v>
      </c>
      <c r="P210" s="355" t="s">
        <v>396</v>
      </c>
      <c r="Q210" s="354" t="s">
        <v>345</v>
      </c>
      <c r="R210" s="353">
        <v>0</v>
      </c>
      <c r="S210" s="353">
        <v>0</v>
      </c>
      <c r="T210" s="353">
        <v>0</v>
      </c>
      <c r="U210" s="353">
        <v>0</v>
      </c>
      <c r="V210" s="353">
        <v>0</v>
      </c>
      <c r="W210" s="353">
        <v>0</v>
      </c>
    </row>
    <row r="211" spans="1:23" x14ac:dyDescent="0.25">
      <c r="A211" s="348" t="s">
        <v>645</v>
      </c>
      <c r="B211" s="379">
        <v>3</v>
      </c>
      <c r="C211" s="380">
        <v>45078</v>
      </c>
      <c r="D211" s="351">
        <v>45096</v>
      </c>
      <c r="E211" s="352"/>
      <c r="F211" s="352">
        <v>6</v>
      </c>
      <c r="G211" s="428" t="s">
        <v>301</v>
      </c>
      <c r="H211" s="350" t="s">
        <v>646</v>
      </c>
      <c r="I211" s="350" t="s">
        <v>393</v>
      </c>
      <c r="J211" s="556">
        <v>1318589</v>
      </c>
      <c r="K211" s="350" t="s">
        <v>394</v>
      </c>
      <c r="L211" s="353">
        <v>2801.6</v>
      </c>
      <c r="M211" s="375">
        <f t="shared" si="1"/>
        <v>470.65569674471732</v>
      </c>
      <c r="N211" s="354" t="s">
        <v>395</v>
      </c>
      <c r="O211" s="354">
        <v>0</v>
      </c>
      <c r="P211" s="355" t="s">
        <v>396</v>
      </c>
      <c r="Q211" s="354" t="s">
        <v>345</v>
      </c>
      <c r="R211" s="353">
        <v>0</v>
      </c>
      <c r="S211" s="353">
        <v>0</v>
      </c>
      <c r="T211" s="353">
        <v>0</v>
      </c>
      <c r="U211" s="353">
        <v>0</v>
      </c>
      <c r="V211" s="353">
        <v>0</v>
      </c>
      <c r="W211" s="353">
        <v>0</v>
      </c>
    </row>
    <row r="212" spans="1:23" x14ac:dyDescent="0.25">
      <c r="A212" s="348" t="s">
        <v>645</v>
      </c>
      <c r="B212" s="379">
        <v>3</v>
      </c>
      <c r="C212" s="380">
        <v>45078</v>
      </c>
      <c r="D212" s="351">
        <v>45096</v>
      </c>
      <c r="E212" s="352"/>
      <c r="F212" s="352">
        <v>6</v>
      </c>
      <c r="G212" s="428" t="s">
        <v>301</v>
      </c>
      <c r="H212" s="350" t="s">
        <v>647</v>
      </c>
      <c r="I212" s="350" t="s">
        <v>393</v>
      </c>
      <c r="J212" s="556">
        <v>1318589</v>
      </c>
      <c r="K212" s="350" t="s">
        <v>394</v>
      </c>
      <c r="L212" s="353">
        <v>2801.6</v>
      </c>
      <c r="M212" s="375">
        <f t="shared" si="1"/>
        <v>470.65569674471732</v>
      </c>
      <c r="N212" s="354" t="s">
        <v>395</v>
      </c>
      <c r="O212" s="354">
        <v>0</v>
      </c>
      <c r="P212" s="355" t="s">
        <v>396</v>
      </c>
      <c r="Q212" s="354" t="s">
        <v>345</v>
      </c>
      <c r="R212" s="353">
        <v>0</v>
      </c>
      <c r="S212" s="353">
        <v>0</v>
      </c>
      <c r="T212" s="353">
        <v>0</v>
      </c>
      <c r="U212" s="353">
        <v>0</v>
      </c>
      <c r="V212" s="353">
        <v>0</v>
      </c>
      <c r="W212" s="353">
        <v>0</v>
      </c>
    </row>
    <row r="213" spans="1:23" x14ac:dyDescent="0.25">
      <c r="A213" s="348" t="s">
        <v>645</v>
      </c>
      <c r="B213" s="379">
        <v>3</v>
      </c>
      <c r="C213" s="380">
        <v>45078</v>
      </c>
      <c r="D213" s="351">
        <v>45096</v>
      </c>
      <c r="E213" s="352"/>
      <c r="F213" s="352">
        <v>6</v>
      </c>
      <c r="G213" s="428" t="s">
        <v>301</v>
      </c>
      <c r="H213" s="350" t="s">
        <v>648</v>
      </c>
      <c r="I213" s="350" t="s">
        <v>393</v>
      </c>
      <c r="J213" s="556">
        <v>1318589</v>
      </c>
      <c r="K213" s="350" t="s">
        <v>394</v>
      </c>
      <c r="L213" s="353">
        <v>2801.6</v>
      </c>
      <c r="M213" s="375">
        <f t="shared" si="1"/>
        <v>470.65569674471732</v>
      </c>
      <c r="N213" s="354" t="s">
        <v>395</v>
      </c>
      <c r="O213" s="354">
        <v>0</v>
      </c>
      <c r="P213" s="355" t="s">
        <v>396</v>
      </c>
      <c r="Q213" s="354" t="s">
        <v>345</v>
      </c>
      <c r="R213" s="353">
        <v>0</v>
      </c>
      <c r="S213" s="353">
        <v>0</v>
      </c>
      <c r="T213" s="353">
        <v>0</v>
      </c>
      <c r="U213" s="353">
        <v>0</v>
      </c>
      <c r="V213" s="353">
        <v>0</v>
      </c>
      <c r="W213" s="353">
        <v>0</v>
      </c>
    </row>
    <row r="214" spans="1:23" x14ac:dyDescent="0.25">
      <c r="A214" s="348" t="s">
        <v>645</v>
      </c>
      <c r="B214" s="379">
        <v>3</v>
      </c>
      <c r="C214" s="380">
        <v>45078</v>
      </c>
      <c r="D214" s="351">
        <v>45096</v>
      </c>
      <c r="E214" s="352"/>
      <c r="F214" s="352">
        <v>6</v>
      </c>
      <c r="G214" s="428" t="s">
        <v>301</v>
      </c>
      <c r="H214" s="350" t="s">
        <v>649</v>
      </c>
      <c r="I214" s="350" t="s">
        <v>393</v>
      </c>
      <c r="J214" s="556">
        <v>1318589</v>
      </c>
      <c r="K214" s="350" t="s">
        <v>394</v>
      </c>
      <c r="L214" s="353">
        <v>2801.6</v>
      </c>
      <c r="M214" s="375">
        <f t="shared" si="1"/>
        <v>470.65569674471732</v>
      </c>
      <c r="N214" s="354" t="s">
        <v>395</v>
      </c>
      <c r="O214" s="354">
        <v>0</v>
      </c>
      <c r="P214" s="355" t="s">
        <v>396</v>
      </c>
      <c r="Q214" s="354" t="s">
        <v>345</v>
      </c>
      <c r="R214" s="353">
        <v>0</v>
      </c>
      <c r="S214" s="353">
        <v>0</v>
      </c>
      <c r="T214" s="353">
        <v>0</v>
      </c>
      <c r="U214" s="353">
        <v>0</v>
      </c>
      <c r="V214" s="353">
        <v>0</v>
      </c>
      <c r="W214" s="353">
        <v>0</v>
      </c>
    </row>
    <row r="215" spans="1:23" x14ac:dyDescent="0.25">
      <c r="A215" s="348" t="s">
        <v>645</v>
      </c>
      <c r="B215" s="379">
        <v>3</v>
      </c>
      <c r="C215" s="380">
        <v>45078</v>
      </c>
      <c r="D215" s="351">
        <v>45096</v>
      </c>
      <c r="E215" s="352"/>
      <c r="F215" s="352">
        <v>6</v>
      </c>
      <c r="G215" s="428" t="s">
        <v>301</v>
      </c>
      <c r="H215" s="350" t="s">
        <v>650</v>
      </c>
      <c r="I215" s="350" t="s">
        <v>393</v>
      </c>
      <c r="J215" s="556">
        <v>1318589</v>
      </c>
      <c r="K215" s="350" t="s">
        <v>394</v>
      </c>
      <c r="L215" s="353">
        <v>2801.6</v>
      </c>
      <c r="M215" s="375">
        <f t="shared" si="1"/>
        <v>470.65569674471732</v>
      </c>
      <c r="N215" s="354" t="s">
        <v>395</v>
      </c>
      <c r="O215" s="354">
        <v>0</v>
      </c>
      <c r="P215" s="355" t="s">
        <v>396</v>
      </c>
      <c r="Q215" s="354" t="s">
        <v>345</v>
      </c>
      <c r="R215" s="353">
        <v>0</v>
      </c>
      <c r="S215" s="353">
        <v>0</v>
      </c>
      <c r="T215" s="353">
        <v>0</v>
      </c>
      <c r="U215" s="353">
        <v>0</v>
      </c>
      <c r="V215" s="353">
        <v>0</v>
      </c>
      <c r="W215" s="353">
        <v>0</v>
      </c>
    </row>
    <row r="216" spans="1:23" x14ac:dyDescent="0.25">
      <c r="A216" s="348" t="s">
        <v>651</v>
      </c>
      <c r="B216" s="379">
        <v>4</v>
      </c>
      <c r="C216" s="380">
        <v>45078</v>
      </c>
      <c r="D216" s="351">
        <v>45100</v>
      </c>
      <c r="E216" s="352"/>
      <c r="F216" s="352">
        <v>6</v>
      </c>
      <c r="G216" s="428" t="s">
        <v>323</v>
      </c>
      <c r="H216" s="350" t="s">
        <v>652</v>
      </c>
      <c r="I216" s="350" t="s">
        <v>393</v>
      </c>
      <c r="J216" s="556">
        <v>133677</v>
      </c>
      <c r="K216" s="350" t="s">
        <v>394</v>
      </c>
      <c r="L216" s="353">
        <v>2801.6</v>
      </c>
      <c r="M216" s="375">
        <f t="shared" si="1"/>
        <v>47.714520274129072</v>
      </c>
      <c r="N216" s="354" t="s">
        <v>395</v>
      </c>
      <c r="O216" s="354">
        <v>0</v>
      </c>
      <c r="P216" s="355" t="s">
        <v>396</v>
      </c>
      <c r="Q216" s="354" t="s">
        <v>345</v>
      </c>
      <c r="R216" s="353">
        <v>0</v>
      </c>
      <c r="S216" s="353">
        <v>0</v>
      </c>
      <c r="T216" s="353">
        <v>0</v>
      </c>
      <c r="U216" s="353">
        <v>0</v>
      </c>
      <c r="V216" s="353">
        <v>0</v>
      </c>
      <c r="W216" s="353">
        <v>0</v>
      </c>
    </row>
    <row r="217" spans="1:23" x14ac:dyDescent="0.25">
      <c r="A217" s="348" t="s">
        <v>651</v>
      </c>
      <c r="B217" s="379">
        <v>4</v>
      </c>
      <c r="C217" s="380">
        <v>45078</v>
      </c>
      <c r="D217" s="351">
        <v>45100</v>
      </c>
      <c r="E217" s="352"/>
      <c r="F217" s="352">
        <v>6</v>
      </c>
      <c r="G217" s="428" t="s">
        <v>323</v>
      </c>
      <c r="H217" s="350" t="s">
        <v>653</v>
      </c>
      <c r="I217" s="350" t="s">
        <v>393</v>
      </c>
      <c r="J217" s="556">
        <v>133677</v>
      </c>
      <c r="K217" s="350" t="s">
        <v>394</v>
      </c>
      <c r="L217" s="353">
        <v>2801.6</v>
      </c>
      <c r="M217" s="375">
        <f t="shared" si="1"/>
        <v>47.714520274129072</v>
      </c>
      <c r="N217" s="354" t="s">
        <v>395</v>
      </c>
      <c r="O217" s="354">
        <v>0</v>
      </c>
      <c r="P217" s="355" t="s">
        <v>396</v>
      </c>
      <c r="Q217" s="354" t="s">
        <v>345</v>
      </c>
      <c r="R217" s="353">
        <v>0</v>
      </c>
      <c r="S217" s="353">
        <v>0</v>
      </c>
      <c r="T217" s="353">
        <v>0</v>
      </c>
      <c r="U217" s="353">
        <v>0</v>
      </c>
      <c r="V217" s="353">
        <v>0</v>
      </c>
      <c r="W217" s="353">
        <v>0</v>
      </c>
    </row>
    <row r="218" spans="1:23" x14ac:dyDescent="0.25">
      <c r="A218" s="348" t="s">
        <v>651</v>
      </c>
      <c r="B218" s="379">
        <v>4</v>
      </c>
      <c r="C218" s="380">
        <v>45078</v>
      </c>
      <c r="D218" s="351">
        <v>45100</v>
      </c>
      <c r="E218" s="352"/>
      <c r="F218" s="352">
        <v>6</v>
      </c>
      <c r="G218" s="428" t="s">
        <v>323</v>
      </c>
      <c r="H218" s="350" t="s">
        <v>654</v>
      </c>
      <c r="I218" s="350" t="s">
        <v>393</v>
      </c>
      <c r="J218" s="556">
        <v>133677</v>
      </c>
      <c r="K218" s="350" t="s">
        <v>394</v>
      </c>
      <c r="L218" s="353">
        <v>2801.6</v>
      </c>
      <c r="M218" s="375">
        <f t="shared" si="1"/>
        <v>47.714520274129072</v>
      </c>
      <c r="N218" s="354" t="s">
        <v>395</v>
      </c>
      <c r="O218" s="354">
        <v>0</v>
      </c>
      <c r="P218" s="355" t="s">
        <v>396</v>
      </c>
      <c r="Q218" s="354" t="s">
        <v>345</v>
      </c>
      <c r="R218" s="353">
        <v>0</v>
      </c>
      <c r="S218" s="353">
        <v>0</v>
      </c>
      <c r="T218" s="353">
        <v>0</v>
      </c>
      <c r="U218" s="353">
        <v>0</v>
      </c>
      <c r="V218" s="353">
        <v>0</v>
      </c>
      <c r="W218" s="353">
        <v>0</v>
      </c>
    </row>
    <row r="219" spans="1:23" x14ac:dyDescent="0.25">
      <c r="A219" s="348" t="s">
        <v>651</v>
      </c>
      <c r="B219" s="379">
        <v>4</v>
      </c>
      <c r="C219" s="380">
        <v>45078</v>
      </c>
      <c r="D219" s="351">
        <v>45100</v>
      </c>
      <c r="E219" s="352"/>
      <c r="F219" s="352">
        <v>6</v>
      </c>
      <c r="G219" s="428" t="s">
        <v>323</v>
      </c>
      <c r="H219" s="350" t="s">
        <v>655</v>
      </c>
      <c r="I219" s="350" t="s">
        <v>393</v>
      </c>
      <c r="J219" s="556">
        <v>133677</v>
      </c>
      <c r="K219" s="350" t="s">
        <v>394</v>
      </c>
      <c r="L219" s="353">
        <v>2801.6</v>
      </c>
      <c r="M219" s="375">
        <f t="shared" si="1"/>
        <v>47.714520274129072</v>
      </c>
      <c r="N219" s="354" t="s">
        <v>395</v>
      </c>
      <c r="O219" s="354">
        <v>0</v>
      </c>
      <c r="P219" s="355" t="s">
        <v>396</v>
      </c>
      <c r="Q219" s="354" t="s">
        <v>345</v>
      </c>
      <c r="R219" s="353">
        <v>0</v>
      </c>
      <c r="S219" s="353">
        <v>0</v>
      </c>
      <c r="T219" s="353">
        <v>0</v>
      </c>
      <c r="U219" s="353">
        <v>0</v>
      </c>
      <c r="V219" s="353">
        <v>0</v>
      </c>
      <c r="W219" s="353">
        <v>0</v>
      </c>
    </row>
    <row r="220" spans="1:23" x14ac:dyDescent="0.25">
      <c r="A220" s="348" t="s">
        <v>651</v>
      </c>
      <c r="B220" s="379">
        <v>4</v>
      </c>
      <c r="C220" s="380">
        <v>45078</v>
      </c>
      <c r="D220" s="351">
        <v>45100</v>
      </c>
      <c r="E220" s="352"/>
      <c r="F220" s="352">
        <v>6</v>
      </c>
      <c r="G220" s="428" t="s">
        <v>323</v>
      </c>
      <c r="H220" s="350" t="s">
        <v>656</v>
      </c>
      <c r="I220" s="350" t="s">
        <v>393</v>
      </c>
      <c r="J220" s="556">
        <v>133677</v>
      </c>
      <c r="K220" s="350" t="s">
        <v>394</v>
      </c>
      <c r="L220" s="353">
        <v>2801.6</v>
      </c>
      <c r="M220" s="375">
        <f t="shared" si="1"/>
        <v>47.714520274129072</v>
      </c>
      <c r="N220" s="354" t="s">
        <v>395</v>
      </c>
      <c r="O220" s="354">
        <v>0</v>
      </c>
      <c r="P220" s="355" t="s">
        <v>396</v>
      </c>
      <c r="Q220" s="354" t="s">
        <v>345</v>
      </c>
      <c r="R220" s="353">
        <v>0</v>
      </c>
      <c r="S220" s="353">
        <v>0</v>
      </c>
      <c r="T220" s="353">
        <v>0</v>
      </c>
      <c r="U220" s="353">
        <v>0</v>
      </c>
      <c r="V220" s="353">
        <v>0</v>
      </c>
      <c r="W220" s="353">
        <v>0</v>
      </c>
    </row>
    <row r="221" spans="1:23" x14ac:dyDescent="0.25">
      <c r="A221" s="348" t="s">
        <v>651</v>
      </c>
      <c r="B221" s="379">
        <v>4</v>
      </c>
      <c r="C221" s="380">
        <v>45078</v>
      </c>
      <c r="D221" s="351">
        <v>45100</v>
      </c>
      <c r="E221" s="352"/>
      <c r="F221" s="352">
        <v>6</v>
      </c>
      <c r="G221" s="428" t="s">
        <v>300</v>
      </c>
      <c r="H221" s="350" t="s">
        <v>657</v>
      </c>
      <c r="I221" s="350" t="s">
        <v>393</v>
      </c>
      <c r="J221" s="556">
        <f>1478570/5</f>
        <v>295714</v>
      </c>
      <c r="K221" s="350" t="s">
        <v>394</v>
      </c>
      <c r="L221" s="353">
        <v>2801.6</v>
      </c>
      <c r="M221" s="375">
        <f t="shared" si="1"/>
        <v>105.55182752712736</v>
      </c>
      <c r="N221" s="354" t="s">
        <v>395</v>
      </c>
      <c r="O221" s="354">
        <v>0</v>
      </c>
      <c r="P221" s="355" t="s">
        <v>396</v>
      </c>
      <c r="Q221" s="354" t="s">
        <v>345</v>
      </c>
      <c r="R221" s="353">
        <v>0</v>
      </c>
      <c r="S221" s="353">
        <v>0</v>
      </c>
      <c r="T221" s="353">
        <v>0</v>
      </c>
      <c r="U221" s="353">
        <v>0</v>
      </c>
      <c r="V221" s="353">
        <v>0</v>
      </c>
      <c r="W221" s="353">
        <v>0</v>
      </c>
    </row>
    <row r="222" spans="1:23" x14ac:dyDescent="0.25">
      <c r="A222" s="348" t="s">
        <v>651</v>
      </c>
      <c r="B222" s="379">
        <v>4</v>
      </c>
      <c r="C222" s="380">
        <v>45078</v>
      </c>
      <c r="D222" s="351">
        <v>45100</v>
      </c>
      <c r="E222" s="352"/>
      <c r="F222" s="352">
        <v>6</v>
      </c>
      <c r="G222" s="428" t="s">
        <v>300</v>
      </c>
      <c r="H222" s="350" t="s">
        <v>658</v>
      </c>
      <c r="I222" s="350" t="s">
        <v>393</v>
      </c>
      <c r="J222" s="556">
        <f t="shared" ref="J222:J225" si="2">1478570/5</f>
        <v>295714</v>
      </c>
      <c r="K222" s="350" t="s">
        <v>394</v>
      </c>
      <c r="L222" s="353">
        <v>2801.6</v>
      </c>
      <c r="M222" s="375">
        <f t="shared" si="1"/>
        <v>105.55182752712736</v>
      </c>
      <c r="N222" s="354" t="s">
        <v>395</v>
      </c>
      <c r="O222" s="354">
        <v>0</v>
      </c>
      <c r="P222" s="355" t="s">
        <v>396</v>
      </c>
      <c r="Q222" s="354" t="s">
        <v>345</v>
      </c>
      <c r="R222" s="353">
        <v>0</v>
      </c>
      <c r="S222" s="353">
        <v>0</v>
      </c>
      <c r="T222" s="353">
        <v>0</v>
      </c>
      <c r="U222" s="353">
        <v>0</v>
      </c>
      <c r="V222" s="353">
        <v>0</v>
      </c>
      <c r="W222" s="353">
        <v>0</v>
      </c>
    </row>
    <row r="223" spans="1:23" x14ac:dyDescent="0.25">
      <c r="A223" s="348" t="s">
        <v>651</v>
      </c>
      <c r="B223" s="379">
        <v>4</v>
      </c>
      <c r="C223" s="380">
        <v>45078</v>
      </c>
      <c r="D223" s="351">
        <v>45100</v>
      </c>
      <c r="E223" s="352"/>
      <c r="F223" s="352">
        <v>6</v>
      </c>
      <c r="G223" s="428" t="s">
        <v>300</v>
      </c>
      <c r="H223" s="350" t="s">
        <v>659</v>
      </c>
      <c r="I223" s="350" t="s">
        <v>393</v>
      </c>
      <c r="J223" s="556">
        <f t="shared" si="2"/>
        <v>295714</v>
      </c>
      <c r="K223" s="350" t="s">
        <v>394</v>
      </c>
      <c r="L223" s="353">
        <v>2801.6</v>
      </c>
      <c r="M223" s="375">
        <f t="shared" si="1"/>
        <v>105.55182752712736</v>
      </c>
      <c r="N223" s="354" t="s">
        <v>395</v>
      </c>
      <c r="O223" s="354">
        <v>0</v>
      </c>
      <c r="P223" s="355" t="s">
        <v>396</v>
      </c>
      <c r="Q223" s="354" t="s">
        <v>345</v>
      </c>
      <c r="R223" s="353">
        <v>0</v>
      </c>
      <c r="S223" s="353">
        <v>0</v>
      </c>
      <c r="T223" s="353">
        <v>0</v>
      </c>
      <c r="U223" s="353">
        <v>0</v>
      </c>
      <c r="V223" s="353">
        <v>0</v>
      </c>
      <c r="W223" s="353">
        <v>0</v>
      </c>
    </row>
    <row r="224" spans="1:23" x14ac:dyDescent="0.25">
      <c r="A224" s="348" t="s">
        <v>651</v>
      </c>
      <c r="B224" s="379">
        <v>4</v>
      </c>
      <c r="C224" s="380">
        <v>45078</v>
      </c>
      <c r="D224" s="351">
        <v>45100</v>
      </c>
      <c r="E224" s="352"/>
      <c r="F224" s="352">
        <v>6</v>
      </c>
      <c r="G224" s="428" t="s">
        <v>300</v>
      </c>
      <c r="H224" s="350" t="s">
        <v>660</v>
      </c>
      <c r="I224" s="350" t="s">
        <v>393</v>
      </c>
      <c r="J224" s="556">
        <f t="shared" si="2"/>
        <v>295714</v>
      </c>
      <c r="K224" s="350" t="s">
        <v>394</v>
      </c>
      <c r="L224" s="353">
        <v>2801.6</v>
      </c>
      <c r="M224" s="375">
        <f t="shared" si="1"/>
        <v>105.55182752712736</v>
      </c>
      <c r="N224" s="354" t="s">
        <v>395</v>
      </c>
      <c r="O224" s="354">
        <v>0</v>
      </c>
      <c r="P224" s="355" t="s">
        <v>396</v>
      </c>
      <c r="Q224" s="354" t="s">
        <v>345</v>
      </c>
      <c r="R224" s="353">
        <v>0</v>
      </c>
      <c r="S224" s="353">
        <v>0</v>
      </c>
      <c r="T224" s="353">
        <v>0</v>
      </c>
      <c r="U224" s="353">
        <v>0</v>
      </c>
      <c r="V224" s="353">
        <v>0</v>
      </c>
      <c r="W224" s="353">
        <v>0</v>
      </c>
    </row>
    <row r="225" spans="1:23" x14ac:dyDescent="0.25">
      <c r="A225" s="348" t="s">
        <v>651</v>
      </c>
      <c r="B225" s="379">
        <v>4</v>
      </c>
      <c r="C225" s="380">
        <v>45078</v>
      </c>
      <c r="D225" s="351">
        <v>45100</v>
      </c>
      <c r="E225" s="352"/>
      <c r="F225" s="352">
        <v>6</v>
      </c>
      <c r="G225" s="428" t="s">
        <v>300</v>
      </c>
      <c r="H225" s="350" t="s">
        <v>661</v>
      </c>
      <c r="I225" s="350" t="s">
        <v>393</v>
      </c>
      <c r="J225" s="556">
        <f t="shared" si="2"/>
        <v>295714</v>
      </c>
      <c r="K225" s="350" t="s">
        <v>394</v>
      </c>
      <c r="L225" s="353">
        <v>2801.6</v>
      </c>
      <c r="M225" s="375">
        <f t="shared" si="1"/>
        <v>105.55182752712736</v>
      </c>
      <c r="N225" s="354" t="s">
        <v>395</v>
      </c>
      <c r="O225" s="354">
        <v>0</v>
      </c>
      <c r="P225" s="355" t="s">
        <v>396</v>
      </c>
      <c r="Q225" s="354" t="s">
        <v>345</v>
      </c>
      <c r="R225" s="353">
        <v>0</v>
      </c>
      <c r="S225" s="353">
        <v>0</v>
      </c>
      <c r="T225" s="353">
        <v>0</v>
      </c>
      <c r="U225" s="353">
        <v>0</v>
      </c>
      <c r="V225" s="353">
        <v>0</v>
      </c>
      <c r="W225" s="353">
        <v>0</v>
      </c>
    </row>
    <row r="226" spans="1:23" x14ac:dyDescent="0.25">
      <c r="A226" s="348" t="s">
        <v>651</v>
      </c>
      <c r="B226" s="379">
        <v>4</v>
      </c>
      <c r="C226" s="380">
        <v>45078</v>
      </c>
      <c r="D226" s="351">
        <v>45100</v>
      </c>
      <c r="E226" s="352"/>
      <c r="F226" s="352">
        <v>6</v>
      </c>
      <c r="G226" s="428" t="s">
        <v>305</v>
      </c>
      <c r="H226" s="350" t="s">
        <v>662</v>
      </c>
      <c r="I226" s="350" t="s">
        <v>393</v>
      </c>
      <c r="J226" s="556">
        <v>26424</v>
      </c>
      <c r="K226" s="350" t="s">
        <v>394</v>
      </c>
      <c r="L226" s="353">
        <v>2801.6</v>
      </c>
      <c r="M226" s="375">
        <f t="shared" si="1"/>
        <v>9.4317532838378071</v>
      </c>
      <c r="N226" s="354" t="s">
        <v>395</v>
      </c>
      <c r="O226" s="354">
        <v>0</v>
      </c>
      <c r="P226" s="355" t="s">
        <v>396</v>
      </c>
      <c r="Q226" s="354" t="s">
        <v>345</v>
      </c>
      <c r="R226" s="353">
        <v>0</v>
      </c>
      <c r="S226" s="353">
        <v>0</v>
      </c>
      <c r="T226" s="353">
        <v>0</v>
      </c>
      <c r="U226" s="353">
        <v>0</v>
      </c>
      <c r="V226" s="353">
        <v>0</v>
      </c>
      <c r="W226" s="353">
        <v>0</v>
      </c>
    </row>
    <row r="227" spans="1:23" x14ac:dyDescent="0.25">
      <c r="A227" s="348" t="s">
        <v>651</v>
      </c>
      <c r="B227" s="379">
        <v>4</v>
      </c>
      <c r="C227" s="380">
        <v>45078</v>
      </c>
      <c r="D227" s="351">
        <v>45100</v>
      </c>
      <c r="E227" s="352"/>
      <c r="F227" s="352">
        <v>6</v>
      </c>
      <c r="G227" s="428" t="s">
        <v>305</v>
      </c>
      <c r="H227" s="350" t="s">
        <v>663</v>
      </c>
      <c r="I227" s="350" t="s">
        <v>393</v>
      </c>
      <c r="J227" s="556">
        <v>26424</v>
      </c>
      <c r="K227" s="350" t="s">
        <v>394</v>
      </c>
      <c r="L227" s="353">
        <v>2801.6</v>
      </c>
      <c r="M227" s="375">
        <f t="shared" si="1"/>
        <v>9.4317532838378071</v>
      </c>
      <c r="N227" s="354" t="s">
        <v>395</v>
      </c>
      <c r="O227" s="354">
        <v>0</v>
      </c>
      <c r="P227" s="355" t="s">
        <v>396</v>
      </c>
      <c r="Q227" s="354" t="s">
        <v>345</v>
      </c>
      <c r="R227" s="353">
        <v>0</v>
      </c>
      <c r="S227" s="353">
        <v>0</v>
      </c>
      <c r="T227" s="353">
        <v>0</v>
      </c>
      <c r="U227" s="353">
        <v>0</v>
      </c>
      <c r="V227" s="353">
        <v>0</v>
      </c>
      <c r="W227" s="353">
        <v>0</v>
      </c>
    </row>
    <row r="228" spans="1:23" x14ac:dyDescent="0.25">
      <c r="A228" s="348" t="s">
        <v>651</v>
      </c>
      <c r="B228" s="379">
        <v>4</v>
      </c>
      <c r="C228" s="380">
        <v>45078</v>
      </c>
      <c r="D228" s="351">
        <v>45100</v>
      </c>
      <c r="E228" s="352"/>
      <c r="F228" s="352">
        <v>6</v>
      </c>
      <c r="G228" s="428" t="s">
        <v>305</v>
      </c>
      <c r="H228" s="350" t="s">
        <v>664</v>
      </c>
      <c r="I228" s="350" t="s">
        <v>393</v>
      </c>
      <c r="J228" s="556">
        <v>26424</v>
      </c>
      <c r="K228" s="350" t="s">
        <v>394</v>
      </c>
      <c r="L228" s="353">
        <v>2801.6</v>
      </c>
      <c r="M228" s="375">
        <f t="shared" si="1"/>
        <v>9.4317532838378071</v>
      </c>
      <c r="N228" s="354" t="s">
        <v>395</v>
      </c>
      <c r="O228" s="354">
        <v>0</v>
      </c>
      <c r="P228" s="355" t="s">
        <v>396</v>
      </c>
      <c r="Q228" s="354" t="s">
        <v>345</v>
      </c>
      <c r="R228" s="353">
        <v>0</v>
      </c>
      <c r="S228" s="353">
        <v>0</v>
      </c>
      <c r="T228" s="353">
        <v>0</v>
      </c>
      <c r="U228" s="353">
        <v>0</v>
      </c>
      <c r="V228" s="353">
        <v>0</v>
      </c>
      <c r="W228" s="353">
        <v>0</v>
      </c>
    </row>
    <row r="229" spans="1:23" x14ac:dyDescent="0.25">
      <c r="A229" s="348" t="s">
        <v>651</v>
      </c>
      <c r="B229" s="379">
        <v>4</v>
      </c>
      <c r="C229" s="380">
        <v>45078</v>
      </c>
      <c r="D229" s="351">
        <v>45100</v>
      </c>
      <c r="E229" s="352"/>
      <c r="F229" s="352">
        <v>6</v>
      </c>
      <c r="G229" s="428" t="s">
        <v>305</v>
      </c>
      <c r="H229" s="350" t="s">
        <v>665</v>
      </c>
      <c r="I229" s="350" t="s">
        <v>393</v>
      </c>
      <c r="J229" s="556">
        <v>26424</v>
      </c>
      <c r="K229" s="350" t="s">
        <v>394</v>
      </c>
      <c r="L229" s="353">
        <v>2801.6</v>
      </c>
      <c r="M229" s="375">
        <f t="shared" si="1"/>
        <v>9.4317532838378071</v>
      </c>
      <c r="N229" s="354" t="s">
        <v>395</v>
      </c>
      <c r="O229" s="354">
        <v>0</v>
      </c>
      <c r="P229" s="355" t="s">
        <v>396</v>
      </c>
      <c r="Q229" s="354" t="s">
        <v>345</v>
      </c>
      <c r="R229" s="353">
        <v>0</v>
      </c>
      <c r="S229" s="353">
        <v>0</v>
      </c>
      <c r="T229" s="353">
        <v>0</v>
      </c>
      <c r="U229" s="353">
        <v>0</v>
      </c>
      <c r="V229" s="353">
        <v>0</v>
      </c>
      <c r="W229" s="353">
        <v>0</v>
      </c>
    </row>
    <row r="230" spans="1:23" x14ac:dyDescent="0.25">
      <c r="A230" s="348" t="s">
        <v>651</v>
      </c>
      <c r="B230" s="379">
        <v>4</v>
      </c>
      <c r="C230" s="380">
        <v>45078</v>
      </c>
      <c r="D230" s="351">
        <v>45100</v>
      </c>
      <c r="E230" s="352"/>
      <c r="F230" s="352">
        <v>6</v>
      </c>
      <c r="G230" s="428" t="s">
        <v>305</v>
      </c>
      <c r="H230" s="350" t="s">
        <v>666</v>
      </c>
      <c r="I230" s="350" t="s">
        <v>393</v>
      </c>
      <c r="J230" s="556">
        <v>26424</v>
      </c>
      <c r="K230" s="350" t="s">
        <v>394</v>
      </c>
      <c r="L230" s="353">
        <v>2801.6</v>
      </c>
      <c r="M230" s="375">
        <f t="shared" si="1"/>
        <v>9.4317532838378071</v>
      </c>
      <c r="N230" s="354" t="s">
        <v>395</v>
      </c>
      <c r="O230" s="354">
        <v>0</v>
      </c>
      <c r="P230" s="355" t="s">
        <v>396</v>
      </c>
      <c r="Q230" s="354" t="s">
        <v>345</v>
      </c>
      <c r="R230" s="353">
        <v>0</v>
      </c>
      <c r="S230" s="353">
        <v>0</v>
      </c>
      <c r="T230" s="353">
        <v>0</v>
      </c>
      <c r="U230" s="353">
        <v>0</v>
      </c>
      <c r="V230" s="353">
        <v>0</v>
      </c>
      <c r="W230" s="353">
        <v>0</v>
      </c>
    </row>
    <row r="231" spans="1:23" x14ac:dyDescent="0.25">
      <c r="A231" s="348" t="s">
        <v>651</v>
      </c>
      <c r="B231" s="379">
        <v>4</v>
      </c>
      <c r="C231" s="380">
        <v>45078</v>
      </c>
      <c r="D231" s="351">
        <v>45100</v>
      </c>
      <c r="E231" s="352"/>
      <c r="F231" s="352">
        <v>6</v>
      </c>
      <c r="G231" s="428" t="s">
        <v>304</v>
      </c>
      <c r="H231" s="350" t="s">
        <v>667</v>
      </c>
      <c r="I231" s="350" t="s">
        <v>393</v>
      </c>
      <c r="J231" s="556">
        <f>623095/5</f>
        <v>124619</v>
      </c>
      <c r="K231" s="350" t="s">
        <v>394</v>
      </c>
      <c r="L231" s="353">
        <v>2801.6</v>
      </c>
      <c r="M231" s="375">
        <f>+J231/L231</f>
        <v>44.48136778983438</v>
      </c>
      <c r="N231" s="354" t="s">
        <v>395</v>
      </c>
      <c r="O231" s="354">
        <v>0</v>
      </c>
      <c r="P231" s="355" t="s">
        <v>396</v>
      </c>
      <c r="Q231" s="354" t="s">
        <v>345</v>
      </c>
      <c r="R231" s="353">
        <v>0</v>
      </c>
      <c r="S231" s="353">
        <v>0</v>
      </c>
      <c r="T231" s="353">
        <v>0</v>
      </c>
      <c r="U231" s="353">
        <v>0</v>
      </c>
      <c r="V231" s="353">
        <v>0</v>
      </c>
      <c r="W231" s="353">
        <v>0</v>
      </c>
    </row>
    <row r="232" spans="1:23" x14ac:dyDescent="0.25">
      <c r="A232" s="348" t="s">
        <v>651</v>
      </c>
      <c r="B232" s="379">
        <v>4</v>
      </c>
      <c r="C232" s="380">
        <v>45078</v>
      </c>
      <c r="D232" s="351">
        <v>45100</v>
      </c>
      <c r="E232" s="352"/>
      <c r="F232" s="352">
        <v>6</v>
      </c>
      <c r="G232" s="428" t="s">
        <v>304</v>
      </c>
      <c r="H232" s="350" t="s">
        <v>668</v>
      </c>
      <c r="I232" s="350" t="s">
        <v>393</v>
      </c>
      <c r="J232" s="556">
        <f t="shared" ref="J232:J235" si="3">623095/5</f>
        <v>124619</v>
      </c>
      <c r="K232" s="350" t="s">
        <v>394</v>
      </c>
      <c r="L232" s="353">
        <v>2801.6</v>
      </c>
      <c r="M232" s="375">
        <f>+J232/L232</f>
        <v>44.48136778983438</v>
      </c>
      <c r="N232" s="354" t="s">
        <v>395</v>
      </c>
      <c r="O232" s="354">
        <v>0</v>
      </c>
      <c r="P232" s="355" t="s">
        <v>396</v>
      </c>
      <c r="Q232" s="354" t="s">
        <v>345</v>
      </c>
      <c r="R232" s="353">
        <v>0</v>
      </c>
      <c r="S232" s="353">
        <v>0</v>
      </c>
      <c r="T232" s="353">
        <v>0</v>
      </c>
      <c r="U232" s="353">
        <v>0</v>
      </c>
      <c r="V232" s="353">
        <v>0</v>
      </c>
      <c r="W232" s="353">
        <v>0</v>
      </c>
    </row>
    <row r="233" spans="1:23" x14ac:dyDescent="0.25">
      <c r="A233" s="348" t="s">
        <v>651</v>
      </c>
      <c r="B233" s="379">
        <v>4</v>
      </c>
      <c r="C233" s="380">
        <v>45078</v>
      </c>
      <c r="D233" s="351">
        <v>45100</v>
      </c>
      <c r="E233" s="352"/>
      <c r="F233" s="352">
        <v>6</v>
      </c>
      <c r="G233" s="428" t="s">
        <v>304</v>
      </c>
      <c r="H233" s="350" t="s">
        <v>669</v>
      </c>
      <c r="I233" s="350" t="s">
        <v>393</v>
      </c>
      <c r="J233" s="556">
        <f t="shared" si="3"/>
        <v>124619</v>
      </c>
      <c r="K233" s="350" t="s">
        <v>394</v>
      </c>
      <c r="L233" s="353">
        <v>2801.6</v>
      </c>
      <c r="M233" s="375">
        <f>+J233/L233</f>
        <v>44.48136778983438</v>
      </c>
      <c r="N233" s="354" t="s">
        <v>395</v>
      </c>
      <c r="O233" s="354">
        <v>0</v>
      </c>
      <c r="P233" s="355" t="s">
        <v>396</v>
      </c>
      <c r="Q233" s="354" t="s">
        <v>345</v>
      </c>
      <c r="R233" s="353">
        <v>0</v>
      </c>
      <c r="S233" s="353">
        <v>0</v>
      </c>
      <c r="T233" s="353">
        <v>0</v>
      </c>
      <c r="U233" s="353">
        <v>0</v>
      </c>
      <c r="V233" s="353">
        <v>0</v>
      </c>
      <c r="W233" s="353">
        <v>0</v>
      </c>
    </row>
    <row r="234" spans="1:23" x14ac:dyDescent="0.25">
      <c r="A234" s="348" t="s">
        <v>651</v>
      </c>
      <c r="B234" s="379">
        <v>4</v>
      </c>
      <c r="C234" s="380">
        <v>45078</v>
      </c>
      <c r="D234" s="351">
        <v>45100</v>
      </c>
      <c r="E234" s="352"/>
      <c r="F234" s="352">
        <v>6</v>
      </c>
      <c r="G234" s="428" t="s">
        <v>304</v>
      </c>
      <c r="H234" s="350" t="s">
        <v>670</v>
      </c>
      <c r="I234" s="350" t="s">
        <v>393</v>
      </c>
      <c r="J234" s="556">
        <f t="shared" si="3"/>
        <v>124619</v>
      </c>
      <c r="K234" s="350" t="s">
        <v>394</v>
      </c>
      <c r="L234" s="353">
        <v>2801.6</v>
      </c>
      <c r="M234" s="375">
        <f>+J234/L234</f>
        <v>44.48136778983438</v>
      </c>
      <c r="N234" s="354" t="s">
        <v>395</v>
      </c>
      <c r="O234" s="354">
        <v>0</v>
      </c>
      <c r="P234" s="355" t="s">
        <v>396</v>
      </c>
      <c r="Q234" s="354" t="s">
        <v>345</v>
      </c>
      <c r="R234" s="353">
        <v>0</v>
      </c>
      <c r="S234" s="353">
        <v>0</v>
      </c>
      <c r="T234" s="353">
        <v>0</v>
      </c>
      <c r="U234" s="353">
        <v>0</v>
      </c>
      <c r="V234" s="353">
        <v>0</v>
      </c>
      <c r="W234" s="353">
        <v>0</v>
      </c>
    </row>
    <row r="235" spans="1:23" x14ac:dyDescent="0.25">
      <c r="A235" s="348" t="s">
        <v>651</v>
      </c>
      <c r="B235" s="379">
        <v>4</v>
      </c>
      <c r="C235" s="380">
        <v>45078</v>
      </c>
      <c r="D235" s="351">
        <v>45100</v>
      </c>
      <c r="E235" s="352"/>
      <c r="F235" s="352">
        <v>6</v>
      </c>
      <c r="G235" s="428" t="s">
        <v>304</v>
      </c>
      <c r="H235" s="350" t="s">
        <v>671</v>
      </c>
      <c r="I235" s="350" t="s">
        <v>393</v>
      </c>
      <c r="J235" s="556">
        <f t="shared" si="3"/>
        <v>124619</v>
      </c>
      <c r="K235" s="350" t="s">
        <v>394</v>
      </c>
      <c r="L235" s="353">
        <v>2801.6</v>
      </c>
      <c r="M235" s="375">
        <f>+J235/L235</f>
        <v>44.48136778983438</v>
      </c>
      <c r="N235" s="354" t="s">
        <v>395</v>
      </c>
      <c r="O235" s="354">
        <v>0</v>
      </c>
      <c r="P235" s="355" t="s">
        <v>396</v>
      </c>
      <c r="Q235" s="354" t="s">
        <v>345</v>
      </c>
      <c r="R235" s="353">
        <v>0</v>
      </c>
      <c r="S235" s="353">
        <v>0</v>
      </c>
      <c r="T235" s="353">
        <v>0</v>
      </c>
      <c r="U235" s="353">
        <v>0</v>
      </c>
      <c r="V235" s="353">
        <v>0</v>
      </c>
      <c r="W235" s="353">
        <v>0</v>
      </c>
    </row>
    <row r="236" spans="1:23" ht="14.25" customHeight="1" x14ac:dyDescent="0.25">
      <c r="A236" s="348" t="s">
        <v>651</v>
      </c>
      <c r="B236" s="379">
        <v>4</v>
      </c>
      <c r="C236" s="380">
        <v>45078</v>
      </c>
      <c r="D236" s="351">
        <v>45100</v>
      </c>
      <c r="E236" s="352"/>
      <c r="F236" s="352">
        <v>6</v>
      </c>
      <c r="G236" s="428" t="s">
        <v>303</v>
      </c>
      <c r="H236" s="350" t="s">
        <v>672</v>
      </c>
      <c r="I236" s="350" t="s">
        <v>393</v>
      </c>
      <c r="J236" s="556">
        <f>354085/5</f>
        <v>70817</v>
      </c>
      <c r="K236" s="350" t="s">
        <v>394</v>
      </c>
      <c r="L236" s="353">
        <v>2801.6</v>
      </c>
      <c r="M236" s="375">
        <f t="shared" si="1"/>
        <v>25.277341519131927</v>
      </c>
      <c r="N236" s="354" t="s">
        <v>395</v>
      </c>
      <c r="O236" s="354">
        <v>0</v>
      </c>
      <c r="P236" s="355" t="s">
        <v>396</v>
      </c>
      <c r="Q236" s="354" t="s">
        <v>345</v>
      </c>
      <c r="R236" s="353">
        <v>0</v>
      </c>
      <c r="S236" s="353">
        <v>0</v>
      </c>
      <c r="T236" s="353">
        <v>0</v>
      </c>
      <c r="U236" s="353">
        <v>0</v>
      </c>
      <c r="V236" s="353">
        <v>0</v>
      </c>
      <c r="W236" s="353">
        <v>0</v>
      </c>
    </row>
    <row r="237" spans="1:23" ht="14.25" customHeight="1" x14ac:dyDescent="0.25">
      <c r="A237" s="348" t="s">
        <v>651</v>
      </c>
      <c r="B237" s="379">
        <v>4</v>
      </c>
      <c r="C237" s="380">
        <v>45078</v>
      </c>
      <c r="D237" s="351">
        <v>45100</v>
      </c>
      <c r="E237" s="352"/>
      <c r="F237" s="352">
        <v>6</v>
      </c>
      <c r="G237" s="428" t="s">
        <v>303</v>
      </c>
      <c r="H237" s="350" t="s">
        <v>673</v>
      </c>
      <c r="I237" s="350" t="s">
        <v>393</v>
      </c>
      <c r="J237" s="556">
        <f t="shared" ref="J237:J240" si="4">354085/5</f>
        <v>70817</v>
      </c>
      <c r="K237" s="350" t="s">
        <v>394</v>
      </c>
      <c r="L237" s="353">
        <v>2801.6</v>
      </c>
      <c r="M237" s="375">
        <f t="shared" si="1"/>
        <v>25.277341519131927</v>
      </c>
      <c r="N237" s="354" t="s">
        <v>395</v>
      </c>
      <c r="O237" s="354">
        <v>0</v>
      </c>
      <c r="P237" s="355" t="s">
        <v>396</v>
      </c>
      <c r="Q237" s="354" t="s">
        <v>345</v>
      </c>
      <c r="R237" s="353">
        <v>0</v>
      </c>
      <c r="S237" s="353">
        <v>0</v>
      </c>
      <c r="T237" s="353">
        <v>0</v>
      </c>
      <c r="U237" s="353">
        <v>0</v>
      </c>
      <c r="V237" s="353">
        <v>0</v>
      </c>
      <c r="W237" s="353">
        <v>0</v>
      </c>
    </row>
    <row r="238" spans="1:23" ht="14.25" customHeight="1" x14ac:dyDescent="0.25">
      <c r="A238" s="348" t="s">
        <v>651</v>
      </c>
      <c r="B238" s="379">
        <v>4</v>
      </c>
      <c r="C238" s="380">
        <v>45078</v>
      </c>
      <c r="D238" s="351">
        <v>45100</v>
      </c>
      <c r="E238" s="352"/>
      <c r="F238" s="352">
        <v>6</v>
      </c>
      <c r="G238" s="428" t="s">
        <v>303</v>
      </c>
      <c r="H238" s="350" t="s">
        <v>674</v>
      </c>
      <c r="I238" s="350" t="s">
        <v>393</v>
      </c>
      <c r="J238" s="556">
        <f t="shared" si="4"/>
        <v>70817</v>
      </c>
      <c r="K238" s="350" t="s">
        <v>394</v>
      </c>
      <c r="L238" s="353">
        <v>2801.6</v>
      </c>
      <c r="M238" s="375">
        <f t="shared" si="1"/>
        <v>25.277341519131927</v>
      </c>
      <c r="N238" s="354" t="s">
        <v>395</v>
      </c>
      <c r="O238" s="354">
        <v>0</v>
      </c>
      <c r="P238" s="355" t="s">
        <v>396</v>
      </c>
      <c r="Q238" s="354" t="s">
        <v>345</v>
      </c>
      <c r="R238" s="353">
        <v>0</v>
      </c>
      <c r="S238" s="353">
        <v>0</v>
      </c>
      <c r="T238" s="353">
        <v>0</v>
      </c>
      <c r="U238" s="353">
        <v>0</v>
      </c>
      <c r="V238" s="353">
        <v>0</v>
      </c>
      <c r="W238" s="353">
        <v>0</v>
      </c>
    </row>
    <row r="239" spans="1:23" ht="14.25" customHeight="1" x14ac:dyDescent="0.25">
      <c r="A239" s="348" t="s">
        <v>651</v>
      </c>
      <c r="B239" s="379">
        <v>4</v>
      </c>
      <c r="C239" s="380">
        <v>45078</v>
      </c>
      <c r="D239" s="351">
        <v>45100</v>
      </c>
      <c r="E239" s="352"/>
      <c r="F239" s="352">
        <v>6</v>
      </c>
      <c r="G239" s="428" t="s">
        <v>303</v>
      </c>
      <c r="H239" s="350" t="s">
        <v>675</v>
      </c>
      <c r="I239" s="350" t="s">
        <v>393</v>
      </c>
      <c r="J239" s="556">
        <f t="shared" si="4"/>
        <v>70817</v>
      </c>
      <c r="K239" s="350" t="s">
        <v>394</v>
      </c>
      <c r="L239" s="353">
        <v>2801.6</v>
      </c>
      <c r="M239" s="375">
        <f t="shared" si="1"/>
        <v>25.277341519131927</v>
      </c>
      <c r="N239" s="354" t="s">
        <v>395</v>
      </c>
      <c r="O239" s="354">
        <v>0</v>
      </c>
      <c r="P239" s="355" t="s">
        <v>396</v>
      </c>
      <c r="Q239" s="354" t="s">
        <v>345</v>
      </c>
      <c r="R239" s="353">
        <v>0</v>
      </c>
      <c r="S239" s="353">
        <v>0</v>
      </c>
      <c r="T239" s="353">
        <v>0</v>
      </c>
      <c r="U239" s="353">
        <v>0</v>
      </c>
      <c r="V239" s="353">
        <v>0</v>
      </c>
      <c r="W239" s="353">
        <v>0</v>
      </c>
    </row>
    <row r="240" spans="1:23" ht="14.25" customHeight="1" x14ac:dyDescent="0.25">
      <c r="A240" s="348" t="s">
        <v>651</v>
      </c>
      <c r="B240" s="379">
        <v>4</v>
      </c>
      <c r="C240" s="380">
        <v>45078</v>
      </c>
      <c r="D240" s="351">
        <v>45100</v>
      </c>
      <c r="E240" s="352"/>
      <c r="F240" s="352">
        <v>6</v>
      </c>
      <c r="G240" s="428" t="s">
        <v>303</v>
      </c>
      <c r="H240" s="350" t="s">
        <v>676</v>
      </c>
      <c r="I240" s="350" t="s">
        <v>393</v>
      </c>
      <c r="J240" s="556">
        <f t="shared" si="4"/>
        <v>70817</v>
      </c>
      <c r="K240" s="350" t="s">
        <v>394</v>
      </c>
      <c r="L240" s="353">
        <v>2801.6</v>
      </c>
      <c r="M240" s="375">
        <f t="shared" si="1"/>
        <v>25.277341519131927</v>
      </c>
      <c r="N240" s="354" t="s">
        <v>395</v>
      </c>
      <c r="O240" s="354">
        <v>0</v>
      </c>
      <c r="P240" s="355" t="s">
        <v>396</v>
      </c>
      <c r="Q240" s="354" t="s">
        <v>345</v>
      </c>
      <c r="R240" s="353">
        <v>0</v>
      </c>
      <c r="S240" s="353">
        <v>0</v>
      </c>
      <c r="T240" s="353">
        <v>0</v>
      </c>
      <c r="U240" s="353">
        <v>0</v>
      </c>
      <c r="V240" s="353">
        <v>0</v>
      </c>
      <c r="W240" s="353">
        <v>0</v>
      </c>
    </row>
    <row r="241" spans="1:23" x14ac:dyDescent="0.25">
      <c r="A241" s="348" t="s">
        <v>651</v>
      </c>
      <c r="B241" s="379">
        <v>4</v>
      </c>
      <c r="C241" s="380">
        <v>45078</v>
      </c>
      <c r="D241" s="351">
        <v>45100</v>
      </c>
      <c r="E241" s="352"/>
      <c r="F241" s="352">
        <v>6</v>
      </c>
      <c r="G241" s="428" t="s">
        <v>302</v>
      </c>
      <c r="H241" s="350" t="s">
        <v>677</v>
      </c>
      <c r="I241" s="350" t="s">
        <v>393</v>
      </c>
      <c r="J241" s="556">
        <f>1478570/5</f>
        <v>295714</v>
      </c>
      <c r="K241" s="350" t="s">
        <v>394</v>
      </c>
      <c r="L241" s="353">
        <v>2801.6</v>
      </c>
      <c r="M241" s="375">
        <f t="shared" si="1"/>
        <v>105.55182752712736</v>
      </c>
      <c r="N241" s="354" t="s">
        <v>395</v>
      </c>
      <c r="O241" s="354">
        <v>0</v>
      </c>
      <c r="P241" s="355" t="s">
        <v>396</v>
      </c>
      <c r="Q241" s="354" t="s">
        <v>345</v>
      </c>
      <c r="R241" s="353">
        <v>0</v>
      </c>
      <c r="S241" s="353">
        <v>0</v>
      </c>
      <c r="T241" s="353">
        <v>0</v>
      </c>
      <c r="U241" s="353">
        <v>0</v>
      </c>
      <c r="V241" s="353">
        <v>0</v>
      </c>
      <c r="W241" s="353">
        <v>0</v>
      </c>
    </row>
    <row r="242" spans="1:23" x14ac:dyDescent="0.25">
      <c r="A242" s="348" t="s">
        <v>651</v>
      </c>
      <c r="B242" s="379">
        <v>4</v>
      </c>
      <c r="C242" s="380">
        <v>45078</v>
      </c>
      <c r="D242" s="351">
        <v>45100</v>
      </c>
      <c r="E242" s="352"/>
      <c r="F242" s="352">
        <v>6</v>
      </c>
      <c r="G242" s="428" t="s">
        <v>302</v>
      </c>
      <c r="H242" s="350" t="s">
        <v>678</v>
      </c>
      <c r="I242" s="350" t="s">
        <v>393</v>
      </c>
      <c r="J242" s="556">
        <f>1478570/5</f>
        <v>295714</v>
      </c>
      <c r="K242" s="350" t="s">
        <v>394</v>
      </c>
      <c r="L242" s="353">
        <v>2801.6</v>
      </c>
      <c r="M242" s="375">
        <f t="shared" si="1"/>
        <v>105.55182752712736</v>
      </c>
      <c r="N242" s="354" t="s">
        <v>395</v>
      </c>
      <c r="O242" s="354">
        <v>0</v>
      </c>
      <c r="P242" s="355" t="s">
        <v>396</v>
      </c>
      <c r="Q242" s="354" t="s">
        <v>345</v>
      </c>
      <c r="R242" s="353">
        <v>0</v>
      </c>
      <c r="S242" s="353">
        <v>0</v>
      </c>
      <c r="T242" s="353">
        <v>0</v>
      </c>
      <c r="U242" s="353">
        <v>0</v>
      </c>
      <c r="V242" s="353">
        <v>0</v>
      </c>
      <c r="W242" s="353">
        <v>0</v>
      </c>
    </row>
    <row r="243" spans="1:23" x14ac:dyDescent="0.25">
      <c r="A243" s="348" t="s">
        <v>651</v>
      </c>
      <c r="B243" s="379">
        <v>4</v>
      </c>
      <c r="C243" s="380">
        <v>45078</v>
      </c>
      <c r="D243" s="351">
        <v>45100</v>
      </c>
      <c r="E243" s="352"/>
      <c r="F243" s="352">
        <v>6</v>
      </c>
      <c r="G243" s="428" t="s">
        <v>302</v>
      </c>
      <c r="H243" s="350" t="s">
        <v>679</v>
      </c>
      <c r="I243" s="350" t="s">
        <v>393</v>
      </c>
      <c r="J243" s="556">
        <f>1478570/5</f>
        <v>295714</v>
      </c>
      <c r="K243" s="350" t="s">
        <v>394</v>
      </c>
      <c r="L243" s="353">
        <v>2801.6</v>
      </c>
      <c r="M243" s="375">
        <f t="shared" si="1"/>
        <v>105.55182752712736</v>
      </c>
      <c r="N243" s="354" t="s">
        <v>395</v>
      </c>
      <c r="O243" s="354">
        <v>0</v>
      </c>
      <c r="P243" s="355" t="s">
        <v>396</v>
      </c>
      <c r="Q243" s="354" t="s">
        <v>345</v>
      </c>
      <c r="R243" s="353">
        <v>0</v>
      </c>
      <c r="S243" s="353">
        <v>0</v>
      </c>
      <c r="T243" s="353">
        <v>0</v>
      </c>
      <c r="U243" s="353">
        <v>0</v>
      </c>
      <c r="V243" s="353">
        <v>0</v>
      </c>
      <c r="W243" s="353">
        <v>0</v>
      </c>
    </row>
    <row r="244" spans="1:23" x14ac:dyDescent="0.25">
      <c r="A244" s="348" t="s">
        <v>651</v>
      </c>
      <c r="B244" s="379">
        <v>4</v>
      </c>
      <c r="C244" s="380">
        <v>45078</v>
      </c>
      <c r="D244" s="351">
        <v>45100</v>
      </c>
      <c r="E244" s="352"/>
      <c r="F244" s="352">
        <v>6</v>
      </c>
      <c r="G244" s="428" t="s">
        <v>302</v>
      </c>
      <c r="H244" s="350" t="s">
        <v>680</v>
      </c>
      <c r="I244" s="350" t="s">
        <v>393</v>
      </c>
      <c r="J244" s="556">
        <f>1478570/5</f>
        <v>295714</v>
      </c>
      <c r="K244" s="350" t="s">
        <v>394</v>
      </c>
      <c r="L244" s="353">
        <v>2801.6</v>
      </c>
      <c r="M244" s="375">
        <f t="shared" si="1"/>
        <v>105.55182752712736</v>
      </c>
      <c r="N244" s="354" t="s">
        <v>395</v>
      </c>
      <c r="O244" s="354">
        <v>0</v>
      </c>
      <c r="P244" s="355" t="s">
        <v>396</v>
      </c>
      <c r="Q244" s="354" t="s">
        <v>345</v>
      </c>
      <c r="R244" s="353">
        <v>0</v>
      </c>
      <c r="S244" s="353">
        <v>0</v>
      </c>
      <c r="T244" s="353">
        <v>0</v>
      </c>
      <c r="U244" s="353">
        <v>0</v>
      </c>
      <c r="V244" s="353">
        <v>0</v>
      </c>
      <c r="W244" s="353">
        <v>0</v>
      </c>
    </row>
    <row r="245" spans="1:23" x14ac:dyDescent="0.25">
      <c r="A245" s="348" t="s">
        <v>651</v>
      </c>
      <c r="B245" s="379">
        <v>4</v>
      </c>
      <c r="C245" s="380">
        <v>45078</v>
      </c>
      <c r="D245" s="351">
        <v>45100</v>
      </c>
      <c r="E245" s="352"/>
      <c r="F245" s="352">
        <v>6</v>
      </c>
      <c r="G245" s="428" t="s">
        <v>302</v>
      </c>
      <c r="H245" s="350" t="s">
        <v>681</v>
      </c>
      <c r="I245" s="350" t="s">
        <v>393</v>
      </c>
      <c r="J245" s="556">
        <f>1478570/5</f>
        <v>295714</v>
      </c>
      <c r="K245" s="350" t="s">
        <v>394</v>
      </c>
      <c r="L245" s="353">
        <v>2801.6</v>
      </c>
      <c r="M245" s="375">
        <f t="shared" si="1"/>
        <v>105.55182752712736</v>
      </c>
      <c r="N245" s="354" t="s">
        <v>395</v>
      </c>
      <c r="O245" s="354">
        <v>0</v>
      </c>
      <c r="P245" s="355" t="s">
        <v>396</v>
      </c>
      <c r="Q245" s="354" t="s">
        <v>345</v>
      </c>
      <c r="R245" s="353">
        <v>0</v>
      </c>
      <c r="S245" s="353">
        <v>0</v>
      </c>
      <c r="T245" s="353">
        <v>0</v>
      </c>
      <c r="U245" s="353">
        <v>0</v>
      </c>
      <c r="V245" s="353">
        <v>0</v>
      </c>
      <c r="W245" s="353">
        <v>0</v>
      </c>
    </row>
    <row r="246" spans="1:23" x14ac:dyDescent="0.25">
      <c r="A246" s="348" t="s">
        <v>682</v>
      </c>
      <c r="B246" s="379">
        <v>5</v>
      </c>
      <c r="C246" s="380">
        <v>45078</v>
      </c>
      <c r="D246" s="351">
        <v>45101</v>
      </c>
      <c r="E246" s="352"/>
      <c r="F246" s="352">
        <v>6</v>
      </c>
      <c r="G246" s="428" t="s">
        <v>325</v>
      </c>
      <c r="H246" s="350" t="s">
        <v>683</v>
      </c>
      <c r="I246" s="350" t="s">
        <v>393</v>
      </c>
      <c r="J246" s="556">
        <v>471500</v>
      </c>
      <c r="K246" s="350" t="s">
        <v>394</v>
      </c>
      <c r="L246" s="353">
        <v>2801.6</v>
      </c>
      <c r="M246" s="375">
        <f t="shared" si="1"/>
        <v>168.29668760708168</v>
      </c>
      <c r="N246" s="354" t="s">
        <v>395</v>
      </c>
      <c r="O246" s="354">
        <v>0</v>
      </c>
      <c r="P246" s="355" t="s">
        <v>396</v>
      </c>
      <c r="Q246" s="354" t="s">
        <v>345</v>
      </c>
      <c r="R246" s="353">
        <v>0</v>
      </c>
      <c r="S246" s="353">
        <v>0</v>
      </c>
      <c r="T246" s="353">
        <v>0</v>
      </c>
      <c r="U246" s="353">
        <v>0</v>
      </c>
      <c r="V246" s="353">
        <v>0</v>
      </c>
      <c r="W246" s="353">
        <v>0</v>
      </c>
    </row>
    <row r="247" spans="1:23" x14ac:dyDescent="0.25">
      <c r="A247" s="348" t="s">
        <v>684</v>
      </c>
      <c r="B247" s="379">
        <v>6</v>
      </c>
      <c r="C247" s="380">
        <v>45107</v>
      </c>
      <c r="D247" s="351">
        <v>45107</v>
      </c>
      <c r="E247" s="352"/>
      <c r="F247" s="352">
        <v>6</v>
      </c>
      <c r="G247" s="428" t="s">
        <v>301</v>
      </c>
      <c r="H247" s="350" t="s">
        <v>685</v>
      </c>
      <c r="I247" s="350" t="s">
        <v>393</v>
      </c>
      <c r="J247" s="556">
        <v>1318589</v>
      </c>
      <c r="K247" s="350" t="s">
        <v>394</v>
      </c>
      <c r="L247" s="353">
        <v>2801.6</v>
      </c>
      <c r="M247" s="375">
        <f t="shared" si="1"/>
        <v>470.65569674471732</v>
      </c>
      <c r="N247" s="354" t="s">
        <v>395</v>
      </c>
      <c r="O247" s="354">
        <v>0</v>
      </c>
      <c r="P247" s="355" t="s">
        <v>396</v>
      </c>
      <c r="Q247" s="354" t="s">
        <v>345</v>
      </c>
      <c r="R247" s="353">
        <v>0</v>
      </c>
      <c r="S247" s="353">
        <v>0</v>
      </c>
      <c r="T247" s="353">
        <v>0</v>
      </c>
      <c r="U247" s="353">
        <v>0</v>
      </c>
      <c r="V247" s="353">
        <v>0</v>
      </c>
      <c r="W247" s="353">
        <v>0</v>
      </c>
    </row>
    <row r="248" spans="1:23" x14ac:dyDescent="0.25">
      <c r="A248" s="348" t="s">
        <v>684</v>
      </c>
      <c r="B248" s="379">
        <v>6</v>
      </c>
      <c r="C248" s="380">
        <v>45107</v>
      </c>
      <c r="D248" s="351">
        <v>45107</v>
      </c>
      <c r="E248" s="352"/>
      <c r="F248" s="352">
        <v>6</v>
      </c>
      <c r="G248" s="428" t="s">
        <v>323</v>
      </c>
      <c r="H248" s="350" t="s">
        <v>686</v>
      </c>
      <c r="I248" s="350" t="s">
        <v>393</v>
      </c>
      <c r="J248" s="556">
        <v>133677</v>
      </c>
      <c r="K248" s="350" t="s">
        <v>394</v>
      </c>
      <c r="L248" s="353">
        <v>2801.6</v>
      </c>
      <c r="M248" s="375">
        <f t="shared" si="1"/>
        <v>47.714520274129072</v>
      </c>
      <c r="N248" s="354" t="s">
        <v>395</v>
      </c>
      <c r="O248" s="354">
        <v>0</v>
      </c>
      <c r="P248" s="355" t="s">
        <v>396</v>
      </c>
      <c r="Q248" s="354" t="s">
        <v>345</v>
      </c>
      <c r="R248" s="353">
        <v>0</v>
      </c>
      <c r="S248" s="353">
        <v>0</v>
      </c>
      <c r="T248" s="353">
        <v>0</v>
      </c>
      <c r="U248" s="353">
        <v>0</v>
      </c>
      <c r="V248" s="353">
        <v>0</v>
      </c>
      <c r="W248" s="353">
        <v>0</v>
      </c>
    </row>
    <row r="249" spans="1:23" x14ac:dyDescent="0.25">
      <c r="A249" s="348" t="s">
        <v>684</v>
      </c>
      <c r="B249" s="379">
        <v>6</v>
      </c>
      <c r="C249" s="380">
        <v>45107</v>
      </c>
      <c r="D249" s="351">
        <v>45107</v>
      </c>
      <c r="E249" s="352"/>
      <c r="F249" s="352">
        <v>6</v>
      </c>
      <c r="G249" s="428" t="s">
        <v>300</v>
      </c>
      <c r="H249" s="350" t="s">
        <v>687</v>
      </c>
      <c r="I249" s="350" t="s">
        <v>393</v>
      </c>
      <c r="J249" s="556">
        <v>295714</v>
      </c>
      <c r="K249" s="350" t="s">
        <v>394</v>
      </c>
      <c r="L249" s="353">
        <v>2801.6</v>
      </c>
      <c r="M249" s="375">
        <f t="shared" si="1"/>
        <v>105.55182752712736</v>
      </c>
      <c r="N249" s="354" t="s">
        <v>395</v>
      </c>
      <c r="O249" s="354">
        <v>0</v>
      </c>
      <c r="P249" s="355" t="s">
        <v>396</v>
      </c>
      <c r="Q249" s="354" t="s">
        <v>345</v>
      </c>
      <c r="R249" s="353">
        <v>0</v>
      </c>
      <c r="S249" s="353">
        <v>0</v>
      </c>
      <c r="T249" s="353">
        <v>0</v>
      </c>
      <c r="U249" s="353">
        <v>0</v>
      </c>
      <c r="V249" s="353">
        <v>0</v>
      </c>
      <c r="W249" s="353">
        <v>0</v>
      </c>
    </row>
    <row r="250" spans="1:23" x14ac:dyDescent="0.25">
      <c r="A250" s="348" t="s">
        <v>684</v>
      </c>
      <c r="B250" s="379">
        <v>6</v>
      </c>
      <c r="C250" s="380">
        <v>45107</v>
      </c>
      <c r="D250" s="351">
        <v>45107</v>
      </c>
      <c r="E250" s="352"/>
      <c r="F250" s="352">
        <v>6</v>
      </c>
      <c r="G250" s="428" t="s">
        <v>305</v>
      </c>
      <c r="H250" s="350" t="s">
        <v>688</v>
      </c>
      <c r="I250" s="350" t="s">
        <v>393</v>
      </c>
      <c r="J250" s="556">
        <v>26424</v>
      </c>
      <c r="K250" s="350" t="s">
        <v>394</v>
      </c>
      <c r="L250" s="353">
        <v>2801.6</v>
      </c>
      <c r="M250" s="375">
        <f t="shared" si="1"/>
        <v>9.4317532838378071</v>
      </c>
      <c r="N250" s="354" t="s">
        <v>395</v>
      </c>
      <c r="O250" s="354">
        <v>0</v>
      </c>
      <c r="P250" s="355" t="s">
        <v>396</v>
      </c>
      <c r="Q250" s="354" t="s">
        <v>345</v>
      </c>
      <c r="R250" s="353">
        <v>0</v>
      </c>
      <c r="S250" s="353">
        <v>0</v>
      </c>
      <c r="T250" s="353">
        <v>0</v>
      </c>
      <c r="U250" s="353">
        <v>0</v>
      </c>
      <c r="V250" s="353">
        <v>0</v>
      </c>
      <c r="W250" s="353">
        <v>0</v>
      </c>
    </row>
    <row r="251" spans="1:23" x14ac:dyDescent="0.25">
      <c r="A251" s="348" t="s">
        <v>684</v>
      </c>
      <c r="B251" s="379">
        <v>6</v>
      </c>
      <c r="C251" s="380">
        <v>45107</v>
      </c>
      <c r="D251" s="351">
        <v>45107</v>
      </c>
      <c r="E251" s="352"/>
      <c r="F251" s="352">
        <v>6</v>
      </c>
      <c r="G251" s="428" t="s">
        <v>304</v>
      </c>
      <c r="H251" s="350" t="s">
        <v>689</v>
      </c>
      <c r="I251" s="350" t="s">
        <v>393</v>
      </c>
      <c r="J251" s="556">
        <v>124619</v>
      </c>
      <c r="K251" s="350" t="s">
        <v>394</v>
      </c>
      <c r="L251" s="353">
        <v>2801.6</v>
      </c>
      <c r="M251" s="375">
        <f t="shared" si="1"/>
        <v>44.48136778983438</v>
      </c>
      <c r="N251" s="354" t="s">
        <v>395</v>
      </c>
      <c r="O251" s="354">
        <v>0</v>
      </c>
      <c r="P251" s="355" t="s">
        <v>396</v>
      </c>
      <c r="Q251" s="354" t="s">
        <v>345</v>
      </c>
      <c r="R251" s="353">
        <v>0</v>
      </c>
      <c r="S251" s="353">
        <v>0</v>
      </c>
      <c r="T251" s="353">
        <v>0</v>
      </c>
      <c r="U251" s="353">
        <v>0</v>
      </c>
      <c r="V251" s="353">
        <v>0</v>
      </c>
      <c r="W251" s="353">
        <v>0</v>
      </c>
    </row>
    <row r="252" spans="1:23" x14ac:dyDescent="0.25">
      <c r="A252" s="348" t="s">
        <v>684</v>
      </c>
      <c r="B252" s="379">
        <v>6</v>
      </c>
      <c r="C252" s="380">
        <v>45107</v>
      </c>
      <c r="D252" s="351">
        <v>45107</v>
      </c>
      <c r="E252" s="352"/>
      <c r="F252" s="352">
        <v>6</v>
      </c>
      <c r="G252" s="428" t="s">
        <v>303</v>
      </c>
      <c r="H252" s="350" t="s">
        <v>690</v>
      </c>
      <c r="I252" s="350" t="s">
        <v>393</v>
      </c>
      <c r="J252" s="556">
        <v>70817</v>
      </c>
      <c r="K252" s="350" t="s">
        <v>394</v>
      </c>
      <c r="L252" s="353">
        <v>2801.6</v>
      </c>
      <c r="M252" s="375">
        <f t="shared" si="1"/>
        <v>25.277341519131927</v>
      </c>
      <c r="N252" s="354" t="s">
        <v>395</v>
      </c>
      <c r="O252" s="354">
        <v>0</v>
      </c>
      <c r="P252" s="355" t="s">
        <v>396</v>
      </c>
      <c r="Q252" s="354" t="s">
        <v>345</v>
      </c>
      <c r="R252" s="353">
        <v>0</v>
      </c>
      <c r="S252" s="353">
        <v>0</v>
      </c>
      <c r="T252" s="353">
        <v>0</v>
      </c>
      <c r="U252" s="353">
        <v>0</v>
      </c>
      <c r="V252" s="353">
        <v>0</v>
      </c>
      <c r="W252" s="353">
        <v>0</v>
      </c>
    </row>
    <row r="253" spans="1:23" x14ac:dyDescent="0.25">
      <c r="A253" s="348" t="s">
        <v>684</v>
      </c>
      <c r="B253" s="379">
        <v>6</v>
      </c>
      <c r="C253" s="380">
        <v>45107</v>
      </c>
      <c r="D253" s="351">
        <v>45107</v>
      </c>
      <c r="E253" s="352"/>
      <c r="F253" s="352">
        <v>6</v>
      </c>
      <c r="G253" s="428" t="s">
        <v>302</v>
      </c>
      <c r="H253" s="350" t="s">
        <v>691</v>
      </c>
      <c r="I253" s="350" t="s">
        <v>393</v>
      </c>
      <c r="J253" s="556">
        <v>295714</v>
      </c>
      <c r="K253" s="350" t="s">
        <v>394</v>
      </c>
      <c r="L253" s="353">
        <v>2801.6</v>
      </c>
      <c r="M253" s="375">
        <f t="shared" si="1"/>
        <v>105.55182752712736</v>
      </c>
      <c r="N253" s="354" t="s">
        <v>395</v>
      </c>
      <c r="O253" s="354">
        <v>0</v>
      </c>
      <c r="P253" s="355" t="s">
        <v>396</v>
      </c>
      <c r="Q253" s="354" t="s">
        <v>345</v>
      </c>
      <c r="R253" s="353">
        <v>0</v>
      </c>
      <c r="S253" s="353">
        <v>0</v>
      </c>
      <c r="T253" s="353">
        <v>0</v>
      </c>
      <c r="U253" s="353">
        <v>0</v>
      </c>
      <c r="V253" s="353">
        <v>0</v>
      </c>
      <c r="W253" s="353">
        <v>0</v>
      </c>
    </row>
    <row r="254" spans="1:23" x14ac:dyDescent="0.25">
      <c r="A254" s="348" t="s">
        <v>692</v>
      </c>
      <c r="B254" s="377">
        <v>7</v>
      </c>
      <c r="C254" s="380">
        <v>45107</v>
      </c>
      <c r="D254" s="351">
        <v>45107</v>
      </c>
      <c r="F254" s="353">
        <v>6</v>
      </c>
      <c r="G254" s="428" t="s">
        <v>325</v>
      </c>
      <c r="H254" s="350" t="s">
        <v>693</v>
      </c>
      <c r="I254" s="350" t="s">
        <v>393</v>
      </c>
      <c r="J254" s="556">
        <v>96000</v>
      </c>
      <c r="K254" s="350" t="s">
        <v>394</v>
      </c>
      <c r="L254" s="353">
        <v>2801.6</v>
      </c>
      <c r="M254" s="375">
        <f t="shared" si="1"/>
        <v>34.266133637921186</v>
      </c>
      <c r="N254" s="354" t="s">
        <v>395</v>
      </c>
      <c r="O254" s="354">
        <v>0</v>
      </c>
      <c r="P254" s="355" t="s">
        <v>396</v>
      </c>
      <c r="Q254" s="354" t="s">
        <v>345</v>
      </c>
      <c r="R254" s="353">
        <v>0</v>
      </c>
      <c r="S254" s="353">
        <v>0</v>
      </c>
      <c r="T254" s="353">
        <v>0</v>
      </c>
      <c r="U254" s="353">
        <v>0</v>
      </c>
      <c r="V254" s="353">
        <v>0</v>
      </c>
      <c r="W254" s="353">
        <v>0</v>
      </c>
    </row>
    <row r="255" spans="1:23" x14ac:dyDescent="0.25">
      <c r="A255" s="348" t="s">
        <v>694</v>
      </c>
      <c r="B255" s="377">
        <v>8</v>
      </c>
      <c r="C255" s="380">
        <v>45107</v>
      </c>
      <c r="D255" s="351">
        <v>45107</v>
      </c>
      <c r="F255" s="353">
        <v>6</v>
      </c>
      <c r="G255" s="428" t="s">
        <v>324</v>
      </c>
      <c r="H255" s="353" t="s">
        <v>816</v>
      </c>
      <c r="I255" s="350" t="s">
        <v>393</v>
      </c>
      <c r="J255" s="556">
        <v>117000</v>
      </c>
      <c r="K255" s="350" t="s">
        <v>394</v>
      </c>
      <c r="L255" s="353">
        <v>2801.6</v>
      </c>
      <c r="M255" s="375">
        <f t="shared" si="1"/>
        <v>41.761850371216447</v>
      </c>
      <c r="N255" s="354" t="s">
        <v>395</v>
      </c>
      <c r="O255" s="354">
        <v>0</v>
      </c>
      <c r="P255" s="355" t="s">
        <v>396</v>
      </c>
      <c r="Q255" s="354" t="s">
        <v>345</v>
      </c>
      <c r="R255" s="353">
        <v>0</v>
      </c>
      <c r="S255" s="353">
        <v>0</v>
      </c>
      <c r="T255" s="353">
        <v>0</v>
      </c>
      <c r="U255" s="353">
        <v>0</v>
      </c>
      <c r="V255" s="353">
        <v>0</v>
      </c>
      <c r="W255" s="353">
        <v>0</v>
      </c>
    </row>
    <row r="256" spans="1:23" x14ac:dyDescent="0.25">
      <c r="A256" s="348" t="s">
        <v>696</v>
      </c>
      <c r="B256" s="377">
        <v>9</v>
      </c>
      <c r="C256" s="380">
        <v>45107</v>
      </c>
      <c r="D256" s="351">
        <v>45107</v>
      </c>
      <c r="F256" s="353">
        <v>6</v>
      </c>
      <c r="G256" s="428" t="s">
        <v>328</v>
      </c>
      <c r="H256" s="353" t="s">
        <v>815</v>
      </c>
      <c r="I256" s="350" t="s">
        <v>393</v>
      </c>
      <c r="J256" s="556">
        <f>135000</f>
        <v>135000</v>
      </c>
      <c r="K256" s="350" t="s">
        <v>394</v>
      </c>
      <c r="L256" s="353">
        <v>2801.6</v>
      </c>
      <c r="M256" s="375">
        <f t="shared" si="1"/>
        <v>48.186750428326675</v>
      </c>
      <c r="N256" s="354" t="s">
        <v>395</v>
      </c>
      <c r="O256" s="354">
        <v>0</v>
      </c>
      <c r="P256" s="355" t="s">
        <v>396</v>
      </c>
      <c r="Q256" s="354" t="s">
        <v>345</v>
      </c>
      <c r="R256" s="353">
        <v>0</v>
      </c>
      <c r="S256" s="353">
        <v>0</v>
      </c>
      <c r="T256" s="353">
        <v>0</v>
      </c>
      <c r="U256" s="353">
        <v>0</v>
      </c>
      <c r="V256" s="353">
        <v>0</v>
      </c>
      <c r="W256" s="353">
        <v>0</v>
      </c>
    </row>
    <row r="257" spans="1:23" x14ac:dyDescent="0.25">
      <c r="A257" s="348" t="s">
        <v>692</v>
      </c>
      <c r="B257" s="377">
        <v>10</v>
      </c>
      <c r="C257" s="380">
        <v>45107</v>
      </c>
      <c r="D257" s="351">
        <v>45107</v>
      </c>
      <c r="F257" s="353">
        <v>6</v>
      </c>
      <c r="G257" s="428" t="s">
        <v>325</v>
      </c>
      <c r="H257" s="350" t="s">
        <v>697</v>
      </c>
      <c r="I257" s="350" t="s">
        <v>393</v>
      </c>
      <c r="J257" s="556">
        <v>96000</v>
      </c>
      <c r="K257" s="350" t="s">
        <v>394</v>
      </c>
      <c r="L257" s="353">
        <v>2801.6</v>
      </c>
      <c r="M257" s="375">
        <f t="shared" si="1"/>
        <v>34.266133637921186</v>
      </c>
      <c r="N257" s="354" t="s">
        <v>395</v>
      </c>
      <c r="O257" s="354">
        <v>0</v>
      </c>
      <c r="P257" s="355" t="s">
        <v>396</v>
      </c>
      <c r="Q257" s="354" t="s">
        <v>345</v>
      </c>
      <c r="R257" s="353">
        <v>0</v>
      </c>
      <c r="S257" s="353">
        <v>0</v>
      </c>
      <c r="T257" s="353">
        <v>0</v>
      </c>
      <c r="U257" s="353">
        <v>0</v>
      </c>
      <c r="V257" s="353">
        <v>0</v>
      </c>
      <c r="W257" s="353">
        <v>0</v>
      </c>
    </row>
    <row r="258" spans="1:23" x14ac:dyDescent="0.25">
      <c r="A258" s="348" t="s">
        <v>698</v>
      </c>
      <c r="B258" s="377">
        <v>11</v>
      </c>
      <c r="C258" s="380">
        <v>45107</v>
      </c>
      <c r="D258" s="351">
        <v>45107</v>
      </c>
      <c r="F258" s="353">
        <v>6</v>
      </c>
      <c r="G258" s="428" t="s">
        <v>324</v>
      </c>
      <c r="H258" s="353" t="s">
        <v>695</v>
      </c>
      <c r="I258" s="350" t="s">
        <v>393</v>
      </c>
      <c r="J258" s="556">
        <v>450000</v>
      </c>
      <c r="K258" s="350" t="s">
        <v>394</v>
      </c>
      <c r="L258" s="353">
        <v>2801.6</v>
      </c>
      <c r="M258" s="375">
        <f t="shared" si="1"/>
        <v>160.62250142775557</v>
      </c>
      <c r="N258" s="354" t="s">
        <v>395</v>
      </c>
      <c r="O258" s="354">
        <v>0</v>
      </c>
      <c r="P258" s="355" t="s">
        <v>396</v>
      </c>
      <c r="Q258" s="354" t="s">
        <v>345</v>
      </c>
      <c r="R258" s="353">
        <v>0</v>
      </c>
      <c r="S258" s="353">
        <v>0</v>
      </c>
      <c r="T258" s="353">
        <v>0</v>
      </c>
      <c r="U258" s="353">
        <v>0</v>
      </c>
      <c r="V258" s="353">
        <v>0</v>
      </c>
      <c r="W258" s="353">
        <v>0</v>
      </c>
    </row>
    <row r="259" spans="1:23" x14ac:dyDescent="0.25">
      <c r="A259" s="348" t="s">
        <v>699</v>
      </c>
      <c r="B259" s="377">
        <v>12</v>
      </c>
      <c r="C259" s="380">
        <v>45107</v>
      </c>
      <c r="D259" s="351">
        <v>45107</v>
      </c>
      <c r="F259" s="353">
        <v>6</v>
      </c>
      <c r="G259" s="428" t="s">
        <v>318</v>
      </c>
      <c r="H259" s="353" t="s">
        <v>330</v>
      </c>
      <c r="I259" s="350" t="s">
        <v>393</v>
      </c>
      <c r="J259" s="557">
        <v>2800000</v>
      </c>
      <c r="K259" s="350" t="s">
        <v>394</v>
      </c>
      <c r="L259" s="353">
        <v>2801.6</v>
      </c>
      <c r="M259" s="375">
        <f t="shared" si="1"/>
        <v>999.42889777270136</v>
      </c>
      <c r="N259" s="354" t="s">
        <v>395</v>
      </c>
      <c r="O259" s="354">
        <v>0</v>
      </c>
      <c r="P259" s="355" t="s">
        <v>396</v>
      </c>
      <c r="Q259" s="354" t="s">
        <v>345</v>
      </c>
      <c r="R259" s="353">
        <v>0</v>
      </c>
      <c r="S259" s="353">
        <v>0</v>
      </c>
      <c r="T259" s="353">
        <v>0</v>
      </c>
      <c r="U259" s="353">
        <v>0</v>
      </c>
      <c r="V259" s="353">
        <v>0</v>
      </c>
      <c r="W259" s="353">
        <v>0</v>
      </c>
    </row>
    <row r="260" spans="1:23" x14ac:dyDescent="0.25">
      <c r="A260" s="348" t="s">
        <v>700</v>
      </c>
      <c r="B260" s="377">
        <v>13</v>
      </c>
      <c r="C260" s="380">
        <v>45107</v>
      </c>
      <c r="D260" s="351">
        <v>45107</v>
      </c>
      <c r="F260" s="353">
        <v>6</v>
      </c>
      <c r="G260" s="428" t="s">
        <v>319</v>
      </c>
      <c r="H260" s="353" t="s">
        <v>320</v>
      </c>
      <c r="I260" s="350" t="s">
        <v>393</v>
      </c>
      <c r="J260" s="557">
        <v>950000</v>
      </c>
      <c r="K260" s="350" t="s">
        <v>394</v>
      </c>
      <c r="L260" s="353">
        <v>2801.6</v>
      </c>
      <c r="M260" s="375">
        <f t="shared" si="1"/>
        <v>339.09194745859509</v>
      </c>
      <c r="N260" s="354" t="s">
        <v>395</v>
      </c>
      <c r="O260" s="354">
        <v>0</v>
      </c>
      <c r="P260" s="355" t="s">
        <v>396</v>
      </c>
      <c r="Q260" s="354" t="s">
        <v>345</v>
      </c>
      <c r="R260" s="353">
        <v>0</v>
      </c>
      <c r="S260" s="353">
        <v>0</v>
      </c>
      <c r="T260" s="353">
        <v>0</v>
      </c>
      <c r="U260" s="353">
        <v>0</v>
      </c>
      <c r="V260" s="353">
        <v>0</v>
      </c>
      <c r="W260" s="353">
        <v>0</v>
      </c>
    </row>
    <row r="261" spans="1:23" x14ac:dyDescent="0.25">
      <c r="A261" s="348" t="s">
        <v>701</v>
      </c>
      <c r="B261" s="379">
        <v>14</v>
      </c>
      <c r="C261" s="380">
        <v>45107</v>
      </c>
      <c r="D261" s="351">
        <v>45107</v>
      </c>
      <c r="E261" s="352"/>
      <c r="F261" s="352">
        <v>6</v>
      </c>
      <c r="G261" s="428" t="s">
        <v>322</v>
      </c>
      <c r="H261" s="350" t="s">
        <v>702</v>
      </c>
      <c r="I261" s="350" t="s">
        <v>393</v>
      </c>
      <c r="J261" s="556">
        <v>450000</v>
      </c>
      <c r="K261" s="350" t="s">
        <v>394</v>
      </c>
      <c r="L261" s="353">
        <v>2801.6</v>
      </c>
      <c r="M261" s="375">
        <f t="shared" si="1"/>
        <v>160.62250142775557</v>
      </c>
      <c r="N261" s="354" t="s">
        <v>395</v>
      </c>
      <c r="O261" s="354">
        <v>0</v>
      </c>
      <c r="P261" s="355" t="s">
        <v>396</v>
      </c>
      <c r="Q261" s="354" t="s">
        <v>345</v>
      </c>
      <c r="R261" s="353">
        <v>0</v>
      </c>
      <c r="S261" s="353">
        <v>0</v>
      </c>
      <c r="T261" s="353">
        <v>0</v>
      </c>
      <c r="U261" s="353">
        <v>0</v>
      </c>
      <c r="V261" s="353">
        <v>0</v>
      </c>
      <c r="W261" s="353">
        <v>0</v>
      </c>
    </row>
    <row r="262" spans="1:23" x14ac:dyDescent="0.25">
      <c r="A262" s="348" t="s">
        <v>703</v>
      </c>
      <c r="B262" s="379">
        <v>15</v>
      </c>
      <c r="C262" s="380">
        <v>45107</v>
      </c>
      <c r="D262" s="351">
        <v>45107</v>
      </c>
      <c r="E262" s="352"/>
      <c r="F262" s="352">
        <v>6</v>
      </c>
      <c r="G262" s="428" t="s">
        <v>322</v>
      </c>
      <c r="H262" s="350" t="s">
        <v>704</v>
      </c>
      <c r="I262" s="350" t="s">
        <v>393</v>
      </c>
      <c r="J262" s="556">
        <v>150000</v>
      </c>
      <c r="K262" s="350" t="s">
        <v>394</v>
      </c>
      <c r="L262" s="353">
        <v>2801.6</v>
      </c>
      <c r="M262" s="375">
        <f t="shared" si="1"/>
        <v>53.540833809251858</v>
      </c>
      <c r="N262" s="354" t="s">
        <v>395</v>
      </c>
      <c r="O262" s="354">
        <v>0</v>
      </c>
      <c r="P262" s="355" t="s">
        <v>396</v>
      </c>
      <c r="Q262" s="354" t="s">
        <v>345</v>
      </c>
      <c r="R262" s="353">
        <v>0</v>
      </c>
      <c r="S262" s="353">
        <v>0</v>
      </c>
      <c r="T262" s="353">
        <v>0</v>
      </c>
      <c r="U262" s="353">
        <v>0</v>
      </c>
      <c r="V262" s="353">
        <v>0</v>
      </c>
      <c r="W262" s="353">
        <v>0</v>
      </c>
    </row>
    <row r="263" spans="1:23" x14ac:dyDescent="0.25">
      <c r="A263" s="348" t="s">
        <v>705</v>
      </c>
      <c r="B263" s="377">
        <v>16</v>
      </c>
      <c r="C263" s="380">
        <v>45107</v>
      </c>
      <c r="D263" s="351">
        <v>45107</v>
      </c>
      <c r="F263" s="353">
        <v>6</v>
      </c>
      <c r="G263" s="428" t="s">
        <v>327</v>
      </c>
      <c r="H263" s="350" t="s">
        <v>333</v>
      </c>
      <c r="I263" s="350" t="s">
        <v>393</v>
      </c>
      <c r="J263" s="556">
        <v>45000</v>
      </c>
      <c r="K263" s="350" t="s">
        <v>394</v>
      </c>
      <c r="L263" s="353">
        <v>2801.6</v>
      </c>
      <c r="M263" s="375">
        <f t="shared" si="1"/>
        <v>16.062250142775557</v>
      </c>
      <c r="N263" s="354" t="s">
        <v>395</v>
      </c>
      <c r="O263" s="354">
        <v>0</v>
      </c>
      <c r="P263" s="355" t="s">
        <v>396</v>
      </c>
      <c r="Q263" s="354" t="s">
        <v>345</v>
      </c>
      <c r="R263" s="353">
        <v>0</v>
      </c>
      <c r="S263" s="353">
        <v>0</v>
      </c>
      <c r="T263" s="353">
        <v>0</v>
      </c>
      <c r="U263" s="353">
        <v>0</v>
      </c>
      <c r="V263" s="353">
        <v>0</v>
      </c>
      <c r="W263" s="353">
        <v>0</v>
      </c>
    </row>
    <row r="264" spans="1:23" x14ac:dyDescent="0.25">
      <c r="A264" s="348" t="s">
        <v>706</v>
      </c>
      <c r="B264" s="379">
        <v>17</v>
      </c>
      <c r="C264" s="380">
        <v>45107</v>
      </c>
      <c r="D264" s="351">
        <v>45107</v>
      </c>
      <c r="E264" s="352"/>
      <c r="F264" s="352">
        <v>6</v>
      </c>
      <c r="G264" s="428" t="s">
        <v>321</v>
      </c>
      <c r="H264" s="350" t="s">
        <v>707</v>
      </c>
      <c r="I264" s="350" t="s">
        <v>393</v>
      </c>
      <c r="J264" s="556">
        <f>80000*10%</f>
        <v>8000</v>
      </c>
      <c r="K264" s="350" t="s">
        <v>394</v>
      </c>
      <c r="L264" s="353">
        <v>2801.6</v>
      </c>
      <c r="M264" s="375">
        <f t="shared" si="1"/>
        <v>2.8555111364934325</v>
      </c>
      <c r="N264" s="354" t="s">
        <v>395</v>
      </c>
      <c r="O264" s="354">
        <v>0</v>
      </c>
      <c r="P264" s="355" t="s">
        <v>396</v>
      </c>
      <c r="Q264" s="354" t="s">
        <v>345</v>
      </c>
      <c r="R264" s="353">
        <v>0</v>
      </c>
      <c r="S264" s="353">
        <v>0</v>
      </c>
      <c r="T264" s="353">
        <v>0</v>
      </c>
      <c r="U264" s="353">
        <v>0</v>
      </c>
      <c r="V264" s="353">
        <v>0</v>
      </c>
      <c r="W264" s="353">
        <v>0</v>
      </c>
    </row>
    <row r="265" spans="1:23" x14ac:dyDescent="0.25">
      <c r="A265" s="348" t="s">
        <v>819</v>
      </c>
      <c r="B265" s="379">
        <v>18</v>
      </c>
      <c r="C265" s="380">
        <v>45107</v>
      </c>
      <c r="D265" s="351">
        <v>45107</v>
      </c>
      <c r="E265" s="352"/>
      <c r="F265" s="352">
        <v>6</v>
      </c>
      <c r="G265" s="428" t="s">
        <v>325</v>
      </c>
      <c r="H265" s="350" t="s">
        <v>818</v>
      </c>
      <c r="I265" s="350" t="s">
        <v>393</v>
      </c>
      <c r="J265" s="556">
        <v>10700</v>
      </c>
      <c r="K265" s="350" t="s">
        <v>394</v>
      </c>
      <c r="L265" s="353">
        <v>2801.6</v>
      </c>
      <c r="M265" s="375">
        <f>+J265/L265</f>
        <v>3.819246145059966</v>
      </c>
      <c r="N265" s="354" t="s">
        <v>395</v>
      </c>
      <c r="O265" s="354">
        <v>0</v>
      </c>
      <c r="P265" s="355" t="s">
        <v>396</v>
      </c>
      <c r="Q265" s="354" t="s">
        <v>345</v>
      </c>
      <c r="R265" s="353">
        <v>0</v>
      </c>
      <c r="S265" s="353">
        <v>0</v>
      </c>
      <c r="T265" s="353">
        <v>0</v>
      </c>
      <c r="U265" s="353">
        <v>0</v>
      </c>
      <c r="V265" s="353">
        <v>0</v>
      </c>
      <c r="W265" s="353">
        <v>0</v>
      </c>
    </row>
    <row r="266" spans="1:23" x14ac:dyDescent="0.25">
      <c r="A266" s="348" t="s">
        <v>820</v>
      </c>
      <c r="B266" s="379">
        <v>19</v>
      </c>
      <c r="C266" s="380">
        <v>45100</v>
      </c>
      <c r="D266" s="351">
        <v>45107</v>
      </c>
      <c r="E266" s="352"/>
      <c r="F266" s="352">
        <v>6</v>
      </c>
      <c r="G266" s="428" t="s">
        <v>325</v>
      </c>
      <c r="H266" s="350" t="s">
        <v>821</v>
      </c>
      <c r="I266" s="350" t="s">
        <v>393</v>
      </c>
      <c r="J266" s="556">
        <f>70.82*2823.97</f>
        <v>199993.55539999995</v>
      </c>
      <c r="K266" s="350" t="s">
        <v>394</v>
      </c>
      <c r="L266" s="353">
        <v>2823.97</v>
      </c>
      <c r="M266" s="375">
        <f>+J266/L266</f>
        <v>70.819999999999993</v>
      </c>
      <c r="N266" s="354" t="s">
        <v>395</v>
      </c>
      <c r="O266" s="354">
        <v>0</v>
      </c>
      <c r="P266" s="355" t="s">
        <v>396</v>
      </c>
      <c r="Q266" s="354" t="s">
        <v>345</v>
      </c>
      <c r="R266" s="353">
        <v>0</v>
      </c>
      <c r="S266" s="353">
        <v>0</v>
      </c>
      <c r="T266" s="353">
        <v>0</v>
      </c>
      <c r="U266" s="353">
        <v>0</v>
      </c>
      <c r="V266" s="353">
        <v>0</v>
      </c>
      <c r="W266" s="353">
        <v>0</v>
      </c>
    </row>
    <row r="267" spans="1:23" x14ac:dyDescent="0.25">
      <c r="A267" s="348" t="s">
        <v>712</v>
      </c>
      <c r="B267" s="349">
        <v>27</v>
      </c>
      <c r="C267" s="380">
        <v>45107</v>
      </c>
      <c r="D267" s="351">
        <v>45103</v>
      </c>
      <c r="E267" s="352"/>
      <c r="F267" s="352">
        <v>6</v>
      </c>
      <c r="G267" s="348" t="s">
        <v>312</v>
      </c>
      <c r="H267" s="424" t="s">
        <v>714</v>
      </c>
      <c r="I267" s="350" t="s">
        <v>393</v>
      </c>
      <c r="J267" s="375">
        <f>3827662*10%</f>
        <v>382766.2</v>
      </c>
      <c r="K267" s="350" t="s">
        <v>394</v>
      </c>
      <c r="L267" s="354">
        <v>2802.3999950000002</v>
      </c>
      <c r="M267" s="375">
        <f t="shared" ref="M267:M284" si="5">J267/L267</f>
        <v>136.58514155114392</v>
      </c>
      <c r="N267" s="354" t="s">
        <v>395</v>
      </c>
      <c r="O267" s="354">
        <v>0</v>
      </c>
      <c r="P267" s="355" t="s">
        <v>396</v>
      </c>
      <c r="Q267" s="354" t="s">
        <v>397</v>
      </c>
      <c r="R267" s="353">
        <v>0</v>
      </c>
      <c r="S267" s="353">
        <v>0</v>
      </c>
      <c r="T267" s="353">
        <v>0</v>
      </c>
      <c r="U267" s="353">
        <v>0</v>
      </c>
      <c r="V267" s="353">
        <v>0</v>
      </c>
      <c r="W267" s="353">
        <v>0</v>
      </c>
    </row>
    <row r="268" spans="1:23" ht="30" x14ac:dyDescent="0.25">
      <c r="A268" s="348" t="s">
        <v>712</v>
      </c>
      <c r="B268" s="349">
        <v>27</v>
      </c>
      <c r="C268" s="380">
        <v>45107</v>
      </c>
      <c r="D268" s="351">
        <v>45103</v>
      </c>
      <c r="E268" s="352"/>
      <c r="F268" s="352">
        <v>6</v>
      </c>
      <c r="G268" s="348" t="s">
        <v>313</v>
      </c>
      <c r="H268" s="424" t="s">
        <v>715</v>
      </c>
      <c r="I268" s="350" t="s">
        <v>393</v>
      </c>
      <c r="J268" s="375">
        <f>2279846*5%</f>
        <v>113992.3</v>
      </c>
      <c r="K268" s="350" t="s">
        <v>394</v>
      </c>
      <c r="L268" s="354">
        <v>2802.3999950000002</v>
      </c>
      <c r="M268" s="375">
        <f t="shared" si="5"/>
        <v>40.676670069720004</v>
      </c>
      <c r="N268" s="354" t="s">
        <v>395</v>
      </c>
      <c r="O268" s="354">
        <v>0</v>
      </c>
      <c r="P268" s="355" t="s">
        <v>396</v>
      </c>
      <c r="Q268" s="354" t="s">
        <v>397</v>
      </c>
      <c r="R268" s="353">
        <v>0</v>
      </c>
      <c r="S268" s="353">
        <v>0</v>
      </c>
      <c r="T268" s="353">
        <v>0</v>
      </c>
      <c r="U268" s="353">
        <v>0</v>
      </c>
      <c r="V268" s="353">
        <v>0</v>
      </c>
      <c r="W268" s="353">
        <v>0</v>
      </c>
    </row>
    <row r="269" spans="1:23" x14ac:dyDescent="0.25">
      <c r="A269" s="348" t="s">
        <v>712</v>
      </c>
      <c r="B269" s="349">
        <v>27</v>
      </c>
      <c r="C269" s="380">
        <v>45107</v>
      </c>
      <c r="D269" s="351">
        <v>45103</v>
      </c>
      <c r="E269" s="352"/>
      <c r="F269" s="352">
        <v>6</v>
      </c>
      <c r="G269" s="348" t="s">
        <v>314</v>
      </c>
      <c r="H269" s="424" t="s">
        <v>716</v>
      </c>
      <c r="I269" s="350" t="s">
        <v>393</v>
      </c>
      <c r="J269" s="375">
        <f>1831466*10%</f>
        <v>183146.6</v>
      </c>
      <c r="K269" s="350" t="s">
        <v>394</v>
      </c>
      <c r="L269" s="354">
        <v>2802.3999950000002</v>
      </c>
      <c r="M269" s="375">
        <f t="shared" si="5"/>
        <v>65.353482845692056</v>
      </c>
      <c r="N269" s="354" t="s">
        <v>395</v>
      </c>
      <c r="O269" s="354">
        <v>0</v>
      </c>
      <c r="P269" s="355" t="s">
        <v>396</v>
      </c>
      <c r="Q269" s="354" t="s">
        <v>397</v>
      </c>
      <c r="R269" s="353">
        <v>0</v>
      </c>
      <c r="S269" s="353">
        <v>0</v>
      </c>
      <c r="T269" s="353">
        <v>0</v>
      </c>
      <c r="U269" s="353">
        <v>0</v>
      </c>
      <c r="V269" s="353">
        <v>0</v>
      </c>
      <c r="W269" s="353">
        <v>0</v>
      </c>
    </row>
    <row r="270" spans="1:23" ht="30" x14ac:dyDescent="0.25">
      <c r="A270" s="348" t="s">
        <v>712</v>
      </c>
      <c r="B270" s="349">
        <v>27</v>
      </c>
      <c r="C270" s="380">
        <v>45107</v>
      </c>
      <c r="D270" s="351">
        <v>45103</v>
      </c>
      <c r="E270" s="352"/>
      <c r="F270" s="352">
        <v>6</v>
      </c>
      <c r="G270" s="348" t="s">
        <v>315</v>
      </c>
      <c r="H270" s="424" t="s">
        <v>717</v>
      </c>
      <c r="I270" s="350" t="s">
        <v>393</v>
      </c>
      <c r="J270" s="375">
        <f>1334036*10%</f>
        <v>133403.6</v>
      </c>
      <c r="K270" s="350" t="s">
        <v>394</v>
      </c>
      <c r="L270" s="354">
        <v>2802.3999950000002</v>
      </c>
      <c r="M270" s="375">
        <f t="shared" si="5"/>
        <v>47.60334007922377</v>
      </c>
      <c r="N270" s="354" t="s">
        <v>395</v>
      </c>
      <c r="O270" s="354">
        <v>0</v>
      </c>
      <c r="P270" s="355" t="s">
        <v>396</v>
      </c>
      <c r="Q270" s="354" t="s">
        <v>397</v>
      </c>
      <c r="R270" s="353">
        <v>0</v>
      </c>
      <c r="S270" s="353">
        <v>0</v>
      </c>
      <c r="T270" s="353">
        <v>0</v>
      </c>
      <c r="U270" s="353">
        <v>0</v>
      </c>
      <c r="V270" s="353">
        <v>0</v>
      </c>
      <c r="W270" s="353">
        <v>0</v>
      </c>
    </row>
    <row r="271" spans="1:23" x14ac:dyDescent="0.25">
      <c r="A271" s="348" t="s">
        <v>712</v>
      </c>
      <c r="B271" s="349">
        <v>27</v>
      </c>
      <c r="C271" s="380">
        <v>45107</v>
      </c>
      <c r="D271" s="351">
        <v>45103</v>
      </c>
      <c r="E271" s="352"/>
      <c r="F271" s="352">
        <v>6</v>
      </c>
      <c r="G271" s="348" t="s">
        <v>316</v>
      </c>
      <c r="H271" s="424" t="s">
        <v>718</v>
      </c>
      <c r="I271" s="350" t="s">
        <v>393</v>
      </c>
      <c r="J271" s="375">
        <f>690937*50%</f>
        <v>345468.5</v>
      </c>
      <c r="K271" s="350" t="s">
        <v>394</v>
      </c>
      <c r="L271" s="354">
        <v>2802.3999950000002</v>
      </c>
      <c r="M271" s="375">
        <f t="shared" si="5"/>
        <v>123.27594226961878</v>
      </c>
      <c r="N271" s="354" t="s">
        <v>395</v>
      </c>
      <c r="O271" s="354">
        <v>0</v>
      </c>
      <c r="P271" s="355" t="s">
        <v>396</v>
      </c>
      <c r="Q271" s="354" t="s">
        <v>397</v>
      </c>
      <c r="R271" s="353">
        <v>0</v>
      </c>
      <c r="S271" s="353">
        <v>0</v>
      </c>
      <c r="T271" s="353">
        <v>0</v>
      </c>
      <c r="U271" s="353">
        <v>0</v>
      </c>
      <c r="V271" s="353">
        <v>0</v>
      </c>
      <c r="W271" s="353">
        <v>0</v>
      </c>
    </row>
    <row r="272" spans="1:23" x14ac:dyDescent="0.25">
      <c r="A272" s="348" t="s">
        <v>712</v>
      </c>
      <c r="B272" s="349">
        <v>27</v>
      </c>
      <c r="C272" s="380">
        <v>45107</v>
      </c>
      <c r="D272" s="351">
        <v>45103</v>
      </c>
      <c r="E272" s="352"/>
      <c r="F272" s="352">
        <v>6</v>
      </c>
      <c r="G272" s="348" t="s">
        <v>317</v>
      </c>
      <c r="H272" s="424" t="s">
        <v>719</v>
      </c>
      <c r="I272" s="350" t="s">
        <v>393</v>
      </c>
      <c r="J272" s="375">
        <f>1251995+169809+29400+18000+40000</f>
        <v>1509204</v>
      </c>
      <c r="K272" s="350" t="s">
        <v>394</v>
      </c>
      <c r="L272" s="354">
        <v>2802.3999950000002</v>
      </c>
      <c r="M272" s="375">
        <f t="shared" si="5"/>
        <v>538.53982396970423</v>
      </c>
      <c r="N272" s="354" t="s">
        <v>395</v>
      </c>
      <c r="O272" s="354">
        <v>0</v>
      </c>
      <c r="P272" s="355" t="s">
        <v>396</v>
      </c>
      <c r="Q272" s="354" t="s">
        <v>397</v>
      </c>
      <c r="R272" s="353">
        <v>0</v>
      </c>
      <c r="S272" s="353">
        <v>0</v>
      </c>
      <c r="T272" s="353">
        <v>0</v>
      </c>
      <c r="U272" s="353">
        <v>0</v>
      </c>
      <c r="V272" s="353">
        <v>0</v>
      </c>
      <c r="W272" s="353">
        <v>0</v>
      </c>
    </row>
    <row r="273" spans="1:23" x14ac:dyDescent="0.25">
      <c r="A273" s="348" t="s">
        <v>720</v>
      </c>
      <c r="B273" s="349">
        <v>28</v>
      </c>
      <c r="C273" s="380">
        <v>45107</v>
      </c>
      <c r="D273" s="351">
        <v>45089</v>
      </c>
      <c r="E273" s="352"/>
      <c r="F273" s="352">
        <v>6</v>
      </c>
      <c r="G273" s="348" t="s">
        <v>337</v>
      </c>
      <c r="H273" s="424" t="s">
        <v>721</v>
      </c>
      <c r="I273" s="350" t="s">
        <v>393</v>
      </c>
      <c r="J273" s="375">
        <f>100000*30%</f>
        <v>30000</v>
      </c>
      <c r="K273" s="350" t="s">
        <v>394</v>
      </c>
      <c r="L273" s="354">
        <v>2802.3999950000002</v>
      </c>
      <c r="M273" s="375">
        <f t="shared" si="5"/>
        <v>10.705109924894929</v>
      </c>
      <c r="N273" s="354" t="s">
        <v>395</v>
      </c>
      <c r="O273" s="354">
        <v>0</v>
      </c>
      <c r="P273" s="355" t="s">
        <v>396</v>
      </c>
      <c r="Q273" s="354" t="s">
        <v>397</v>
      </c>
      <c r="R273" s="353">
        <v>0</v>
      </c>
      <c r="S273" s="353">
        <v>0</v>
      </c>
      <c r="T273" s="353">
        <v>0</v>
      </c>
      <c r="U273" s="353">
        <v>0</v>
      </c>
      <c r="V273" s="353">
        <v>0</v>
      </c>
      <c r="W273" s="353">
        <v>0</v>
      </c>
    </row>
    <row r="274" spans="1:23" x14ac:dyDescent="0.25">
      <c r="A274" s="348" t="s">
        <v>722</v>
      </c>
      <c r="B274" s="349">
        <v>29</v>
      </c>
      <c r="C274" s="380">
        <v>45107</v>
      </c>
      <c r="D274" s="351">
        <v>45103</v>
      </c>
      <c r="E274" s="352"/>
      <c r="F274" s="352">
        <v>6</v>
      </c>
      <c r="G274" s="348" t="s">
        <v>336</v>
      </c>
      <c r="H274" s="424" t="s">
        <v>723</v>
      </c>
      <c r="I274" s="350" t="s">
        <v>393</v>
      </c>
      <c r="J274" s="375">
        <v>600000</v>
      </c>
      <c r="K274" s="350" t="s">
        <v>394</v>
      </c>
      <c r="L274" s="354">
        <v>2802.3999950000002</v>
      </c>
      <c r="M274" s="375">
        <f t="shared" si="5"/>
        <v>214.10219849789857</v>
      </c>
      <c r="N274" s="354" t="s">
        <v>395</v>
      </c>
      <c r="O274" s="354">
        <v>0</v>
      </c>
      <c r="P274" s="355" t="s">
        <v>396</v>
      </c>
      <c r="Q274" s="354" t="s">
        <v>397</v>
      </c>
      <c r="R274" s="353">
        <v>0</v>
      </c>
      <c r="S274" s="353">
        <v>0</v>
      </c>
      <c r="T274" s="353">
        <v>0</v>
      </c>
      <c r="U274" s="353">
        <v>0</v>
      </c>
      <c r="V274" s="353">
        <v>0</v>
      </c>
      <c r="W274" s="353">
        <v>0</v>
      </c>
    </row>
    <row r="275" spans="1:23" x14ac:dyDescent="0.25">
      <c r="A275" s="348" t="s">
        <v>724</v>
      </c>
      <c r="B275" s="349">
        <v>30</v>
      </c>
      <c r="C275" s="380">
        <v>45107</v>
      </c>
      <c r="D275" s="351">
        <v>45107</v>
      </c>
      <c r="E275" s="352"/>
      <c r="F275" s="352">
        <v>6</v>
      </c>
      <c r="G275" s="348" t="s">
        <v>335</v>
      </c>
      <c r="H275" s="424" t="s">
        <v>725</v>
      </c>
      <c r="I275" s="350" t="s">
        <v>393</v>
      </c>
      <c r="J275" s="375">
        <v>200000</v>
      </c>
      <c r="K275" s="350" t="s">
        <v>394</v>
      </c>
      <c r="L275" s="354">
        <v>2802.3999950000002</v>
      </c>
      <c r="M275" s="375">
        <f t="shared" si="5"/>
        <v>71.367399499299523</v>
      </c>
      <c r="N275" s="354" t="s">
        <v>395</v>
      </c>
      <c r="O275" s="354">
        <v>0</v>
      </c>
      <c r="P275" s="355" t="s">
        <v>396</v>
      </c>
      <c r="Q275" s="354" t="s">
        <v>397</v>
      </c>
      <c r="R275" s="353">
        <v>0</v>
      </c>
      <c r="S275" s="353">
        <v>0</v>
      </c>
      <c r="T275" s="353">
        <v>0</v>
      </c>
      <c r="U275" s="353">
        <v>0</v>
      </c>
      <c r="V275" s="353">
        <v>0</v>
      </c>
      <c r="W275" s="353">
        <v>0</v>
      </c>
    </row>
    <row r="276" spans="1:23" x14ac:dyDescent="0.25">
      <c r="A276" s="348" t="s">
        <v>724</v>
      </c>
      <c r="B276" s="349">
        <v>31</v>
      </c>
      <c r="C276" s="380">
        <v>45107</v>
      </c>
      <c r="D276" s="351">
        <v>45107</v>
      </c>
      <c r="E276" s="352"/>
      <c r="F276" s="352">
        <v>6</v>
      </c>
      <c r="G276" s="348" t="s">
        <v>338</v>
      </c>
      <c r="H276" s="424" t="s">
        <v>726</v>
      </c>
      <c r="I276" s="350" t="s">
        <v>393</v>
      </c>
      <c r="J276" s="375">
        <v>70000</v>
      </c>
      <c r="K276" s="350" t="s">
        <v>394</v>
      </c>
      <c r="L276" s="354">
        <v>2802.3999950000002</v>
      </c>
      <c r="M276" s="375">
        <f t="shared" si="5"/>
        <v>24.978589824754835</v>
      </c>
      <c r="N276" s="354" t="s">
        <v>395</v>
      </c>
      <c r="O276" s="354">
        <v>0</v>
      </c>
      <c r="P276" s="355" t="s">
        <v>396</v>
      </c>
      <c r="Q276" s="354" t="s">
        <v>397</v>
      </c>
      <c r="R276" s="353">
        <v>0</v>
      </c>
      <c r="S276" s="353">
        <v>0</v>
      </c>
      <c r="T276" s="353">
        <v>0</v>
      </c>
      <c r="U276" s="353">
        <v>0</v>
      </c>
      <c r="V276" s="353">
        <v>0</v>
      </c>
      <c r="W276" s="353">
        <v>0</v>
      </c>
    </row>
    <row r="277" spans="1:23" x14ac:dyDescent="0.25">
      <c r="A277" s="348" t="s">
        <v>724</v>
      </c>
      <c r="B277" s="349">
        <v>32</v>
      </c>
      <c r="C277" s="380">
        <v>45107</v>
      </c>
      <c r="D277" s="351">
        <v>45107</v>
      </c>
      <c r="E277" s="352"/>
      <c r="F277" s="352">
        <v>6</v>
      </c>
      <c r="G277" s="348" t="s">
        <v>339</v>
      </c>
      <c r="H277" s="424" t="s">
        <v>727</v>
      </c>
      <c r="I277" s="350" t="s">
        <v>393</v>
      </c>
      <c r="J277" s="375">
        <v>60000</v>
      </c>
      <c r="K277" s="350" t="s">
        <v>394</v>
      </c>
      <c r="L277" s="354">
        <v>2802.3999950000002</v>
      </c>
      <c r="M277" s="375">
        <f t="shared" si="5"/>
        <v>21.410219849789858</v>
      </c>
      <c r="N277" s="354" t="s">
        <v>395</v>
      </c>
      <c r="O277" s="354">
        <v>0</v>
      </c>
      <c r="P277" s="355" t="s">
        <v>396</v>
      </c>
      <c r="Q277" s="354" t="s">
        <v>397</v>
      </c>
      <c r="R277" s="353">
        <v>0</v>
      </c>
      <c r="S277" s="353">
        <v>0</v>
      </c>
      <c r="T277" s="353">
        <v>0</v>
      </c>
      <c r="U277" s="353">
        <v>0</v>
      </c>
      <c r="V277" s="353">
        <v>0</v>
      </c>
      <c r="W277" s="353">
        <v>0</v>
      </c>
    </row>
    <row r="278" spans="1:23" x14ac:dyDescent="0.25">
      <c r="A278" s="348" t="s">
        <v>724</v>
      </c>
      <c r="B278" s="349">
        <v>33</v>
      </c>
      <c r="C278" s="380">
        <v>45107</v>
      </c>
      <c r="D278" s="351">
        <v>45107</v>
      </c>
      <c r="E278" s="352"/>
      <c r="F278" s="352">
        <v>6</v>
      </c>
      <c r="G278" s="348" t="s">
        <v>340</v>
      </c>
      <c r="H278" s="424" t="s">
        <v>728</v>
      </c>
      <c r="I278" s="350" t="s">
        <v>393</v>
      </c>
      <c r="J278" s="375">
        <v>29495</v>
      </c>
      <c r="K278" s="350" t="s">
        <v>394</v>
      </c>
      <c r="L278" s="354">
        <v>2802.3999950000002</v>
      </c>
      <c r="M278" s="375">
        <f t="shared" si="5"/>
        <v>10.524907241159196</v>
      </c>
      <c r="N278" s="354" t="s">
        <v>395</v>
      </c>
      <c r="O278" s="354">
        <v>0</v>
      </c>
      <c r="P278" s="355" t="s">
        <v>396</v>
      </c>
      <c r="Q278" s="354" t="s">
        <v>397</v>
      </c>
      <c r="R278" s="353">
        <v>0</v>
      </c>
      <c r="S278" s="353">
        <v>0</v>
      </c>
      <c r="T278" s="353">
        <v>0</v>
      </c>
      <c r="U278" s="353">
        <v>0</v>
      </c>
      <c r="V278" s="353">
        <v>0</v>
      </c>
      <c r="W278" s="353">
        <v>0</v>
      </c>
    </row>
    <row r="279" spans="1:23" x14ac:dyDescent="0.25">
      <c r="A279" s="348" t="s">
        <v>729</v>
      </c>
      <c r="B279" s="349">
        <v>34</v>
      </c>
      <c r="C279" s="380">
        <v>45107</v>
      </c>
      <c r="D279" s="351">
        <v>45084</v>
      </c>
      <c r="E279" s="352"/>
      <c r="F279" s="352">
        <v>6</v>
      </c>
      <c r="G279" s="348" t="s">
        <v>339</v>
      </c>
      <c r="H279" s="424" t="s">
        <v>730</v>
      </c>
      <c r="I279" s="350" t="s">
        <v>393</v>
      </c>
      <c r="J279" s="375">
        <v>60000</v>
      </c>
      <c r="K279" s="350" t="s">
        <v>394</v>
      </c>
      <c r="L279" s="354">
        <v>2802.3999950000002</v>
      </c>
      <c r="M279" s="375">
        <f t="shared" si="5"/>
        <v>21.410219849789858</v>
      </c>
      <c r="N279" s="354" t="s">
        <v>395</v>
      </c>
      <c r="O279" s="354">
        <v>0</v>
      </c>
      <c r="P279" s="355" t="s">
        <v>396</v>
      </c>
      <c r="Q279" s="354" t="s">
        <v>397</v>
      </c>
      <c r="R279" s="353">
        <v>0</v>
      </c>
      <c r="S279" s="353">
        <v>0</v>
      </c>
      <c r="T279" s="353">
        <v>0</v>
      </c>
      <c r="U279" s="353">
        <v>0</v>
      </c>
      <c r="V279" s="353">
        <v>0</v>
      </c>
      <c r="W279" s="353">
        <v>0</v>
      </c>
    </row>
    <row r="280" spans="1:23" x14ac:dyDescent="0.25">
      <c r="A280" s="348" t="s">
        <v>731</v>
      </c>
      <c r="B280" s="349">
        <v>35</v>
      </c>
      <c r="C280" s="380">
        <v>45107</v>
      </c>
      <c r="D280" s="351">
        <v>45107</v>
      </c>
      <c r="E280" s="352"/>
      <c r="F280" s="352">
        <v>6</v>
      </c>
      <c r="G280" s="348" t="s">
        <v>340</v>
      </c>
      <c r="H280" s="424" t="s">
        <v>732</v>
      </c>
      <c r="I280" s="350" t="s">
        <v>393</v>
      </c>
      <c r="J280" s="375">
        <v>29495</v>
      </c>
      <c r="K280" s="350" t="s">
        <v>394</v>
      </c>
      <c r="L280" s="354">
        <v>2802.3999950000002</v>
      </c>
      <c r="M280" s="375">
        <f t="shared" si="5"/>
        <v>10.524907241159196</v>
      </c>
      <c r="N280" s="354" t="s">
        <v>395</v>
      </c>
      <c r="O280" s="354">
        <v>0</v>
      </c>
      <c r="P280" s="355" t="s">
        <v>396</v>
      </c>
      <c r="Q280" s="354" t="s">
        <v>397</v>
      </c>
      <c r="R280" s="353">
        <v>0</v>
      </c>
      <c r="S280" s="353">
        <v>0</v>
      </c>
      <c r="T280" s="353">
        <v>0</v>
      </c>
      <c r="U280" s="353">
        <v>0</v>
      </c>
      <c r="V280" s="353">
        <v>0</v>
      </c>
      <c r="W280" s="353">
        <v>0</v>
      </c>
    </row>
    <row r="281" spans="1:23" x14ac:dyDescent="0.25">
      <c r="A281" s="348" t="s">
        <v>733</v>
      </c>
      <c r="B281" s="349">
        <v>36</v>
      </c>
      <c r="C281" s="380">
        <v>45107</v>
      </c>
      <c r="D281" s="351">
        <v>45107</v>
      </c>
      <c r="E281" s="352"/>
      <c r="F281" s="352">
        <v>6</v>
      </c>
      <c r="G281" s="348" t="s">
        <v>340</v>
      </c>
      <c r="H281" s="424" t="s">
        <v>734</v>
      </c>
      <c r="I281" s="350" t="s">
        <v>393</v>
      </c>
      <c r="J281" s="375">
        <v>29495</v>
      </c>
      <c r="K281" s="350" t="s">
        <v>394</v>
      </c>
      <c r="L281" s="354">
        <v>2802.3999950000002</v>
      </c>
      <c r="M281" s="375">
        <f t="shared" si="5"/>
        <v>10.524907241159196</v>
      </c>
      <c r="N281" s="354" t="s">
        <v>395</v>
      </c>
      <c r="O281" s="354">
        <v>0</v>
      </c>
      <c r="P281" s="355" t="s">
        <v>396</v>
      </c>
      <c r="Q281" s="354" t="s">
        <v>397</v>
      </c>
      <c r="R281" s="353">
        <v>0</v>
      </c>
      <c r="S281" s="353">
        <v>0</v>
      </c>
      <c r="T281" s="353">
        <v>0</v>
      </c>
      <c r="U281" s="353">
        <v>0</v>
      </c>
      <c r="V281" s="353">
        <v>0</v>
      </c>
      <c r="W281" s="353">
        <v>0</v>
      </c>
    </row>
    <row r="282" spans="1:23" x14ac:dyDescent="0.25">
      <c r="A282" s="348" t="s">
        <v>735</v>
      </c>
      <c r="B282" s="349">
        <v>37</v>
      </c>
      <c r="C282" s="380">
        <v>45107</v>
      </c>
      <c r="D282" s="351">
        <v>45107</v>
      </c>
      <c r="E282" s="352"/>
      <c r="F282" s="352">
        <v>6</v>
      </c>
      <c r="G282" s="348" t="s">
        <v>341</v>
      </c>
      <c r="H282" s="424" t="s">
        <v>736</v>
      </c>
      <c r="I282" s="350" t="s">
        <v>393</v>
      </c>
      <c r="J282" s="375">
        <v>88500</v>
      </c>
      <c r="K282" s="350" t="s">
        <v>394</v>
      </c>
      <c r="L282" s="354">
        <v>2802.3999950000002</v>
      </c>
      <c r="M282" s="375">
        <f t="shared" si="5"/>
        <v>31.580074278440037</v>
      </c>
      <c r="N282" s="354" t="s">
        <v>395</v>
      </c>
      <c r="O282" s="354">
        <v>0</v>
      </c>
      <c r="P282" s="355" t="s">
        <v>396</v>
      </c>
      <c r="Q282" s="354" t="s">
        <v>397</v>
      </c>
      <c r="R282" s="353">
        <v>0</v>
      </c>
      <c r="S282" s="353">
        <v>0</v>
      </c>
      <c r="T282" s="353">
        <v>0</v>
      </c>
      <c r="U282" s="353">
        <v>0</v>
      </c>
      <c r="V282" s="353">
        <v>0</v>
      </c>
      <c r="W282" s="353">
        <v>0</v>
      </c>
    </row>
    <row r="283" spans="1:23" x14ac:dyDescent="0.25">
      <c r="A283" s="348" t="s">
        <v>737</v>
      </c>
      <c r="B283" s="349">
        <v>38</v>
      </c>
      <c r="C283" s="380">
        <v>45107</v>
      </c>
      <c r="D283" s="351">
        <v>45089</v>
      </c>
      <c r="E283" s="352"/>
      <c r="F283" s="352">
        <v>6</v>
      </c>
      <c r="G283" s="348" t="s">
        <v>342</v>
      </c>
      <c r="H283" s="424" t="s">
        <v>738</v>
      </c>
      <c r="I283" s="350" t="s">
        <v>393</v>
      </c>
      <c r="J283" s="375">
        <f>2823.97*70.82</f>
        <v>199993.55539999995</v>
      </c>
      <c r="K283" s="350" t="s">
        <v>394</v>
      </c>
      <c r="L283" s="354">
        <v>2823.97</v>
      </c>
      <c r="M283" s="375">
        <f t="shared" si="5"/>
        <v>70.819999999999993</v>
      </c>
      <c r="N283" s="354" t="s">
        <v>395</v>
      </c>
      <c r="O283" s="354">
        <v>0</v>
      </c>
      <c r="P283" s="355" t="s">
        <v>396</v>
      </c>
      <c r="Q283" s="354" t="s">
        <v>397</v>
      </c>
      <c r="R283" s="353">
        <v>0</v>
      </c>
      <c r="S283" s="353">
        <v>0</v>
      </c>
      <c r="T283" s="353">
        <v>0</v>
      </c>
      <c r="U283" s="353">
        <v>0</v>
      </c>
      <c r="V283" s="353">
        <v>0</v>
      </c>
      <c r="W283" s="353">
        <v>0</v>
      </c>
    </row>
    <row r="284" spans="1:23" x14ac:dyDescent="0.25">
      <c r="A284" s="348" t="s">
        <v>737</v>
      </c>
      <c r="B284" s="349">
        <v>38</v>
      </c>
      <c r="C284" s="380">
        <v>45107</v>
      </c>
      <c r="D284" s="351">
        <v>45107</v>
      </c>
      <c r="E284" s="352"/>
      <c r="F284" s="352">
        <v>6</v>
      </c>
      <c r="G284" s="348" t="s">
        <v>342</v>
      </c>
      <c r="H284" s="424" t="s">
        <v>739</v>
      </c>
      <c r="I284" s="350" t="s">
        <v>393</v>
      </c>
      <c r="J284" s="375">
        <f>3000+3039+6000+6000+3036+10000</f>
        <v>31075</v>
      </c>
      <c r="K284" s="350" t="s">
        <v>394</v>
      </c>
      <c r="L284" s="354">
        <v>2802.3999950000002</v>
      </c>
      <c r="M284" s="375">
        <f t="shared" si="5"/>
        <v>11.088709697203663</v>
      </c>
      <c r="N284" s="354" t="s">
        <v>395</v>
      </c>
      <c r="O284" s="354">
        <v>0</v>
      </c>
      <c r="P284" s="355" t="s">
        <v>396</v>
      </c>
      <c r="Q284" s="354" t="s">
        <v>397</v>
      </c>
      <c r="R284" s="353">
        <v>0</v>
      </c>
      <c r="S284" s="353">
        <v>0</v>
      </c>
      <c r="T284" s="353">
        <v>0</v>
      </c>
      <c r="U284" s="353">
        <v>0</v>
      </c>
      <c r="V284" s="353">
        <v>0</v>
      </c>
      <c r="W284" s="353">
        <v>0</v>
      </c>
    </row>
    <row r="285" spans="1:23" x14ac:dyDescent="0.25">
      <c r="A285" s="348" t="s">
        <v>752</v>
      </c>
      <c r="B285" s="349">
        <v>4</v>
      </c>
      <c r="C285" s="380">
        <v>45078</v>
      </c>
      <c r="D285" s="351">
        <v>45107</v>
      </c>
      <c r="E285" s="352"/>
      <c r="F285" s="352">
        <v>6</v>
      </c>
      <c r="G285" s="352" t="s">
        <v>331</v>
      </c>
      <c r="H285" s="424" t="s">
        <v>753</v>
      </c>
      <c r="I285" s="350" t="s">
        <v>393</v>
      </c>
      <c r="J285" s="375">
        <f>155855</f>
        <v>155855</v>
      </c>
      <c r="K285" s="350" t="s">
        <v>394</v>
      </c>
      <c r="L285" s="354">
        <v>2803.6597999999999</v>
      </c>
      <c r="M285" s="375">
        <f>+J285/L285</f>
        <v>55.589840108275624</v>
      </c>
      <c r="N285" s="354" t="s">
        <v>395</v>
      </c>
      <c r="O285" s="354">
        <v>0</v>
      </c>
      <c r="P285" s="355" t="s">
        <v>396</v>
      </c>
      <c r="Q285" s="354" t="s">
        <v>346</v>
      </c>
      <c r="R285" s="353">
        <v>0</v>
      </c>
      <c r="S285" s="353">
        <v>0</v>
      </c>
      <c r="T285" s="353">
        <v>0</v>
      </c>
      <c r="U285" s="353">
        <v>0</v>
      </c>
      <c r="V285" s="353">
        <v>0</v>
      </c>
      <c r="W285" s="353">
        <v>0</v>
      </c>
    </row>
    <row r="286" spans="1:23" x14ac:dyDescent="0.25">
      <c r="A286" s="348" t="s">
        <v>754</v>
      </c>
      <c r="B286" s="349">
        <v>5</v>
      </c>
      <c r="C286" s="380">
        <v>45078</v>
      </c>
      <c r="D286" s="351">
        <v>45107</v>
      </c>
      <c r="E286" s="352"/>
      <c r="F286" s="352">
        <v>6</v>
      </c>
      <c r="G286" s="352" t="s">
        <v>334</v>
      </c>
      <c r="H286" s="424" t="s">
        <v>326</v>
      </c>
      <c r="I286" s="350" t="s">
        <v>393</v>
      </c>
      <c r="J286" s="375">
        <f>747500</f>
        <v>747500</v>
      </c>
      <c r="K286" s="350" t="s">
        <v>394</v>
      </c>
      <c r="L286" s="354">
        <v>2803.6597999999999</v>
      </c>
      <c r="M286" s="375">
        <f>+J286/L286</f>
        <v>266.61579981993538</v>
      </c>
      <c r="N286" s="354" t="s">
        <v>395</v>
      </c>
      <c r="O286" s="354">
        <v>0</v>
      </c>
      <c r="P286" s="355" t="s">
        <v>396</v>
      </c>
      <c r="Q286" s="354" t="s">
        <v>346</v>
      </c>
      <c r="R286" s="353">
        <v>0</v>
      </c>
      <c r="S286" s="353">
        <v>0</v>
      </c>
      <c r="T286" s="353">
        <v>0</v>
      </c>
      <c r="U286" s="353">
        <v>0</v>
      </c>
      <c r="V286" s="353">
        <v>0</v>
      </c>
      <c r="W286" s="353">
        <v>0</v>
      </c>
    </row>
    <row r="287" spans="1:23" x14ac:dyDescent="0.25">
      <c r="A287" s="348" t="s">
        <v>755</v>
      </c>
      <c r="B287" s="349">
        <v>6</v>
      </c>
      <c r="C287" s="380">
        <v>45078</v>
      </c>
      <c r="D287" s="351">
        <v>45107</v>
      </c>
      <c r="E287" s="352"/>
      <c r="F287" s="352">
        <v>6</v>
      </c>
      <c r="G287" s="352" t="s">
        <v>332</v>
      </c>
      <c r="H287" s="424" t="s">
        <v>756</v>
      </c>
      <c r="I287" s="350" t="s">
        <v>393</v>
      </c>
      <c r="J287" s="375">
        <f>870000</f>
        <v>870000</v>
      </c>
      <c r="K287" s="350" t="s">
        <v>394</v>
      </c>
      <c r="L287" s="354">
        <v>2803.6597999999999</v>
      </c>
      <c r="M287" s="375">
        <f>+J287/L287</f>
        <v>310.30869009142981</v>
      </c>
      <c r="N287" s="354" t="s">
        <v>395</v>
      </c>
      <c r="O287" s="354">
        <v>0</v>
      </c>
      <c r="P287" s="355" t="s">
        <v>396</v>
      </c>
      <c r="Q287" s="354" t="s">
        <v>346</v>
      </c>
      <c r="R287" s="353">
        <v>0</v>
      </c>
      <c r="S287" s="353">
        <v>0</v>
      </c>
      <c r="T287" s="353">
        <v>0</v>
      </c>
      <c r="U287" s="353">
        <v>0</v>
      </c>
      <c r="V287" s="353">
        <v>0</v>
      </c>
      <c r="W287" s="353">
        <v>0</v>
      </c>
    </row>
    <row r="288" spans="1:23" x14ac:dyDescent="0.25">
      <c r="A288" s="348" t="s">
        <v>757</v>
      </c>
      <c r="B288" s="349">
        <v>7</v>
      </c>
      <c r="C288" s="380">
        <v>45078</v>
      </c>
      <c r="D288" s="351">
        <v>45107</v>
      </c>
      <c r="E288" s="352"/>
      <c r="F288" s="352">
        <v>6</v>
      </c>
      <c r="G288" s="352" t="s">
        <v>329</v>
      </c>
      <c r="H288" s="424" t="s">
        <v>758</v>
      </c>
      <c r="I288" s="350" t="s">
        <v>393</v>
      </c>
      <c r="J288" s="375">
        <v>4050000</v>
      </c>
      <c r="K288" s="350" t="s">
        <v>394</v>
      </c>
      <c r="L288" s="354">
        <v>2803.6597999999999</v>
      </c>
      <c r="M288" s="375">
        <f>+J288/L288</f>
        <v>1444.5404538738974</v>
      </c>
      <c r="N288" s="354" t="s">
        <v>395</v>
      </c>
      <c r="O288" s="354">
        <v>0</v>
      </c>
      <c r="P288" s="355" t="s">
        <v>396</v>
      </c>
      <c r="Q288" s="354" t="s">
        <v>346</v>
      </c>
      <c r="R288" s="353">
        <v>0</v>
      </c>
      <c r="S288" s="353">
        <v>0</v>
      </c>
      <c r="T288" s="353">
        <v>0</v>
      </c>
      <c r="U288" s="353">
        <v>0</v>
      </c>
      <c r="V288" s="353">
        <v>0</v>
      </c>
      <c r="W288" s="353">
        <v>0</v>
      </c>
    </row>
    <row r="289" spans="1:23" x14ac:dyDescent="0.25">
      <c r="A289" s="348" t="s">
        <v>759</v>
      </c>
      <c r="B289" s="349">
        <v>8</v>
      </c>
      <c r="C289" s="380">
        <v>45078</v>
      </c>
      <c r="D289" s="351">
        <v>45107</v>
      </c>
      <c r="E289" s="352"/>
      <c r="F289" s="352">
        <v>6</v>
      </c>
      <c r="G289" s="429" t="s">
        <v>306</v>
      </c>
      <c r="H289" s="353" t="s">
        <v>760</v>
      </c>
      <c r="I289" s="350" t="s">
        <v>393</v>
      </c>
      <c r="J289" s="375">
        <v>280972</v>
      </c>
      <c r="K289" s="350" t="s">
        <v>394</v>
      </c>
      <c r="L289" s="354">
        <v>2803.6597999999999</v>
      </c>
      <c r="M289" s="375">
        <f>+J289/L289</f>
        <v>100.21615318663127</v>
      </c>
      <c r="N289" s="354" t="s">
        <v>395</v>
      </c>
      <c r="O289" s="354">
        <v>0</v>
      </c>
      <c r="P289" s="355" t="s">
        <v>396</v>
      </c>
      <c r="Q289" s="354" t="s">
        <v>346</v>
      </c>
      <c r="R289" s="353">
        <v>0</v>
      </c>
      <c r="S289" s="353">
        <v>0</v>
      </c>
      <c r="T289" s="353">
        <v>0</v>
      </c>
      <c r="U289" s="353">
        <v>0</v>
      </c>
      <c r="V289" s="353">
        <v>0</v>
      </c>
      <c r="W289" s="353">
        <v>0</v>
      </c>
    </row>
    <row r="290" spans="1:23" x14ac:dyDescent="0.25">
      <c r="A290" s="348" t="s">
        <v>761</v>
      </c>
      <c r="B290" s="349">
        <v>8</v>
      </c>
      <c r="C290" s="380">
        <v>45078</v>
      </c>
      <c r="D290" s="351">
        <v>45107</v>
      </c>
      <c r="E290" s="352"/>
      <c r="F290" s="352">
        <v>6</v>
      </c>
      <c r="G290" s="429" t="s">
        <v>306</v>
      </c>
      <c r="H290" s="353" t="s">
        <v>762</v>
      </c>
      <c r="I290" s="350" t="s">
        <v>393</v>
      </c>
      <c r="J290" s="375">
        <v>280972</v>
      </c>
      <c r="K290" s="350" t="s">
        <v>394</v>
      </c>
      <c r="L290" s="354">
        <v>2803.6597999999999</v>
      </c>
      <c r="M290" s="375">
        <f t="shared" ref="M290:M294" si="6">+J290/L290</f>
        <v>100.21615318663127</v>
      </c>
      <c r="N290" s="354" t="s">
        <v>395</v>
      </c>
      <c r="O290" s="354">
        <v>0</v>
      </c>
      <c r="P290" s="355" t="s">
        <v>396</v>
      </c>
      <c r="Q290" s="354" t="s">
        <v>346</v>
      </c>
      <c r="R290" s="353">
        <v>0</v>
      </c>
      <c r="S290" s="353">
        <v>0</v>
      </c>
      <c r="T290" s="353">
        <v>0</v>
      </c>
      <c r="U290" s="353">
        <v>0</v>
      </c>
      <c r="V290" s="353">
        <v>0</v>
      </c>
      <c r="W290" s="353">
        <v>0</v>
      </c>
    </row>
    <row r="291" spans="1:23" x14ac:dyDescent="0.25">
      <c r="A291" s="348" t="s">
        <v>763</v>
      </c>
      <c r="B291" s="349">
        <v>8</v>
      </c>
      <c r="C291" s="380">
        <v>45078</v>
      </c>
      <c r="D291" s="351">
        <v>45107</v>
      </c>
      <c r="E291" s="352"/>
      <c r="F291" s="352">
        <v>6</v>
      </c>
      <c r="G291" s="429" t="s">
        <v>306</v>
      </c>
      <c r="H291" s="353" t="s">
        <v>764</v>
      </c>
      <c r="I291" s="350" t="s">
        <v>393</v>
      </c>
      <c r="J291" s="375">
        <v>280972</v>
      </c>
      <c r="K291" s="350" t="s">
        <v>394</v>
      </c>
      <c r="L291" s="354">
        <v>2803.6597999999999</v>
      </c>
      <c r="M291" s="375">
        <f t="shared" si="6"/>
        <v>100.21615318663127</v>
      </c>
      <c r="N291" s="354" t="s">
        <v>395</v>
      </c>
      <c r="O291" s="354">
        <v>0</v>
      </c>
      <c r="P291" s="355" t="s">
        <v>396</v>
      </c>
      <c r="Q291" s="354" t="s">
        <v>346</v>
      </c>
      <c r="R291" s="353">
        <v>0</v>
      </c>
      <c r="S291" s="353">
        <v>0</v>
      </c>
      <c r="T291" s="353">
        <v>0</v>
      </c>
      <c r="U291" s="353">
        <v>0</v>
      </c>
      <c r="V291" s="353">
        <v>0</v>
      </c>
      <c r="W291" s="353">
        <v>0</v>
      </c>
    </row>
    <row r="292" spans="1:23" x14ac:dyDescent="0.25">
      <c r="A292" s="348" t="s">
        <v>765</v>
      </c>
      <c r="B292" s="349">
        <v>8</v>
      </c>
      <c r="C292" s="380">
        <v>45078</v>
      </c>
      <c r="D292" s="351">
        <v>45107</v>
      </c>
      <c r="E292" s="352"/>
      <c r="F292" s="352">
        <v>6</v>
      </c>
      <c r="G292" s="429" t="s">
        <v>306</v>
      </c>
      <c r="H292" s="353" t="s">
        <v>766</v>
      </c>
      <c r="I292" s="350" t="s">
        <v>393</v>
      </c>
      <c r="J292" s="375">
        <v>280972</v>
      </c>
      <c r="K292" s="350" t="s">
        <v>394</v>
      </c>
      <c r="L292" s="354">
        <v>2803.6597999999999</v>
      </c>
      <c r="M292" s="375">
        <f t="shared" si="6"/>
        <v>100.21615318663127</v>
      </c>
      <c r="N292" s="354" t="s">
        <v>395</v>
      </c>
      <c r="O292" s="354">
        <v>0</v>
      </c>
      <c r="P292" s="355" t="s">
        <v>396</v>
      </c>
      <c r="Q292" s="354" t="s">
        <v>346</v>
      </c>
      <c r="R292" s="353">
        <v>0</v>
      </c>
      <c r="S292" s="353">
        <v>0</v>
      </c>
      <c r="T292" s="353">
        <v>0</v>
      </c>
      <c r="U292" s="353">
        <v>0</v>
      </c>
      <c r="V292" s="353">
        <v>0</v>
      </c>
      <c r="W292" s="353">
        <v>0</v>
      </c>
    </row>
    <row r="293" spans="1:23" x14ac:dyDescent="0.25">
      <c r="A293" s="348" t="s">
        <v>767</v>
      </c>
      <c r="B293" s="349">
        <v>8</v>
      </c>
      <c r="C293" s="380">
        <v>45078</v>
      </c>
      <c r="D293" s="351">
        <v>45107</v>
      </c>
      <c r="E293" s="352"/>
      <c r="F293" s="352">
        <v>6</v>
      </c>
      <c r="G293" s="429" t="s">
        <v>306</v>
      </c>
      <c r="H293" s="353" t="s">
        <v>768</v>
      </c>
      <c r="I293" s="350" t="s">
        <v>393</v>
      </c>
      <c r="J293" s="375">
        <v>280972</v>
      </c>
      <c r="K293" s="350" t="s">
        <v>394</v>
      </c>
      <c r="L293" s="354">
        <v>2803.6597999999999</v>
      </c>
      <c r="M293" s="375">
        <f t="shared" si="6"/>
        <v>100.21615318663127</v>
      </c>
      <c r="N293" s="354" t="s">
        <v>395</v>
      </c>
      <c r="O293" s="354">
        <v>0</v>
      </c>
      <c r="P293" s="355" t="s">
        <v>396</v>
      </c>
      <c r="Q293" s="354" t="s">
        <v>346</v>
      </c>
      <c r="R293" s="353">
        <v>0</v>
      </c>
      <c r="S293" s="353">
        <v>0</v>
      </c>
      <c r="T293" s="353">
        <v>0</v>
      </c>
      <c r="U293" s="353">
        <v>0</v>
      </c>
      <c r="V293" s="353">
        <v>0</v>
      </c>
      <c r="W293" s="353">
        <v>0</v>
      </c>
    </row>
    <row r="294" spans="1:23" x14ac:dyDescent="0.25">
      <c r="A294" s="348" t="s">
        <v>769</v>
      </c>
      <c r="B294" s="349">
        <v>8</v>
      </c>
      <c r="C294" s="380">
        <v>45078</v>
      </c>
      <c r="D294" s="351">
        <v>45107</v>
      </c>
      <c r="E294" s="352"/>
      <c r="F294" s="352">
        <v>6</v>
      </c>
      <c r="G294" s="429" t="s">
        <v>306</v>
      </c>
      <c r="H294" s="353" t="s">
        <v>770</v>
      </c>
      <c r="I294" s="350" t="s">
        <v>393</v>
      </c>
      <c r="J294" s="375">
        <v>280972</v>
      </c>
      <c r="K294" s="350" t="s">
        <v>394</v>
      </c>
      <c r="L294" s="354">
        <v>2803.6597999999999</v>
      </c>
      <c r="M294" s="375">
        <f t="shared" si="6"/>
        <v>100.21615318663127</v>
      </c>
      <c r="N294" s="354" t="s">
        <v>395</v>
      </c>
      <c r="O294" s="354">
        <v>0</v>
      </c>
      <c r="P294" s="355" t="s">
        <v>396</v>
      </c>
      <c r="Q294" s="354" t="s">
        <v>346</v>
      </c>
      <c r="R294" s="353">
        <v>0</v>
      </c>
      <c r="S294" s="353">
        <v>0</v>
      </c>
      <c r="T294" s="353">
        <v>0</v>
      </c>
      <c r="U294" s="353">
        <v>0</v>
      </c>
      <c r="V294" s="353">
        <v>0</v>
      </c>
      <c r="W294" s="353">
        <v>0</v>
      </c>
    </row>
    <row r="295" spans="1:23" x14ac:dyDescent="0.25">
      <c r="A295" s="348" t="s">
        <v>759</v>
      </c>
      <c r="B295" s="349">
        <v>8</v>
      </c>
      <c r="C295" s="380">
        <v>45078</v>
      </c>
      <c r="D295" s="351">
        <v>45107</v>
      </c>
      <c r="E295" s="352"/>
      <c r="F295" s="352">
        <v>6</v>
      </c>
      <c r="G295" s="429" t="s">
        <v>307</v>
      </c>
      <c r="H295" s="353" t="s">
        <v>771</v>
      </c>
      <c r="I295" s="350" t="s">
        <v>393</v>
      </c>
      <c r="J295" s="375">
        <v>152000</v>
      </c>
      <c r="K295" s="350" t="s">
        <v>394</v>
      </c>
      <c r="L295" s="354">
        <v>2803.6597999999999</v>
      </c>
      <c r="M295" s="375">
        <f>+J295/L295</f>
        <v>54.214851602180836</v>
      </c>
      <c r="N295" s="354" t="s">
        <v>395</v>
      </c>
      <c r="O295" s="354">
        <v>0</v>
      </c>
      <c r="P295" s="355" t="s">
        <v>396</v>
      </c>
      <c r="Q295" s="354" t="s">
        <v>346</v>
      </c>
      <c r="R295" s="353">
        <v>0</v>
      </c>
      <c r="S295" s="353">
        <v>0</v>
      </c>
      <c r="T295" s="353">
        <v>0</v>
      </c>
      <c r="U295" s="353">
        <v>0</v>
      </c>
      <c r="V295" s="353">
        <v>0</v>
      </c>
      <c r="W295" s="353">
        <v>0</v>
      </c>
    </row>
    <row r="296" spans="1:23" x14ac:dyDescent="0.25">
      <c r="A296" s="348" t="s">
        <v>761</v>
      </c>
      <c r="B296" s="349">
        <v>8</v>
      </c>
      <c r="C296" s="380">
        <v>45078</v>
      </c>
      <c r="D296" s="351">
        <v>45107</v>
      </c>
      <c r="E296" s="352"/>
      <c r="F296" s="352">
        <v>6</v>
      </c>
      <c r="G296" s="429" t="s">
        <v>307</v>
      </c>
      <c r="H296" s="353" t="s">
        <v>772</v>
      </c>
      <c r="I296" s="350" t="s">
        <v>393</v>
      </c>
      <c r="J296" s="375">
        <v>152000</v>
      </c>
      <c r="K296" s="350" t="s">
        <v>394</v>
      </c>
      <c r="L296" s="354">
        <v>2803.6597999999999</v>
      </c>
      <c r="M296" s="375">
        <f t="shared" ref="M296:M300" si="7">+J296/L296</f>
        <v>54.214851602180836</v>
      </c>
      <c r="N296" s="354" t="s">
        <v>395</v>
      </c>
      <c r="O296" s="354">
        <v>0</v>
      </c>
      <c r="P296" s="355" t="s">
        <v>396</v>
      </c>
      <c r="Q296" s="354" t="s">
        <v>346</v>
      </c>
      <c r="R296" s="353">
        <v>0</v>
      </c>
      <c r="S296" s="353">
        <v>0</v>
      </c>
      <c r="T296" s="353">
        <v>0</v>
      </c>
      <c r="U296" s="353">
        <v>0</v>
      </c>
      <c r="V296" s="353">
        <v>0</v>
      </c>
      <c r="W296" s="353">
        <v>0</v>
      </c>
    </row>
    <row r="297" spans="1:23" x14ac:dyDescent="0.25">
      <c r="A297" s="348" t="s">
        <v>763</v>
      </c>
      <c r="B297" s="349">
        <v>8</v>
      </c>
      <c r="C297" s="380">
        <v>45078</v>
      </c>
      <c r="D297" s="351">
        <v>45107</v>
      </c>
      <c r="E297" s="352"/>
      <c r="F297" s="352">
        <v>6</v>
      </c>
      <c r="G297" s="429" t="s">
        <v>307</v>
      </c>
      <c r="H297" s="353" t="s">
        <v>773</v>
      </c>
      <c r="I297" s="350" t="s">
        <v>393</v>
      </c>
      <c r="J297" s="375">
        <v>152000</v>
      </c>
      <c r="K297" s="350" t="s">
        <v>394</v>
      </c>
      <c r="L297" s="354">
        <v>2803.6597999999999</v>
      </c>
      <c r="M297" s="375">
        <f t="shared" si="7"/>
        <v>54.214851602180836</v>
      </c>
      <c r="N297" s="354" t="s">
        <v>395</v>
      </c>
      <c r="O297" s="354">
        <v>0</v>
      </c>
      <c r="P297" s="355" t="s">
        <v>396</v>
      </c>
      <c r="Q297" s="354" t="s">
        <v>346</v>
      </c>
      <c r="R297" s="353">
        <v>0</v>
      </c>
      <c r="S297" s="353">
        <v>0</v>
      </c>
      <c r="T297" s="353">
        <v>0</v>
      </c>
      <c r="U297" s="353">
        <v>0</v>
      </c>
      <c r="V297" s="353">
        <v>0</v>
      </c>
      <c r="W297" s="353">
        <v>0</v>
      </c>
    </row>
    <row r="298" spans="1:23" x14ac:dyDescent="0.25">
      <c r="A298" s="348" t="s">
        <v>765</v>
      </c>
      <c r="B298" s="349">
        <v>8</v>
      </c>
      <c r="C298" s="380">
        <v>45078</v>
      </c>
      <c r="D298" s="351">
        <v>45107</v>
      </c>
      <c r="E298" s="352"/>
      <c r="F298" s="352">
        <v>6</v>
      </c>
      <c r="G298" s="429" t="s">
        <v>307</v>
      </c>
      <c r="H298" s="353" t="s">
        <v>774</v>
      </c>
      <c r="I298" s="350" t="s">
        <v>393</v>
      </c>
      <c r="J298" s="375">
        <v>152000</v>
      </c>
      <c r="K298" s="350" t="s">
        <v>394</v>
      </c>
      <c r="L298" s="354">
        <v>2803.6597999999999</v>
      </c>
      <c r="M298" s="375">
        <f t="shared" si="7"/>
        <v>54.214851602180836</v>
      </c>
      <c r="N298" s="354" t="s">
        <v>395</v>
      </c>
      <c r="O298" s="354">
        <v>0</v>
      </c>
      <c r="P298" s="355" t="s">
        <v>396</v>
      </c>
      <c r="Q298" s="354" t="s">
        <v>346</v>
      </c>
      <c r="R298" s="353">
        <v>0</v>
      </c>
      <c r="S298" s="353">
        <v>0</v>
      </c>
      <c r="T298" s="353">
        <v>0</v>
      </c>
      <c r="U298" s="353">
        <v>0</v>
      </c>
      <c r="V298" s="353">
        <v>0</v>
      </c>
      <c r="W298" s="353">
        <v>0</v>
      </c>
    </row>
    <row r="299" spans="1:23" x14ac:dyDescent="0.25">
      <c r="A299" s="348" t="s">
        <v>767</v>
      </c>
      <c r="B299" s="349">
        <v>8</v>
      </c>
      <c r="C299" s="380">
        <v>45078</v>
      </c>
      <c r="D299" s="351">
        <v>45107</v>
      </c>
      <c r="E299" s="352"/>
      <c r="F299" s="352">
        <v>6</v>
      </c>
      <c r="G299" s="429" t="s">
        <v>307</v>
      </c>
      <c r="H299" s="353" t="s">
        <v>775</v>
      </c>
      <c r="I299" s="350" t="s">
        <v>393</v>
      </c>
      <c r="J299" s="375">
        <v>152000</v>
      </c>
      <c r="K299" s="350" t="s">
        <v>394</v>
      </c>
      <c r="L299" s="354">
        <v>2803.6597999999999</v>
      </c>
      <c r="M299" s="375">
        <f t="shared" si="7"/>
        <v>54.214851602180836</v>
      </c>
      <c r="N299" s="354" t="s">
        <v>395</v>
      </c>
      <c r="O299" s="354">
        <v>0</v>
      </c>
      <c r="P299" s="355" t="s">
        <v>396</v>
      </c>
      <c r="Q299" s="354" t="s">
        <v>346</v>
      </c>
      <c r="R299" s="353">
        <v>0</v>
      </c>
      <c r="S299" s="353">
        <v>0</v>
      </c>
      <c r="T299" s="353">
        <v>0</v>
      </c>
      <c r="U299" s="353">
        <v>0</v>
      </c>
      <c r="V299" s="353">
        <v>0</v>
      </c>
      <c r="W299" s="353">
        <v>0</v>
      </c>
    </row>
    <row r="300" spans="1:23" x14ac:dyDescent="0.25">
      <c r="A300" s="348" t="s">
        <v>769</v>
      </c>
      <c r="B300" s="349">
        <v>8</v>
      </c>
      <c r="C300" s="380">
        <v>45078</v>
      </c>
      <c r="D300" s="351">
        <v>45107</v>
      </c>
      <c r="E300" s="352"/>
      <c r="F300" s="352">
        <v>6</v>
      </c>
      <c r="G300" s="429" t="s">
        <v>307</v>
      </c>
      <c r="H300" s="353" t="s">
        <v>776</v>
      </c>
      <c r="I300" s="350" t="s">
        <v>393</v>
      </c>
      <c r="J300" s="375">
        <v>152000</v>
      </c>
      <c r="K300" s="350" t="s">
        <v>394</v>
      </c>
      <c r="L300" s="354">
        <v>2803.6597999999999</v>
      </c>
      <c r="M300" s="375">
        <f t="shared" si="7"/>
        <v>54.214851602180836</v>
      </c>
      <c r="N300" s="354" t="s">
        <v>395</v>
      </c>
      <c r="O300" s="354">
        <v>0</v>
      </c>
      <c r="P300" s="355" t="s">
        <v>396</v>
      </c>
      <c r="Q300" s="354" t="s">
        <v>346</v>
      </c>
      <c r="R300" s="353">
        <v>0</v>
      </c>
      <c r="S300" s="353">
        <v>0</v>
      </c>
      <c r="T300" s="353">
        <v>0</v>
      </c>
      <c r="U300" s="353">
        <v>0</v>
      </c>
      <c r="V300" s="353">
        <v>0</v>
      </c>
      <c r="W300" s="353">
        <v>0</v>
      </c>
    </row>
    <row r="301" spans="1:23" x14ac:dyDescent="0.25">
      <c r="A301" s="348" t="s">
        <v>759</v>
      </c>
      <c r="B301" s="349">
        <v>8</v>
      </c>
      <c r="C301" s="380">
        <v>45078</v>
      </c>
      <c r="D301" s="351">
        <v>45107</v>
      </c>
      <c r="E301" s="352"/>
      <c r="F301" s="352">
        <v>6</v>
      </c>
      <c r="G301" s="429" t="s">
        <v>308</v>
      </c>
      <c r="H301" s="353" t="s">
        <v>777</v>
      </c>
      <c r="I301" s="350" t="s">
        <v>393</v>
      </c>
      <c r="J301" s="375">
        <v>281314</v>
      </c>
      <c r="K301" s="350" t="s">
        <v>394</v>
      </c>
      <c r="L301" s="354">
        <v>2803.6597999999999</v>
      </c>
      <c r="M301" s="375">
        <f>+J301/L301</f>
        <v>100.33813660273618</v>
      </c>
      <c r="N301" s="354" t="s">
        <v>395</v>
      </c>
      <c r="O301" s="354">
        <v>0</v>
      </c>
      <c r="P301" s="355" t="s">
        <v>396</v>
      </c>
      <c r="Q301" s="354" t="s">
        <v>346</v>
      </c>
      <c r="R301" s="353">
        <v>0</v>
      </c>
      <c r="S301" s="353">
        <v>0</v>
      </c>
      <c r="T301" s="353">
        <v>0</v>
      </c>
      <c r="U301" s="353">
        <v>0</v>
      </c>
      <c r="V301" s="353">
        <v>0</v>
      </c>
      <c r="W301" s="353">
        <v>0</v>
      </c>
    </row>
    <row r="302" spans="1:23" x14ac:dyDescent="0.25">
      <c r="A302" s="348" t="s">
        <v>761</v>
      </c>
      <c r="B302" s="349">
        <v>8</v>
      </c>
      <c r="C302" s="380">
        <v>45078</v>
      </c>
      <c r="D302" s="351">
        <v>45107</v>
      </c>
      <c r="E302" s="352"/>
      <c r="F302" s="352">
        <v>6</v>
      </c>
      <c r="G302" s="429" t="s">
        <v>308</v>
      </c>
      <c r="H302" s="353" t="s">
        <v>778</v>
      </c>
      <c r="I302" s="350" t="s">
        <v>393</v>
      </c>
      <c r="J302" s="375">
        <v>281314</v>
      </c>
      <c r="K302" s="350" t="s">
        <v>394</v>
      </c>
      <c r="L302" s="354">
        <v>2803.6597999999999</v>
      </c>
      <c r="M302" s="375">
        <f>+J302/L302</f>
        <v>100.33813660273618</v>
      </c>
      <c r="N302" s="354" t="s">
        <v>395</v>
      </c>
      <c r="O302" s="354">
        <v>0</v>
      </c>
      <c r="P302" s="355" t="s">
        <v>396</v>
      </c>
      <c r="Q302" s="354" t="s">
        <v>346</v>
      </c>
      <c r="R302" s="353">
        <v>0</v>
      </c>
      <c r="S302" s="353">
        <v>0</v>
      </c>
      <c r="T302" s="353">
        <v>0</v>
      </c>
      <c r="U302" s="353">
        <v>0</v>
      </c>
      <c r="V302" s="353">
        <v>0</v>
      </c>
      <c r="W302" s="353">
        <v>0</v>
      </c>
    </row>
    <row r="303" spans="1:23" x14ac:dyDescent="0.25">
      <c r="A303" s="348" t="s">
        <v>763</v>
      </c>
      <c r="B303" s="349">
        <v>8</v>
      </c>
      <c r="C303" s="380">
        <v>45078</v>
      </c>
      <c r="D303" s="351">
        <v>45107</v>
      </c>
      <c r="E303" s="352"/>
      <c r="F303" s="352">
        <v>6</v>
      </c>
      <c r="G303" s="429" t="s">
        <v>308</v>
      </c>
      <c r="H303" s="353" t="s">
        <v>779</v>
      </c>
      <c r="I303" s="350" t="s">
        <v>393</v>
      </c>
      <c r="J303" s="375">
        <v>281314</v>
      </c>
      <c r="K303" s="350" t="s">
        <v>394</v>
      </c>
      <c r="L303" s="354">
        <v>2803.6597999999999</v>
      </c>
      <c r="M303" s="375">
        <f>+J303/L303</f>
        <v>100.33813660273618</v>
      </c>
      <c r="N303" s="354" t="s">
        <v>395</v>
      </c>
      <c r="O303" s="354">
        <v>0</v>
      </c>
      <c r="P303" s="355" t="s">
        <v>396</v>
      </c>
      <c r="Q303" s="354" t="s">
        <v>346</v>
      </c>
      <c r="R303" s="353">
        <v>0</v>
      </c>
      <c r="S303" s="353">
        <v>0</v>
      </c>
      <c r="T303" s="353">
        <v>0</v>
      </c>
      <c r="U303" s="353">
        <v>0</v>
      </c>
      <c r="V303" s="353">
        <v>0</v>
      </c>
      <c r="W303" s="353">
        <v>0</v>
      </c>
    </row>
    <row r="304" spans="1:23" x14ac:dyDescent="0.25">
      <c r="A304" s="348" t="s">
        <v>765</v>
      </c>
      <c r="B304" s="349">
        <v>8</v>
      </c>
      <c r="C304" s="380">
        <v>45078</v>
      </c>
      <c r="D304" s="351">
        <v>45107</v>
      </c>
      <c r="E304" s="352"/>
      <c r="F304" s="352">
        <v>6</v>
      </c>
      <c r="G304" s="429" t="s">
        <v>308</v>
      </c>
      <c r="H304" s="353" t="s">
        <v>780</v>
      </c>
      <c r="I304" s="350" t="s">
        <v>393</v>
      </c>
      <c r="J304" s="375">
        <v>281314</v>
      </c>
      <c r="K304" s="350" t="s">
        <v>394</v>
      </c>
      <c r="L304" s="354">
        <v>2803.6597999999999</v>
      </c>
      <c r="M304" s="375">
        <f>+J304/L304</f>
        <v>100.33813660273618</v>
      </c>
      <c r="N304" s="354" t="s">
        <v>395</v>
      </c>
      <c r="O304" s="354">
        <v>0</v>
      </c>
      <c r="P304" s="355" t="s">
        <v>396</v>
      </c>
      <c r="Q304" s="354" t="s">
        <v>346</v>
      </c>
      <c r="R304" s="353">
        <v>0</v>
      </c>
      <c r="S304" s="353">
        <v>0</v>
      </c>
      <c r="T304" s="353">
        <v>0</v>
      </c>
      <c r="U304" s="353">
        <v>0</v>
      </c>
      <c r="V304" s="353">
        <v>0</v>
      </c>
      <c r="W304" s="353">
        <v>0</v>
      </c>
    </row>
    <row r="305" spans="1:23" x14ac:dyDescent="0.25">
      <c r="A305" s="348" t="s">
        <v>767</v>
      </c>
      <c r="B305" s="349">
        <v>8</v>
      </c>
      <c r="C305" s="380">
        <v>45078</v>
      </c>
      <c r="D305" s="351">
        <v>45107</v>
      </c>
      <c r="E305" s="352"/>
      <c r="F305" s="352">
        <v>6</v>
      </c>
      <c r="G305" s="429" t="s">
        <v>308</v>
      </c>
      <c r="H305" s="353" t="s">
        <v>781</v>
      </c>
      <c r="I305" s="350" t="s">
        <v>393</v>
      </c>
      <c r="J305" s="375">
        <v>281314</v>
      </c>
      <c r="K305" s="350" t="s">
        <v>394</v>
      </c>
      <c r="L305" s="354">
        <v>2803.6597999999999</v>
      </c>
      <c r="M305" s="375">
        <f t="shared" ref="M305:M306" si="8">+J305/L305</f>
        <v>100.33813660273618</v>
      </c>
      <c r="N305" s="354" t="s">
        <v>395</v>
      </c>
      <c r="O305" s="354">
        <v>0</v>
      </c>
      <c r="P305" s="355" t="s">
        <v>396</v>
      </c>
      <c r="Q305" s="354" t="s">
        <v>346</v>
      </c>
      <c r="R305" s="353">
        <v>0</v>
      </c>
      <c r="S305" s="353">
        <v>0</v>
      </c>
      <c r="T305" s="353">
        <v>0</v>
      </c>
      <c r="U305" s="353">
        <v>0</v>
      </c>
      <c r="V305" s="353">
        <v>0</v>
      </c>
      <c r="W305" s="353">
        <v>0</v>
      </c>
    </row>
    <row r="306" spans="1:23" x14ac:dyDescent="0.25">
      <c r="A306" s="348" t="s">
        <v>769</v>
      </c>
      <c r="B306" s="349">
        <v>8</v>
      </c>
      <c r="C306" s="380">
        <v>45078</v>
      </c>
      <c r="D306" s="351">
        <v>45107</v>
      </c>
      <c r="E306" s="352"/>
      <c r="F306" s="352">
        <v>6</v>
      </c>
      <c r="G306" s="429" t="s">
        <v>308</v>
      </c>
      <c r="H306" s="353" t="s">
        <v>782</v>
      </c>
      <c r="I306" s="350" t="s">
        <v>393</v>
      </c>
      <c r="J306" s="375">
        <v>281314</v>
      </c>
      <c r="K306" s="350" t="s">
        <v>394</v>
      </c>
      <c r="L306" s="354">
        <v>2803.6597999999999</v>
      </c>
      <c r="M306" s="375">
        <f t="shared" si="8"/>
        <v>100.33813660273618</v>
      </c>
      <c r="N306" s="354" t="s">
        <v>395</v>
      </c>
      <c r="O306" s="354">
        <v>0</v>
      </c>
      <c r="P306" s="355" t="s">
        <v>396</v>
      </c>
      <c r="Q306" s="354" t="s">
        <v>346</v>
      </c>
      <c r="R306" s="353">
        <v>0</v>
      </c>
      <c r="S306" s="353">
        <v>0</v>
      </c>
      <c r="T306" s="353">
        <v>0</v>
      </c>
      <c r="U306" s="353">
        <v>0</v>
      </c>
      <c r="V306" s="353">
        <v>0</v>
      </c>
      <c r="W306" s="353">
        <v>0</v>
      </c>
    </row>
    <row r="307" spans="1:23" x14ac:dyDescent="0.25">
      <c r="A307" s="348" t="s">
        <v>759</v>
      </c>
      <c r="B307" s="349">
        <v>8</v>
      </c>
      <c r="C307" s="380">
        <v>45078</v>
      </c>
      <c r="D307" s="351">
        <v>45107</v>
      </c>
      <c r="E307" s="352"/>
      <c r="F307" s="352">
        <v>6</v>
      </c>
      <c r="G307" s="429" t="s">
        <v>309</v>
      </c>
      <c r="H307" s="353" t="s">
        <v>783</v>
      </c>
      <c r="I307" s="350" t="s">
        <v>393</v>
      </c>
      <c r="J307" s="375">
        <v>590902</v>
      </c>
      <c r="K307" s="350" t="s">
        <v>394</v>
      </c>
      <c r="L307" s="354">
        <v>2803.6597999999999</v>
      </c>
      <c r="M307" s="375">
        <f>J307/L307</f>
        <v>210.76094895678855</v>
      </c>
      <c r="N307" s="354" t="s">
        <v>395</v>
      </c>
      <c r="O307" s="354">
        <v>0</v>
      </c>
      <c r="P307" s="355" t="s">
        <v>396</v>
      </c>
      <c r="Q307" s="354" t="s">
        <v>346</v>
      </c>
      <c r="R307" s="353">
        <v>0</v>
      </c>
      <c r="S307" s="353">
        <v>0</v>
      </c>
      <c r="T307" s="353">
        <v>0</v>
      </c>
      <c r="U307" s="353">
        <v>0</v>
      </c>
      <c r="V307" s="353">
        <v>0</v>
      </c>
      <c r="W307" s="353">
        <v>0</v>
      </c>
    </row>
    <row r="308" spans="1:23" x14ac:dyDescent="0.25">
      <c r="A308" s="348" t="s">
        <v>761</v>
      </c>
      <c r="B308" s="349">
        <v>8</v>
      </c>
      <c r="C308" s="380">
        <v>45078</v>
      </c>
      <c r="D308" s="351">
        <v>45107</v>
      </c>
      <c r="E308" s="352"/>
      <c r="F308" s="352">
        <v>6</v>
      </c>
      <c r="G308" s="429" t="s">
        <v>309</v>
      </c>
      <c r="H308" s="353" t="s">
        <v>784</v>
      </c>
      <c r="I308" s="350" t="s">
        <v>393</v>
      </c>
      <c r="J308" s="375">
        <v>945443</v>
      </c>
      <c r="K308" s="350" t="s">
        <v>394</v>
      </c>
      <c r="L308" s="354">
        <v>2803.6597999999999</v>
      </c>
      <c r="M308" s="375">
        <f t="shared" ref="M308:M312" si="9">J308/L308</f>
        <v>337.21744699553062</v>
      </c>
      <c r="N308" s="354" t="s">
        <v>395</v>
      </c>
      <c r="O308" s="354">
        <v>0</v>
      </c>
      <c r="P308" s="355" t="s">
        <v>396</v>
      </c>
      <c r="Q308" s="354" t="s">
        <v>346</v>
      </c>
      <c r="R308" s="353">
        <v>0</v>
      </c>
      <c r="S308" s="353">
        <v>0</v>
      </c>
      <c r="T308" s="353">
        <v>0</v>
      </c>
      <c r="U308" s="353">
        <v>0</v>
      </c>
      <c r="V308" s="353">
        <v>0</v>
      </c>
      <c r="W308" s="353">
        <v>0</v>
      </c>
    </row>
    <row r="309" spans="1:23" x14ac:dyDescent="0.25">
      <c r="A309" s="348" t="s">
        <v>763</v>
      </c>
      <c r="B309" s="349">
        <v>8</v>
      </c>
      <c r="C309" s="380">
        <v>45078</v>
      </c>
      <c r="D309" s="351">
        <v>45107</v>
      </c>
      <c r="E309" s="352"/>
      <c r="F309" s="352">
        <v>6</v>
      </c>
      <c r="G309" s="429" t="s">
        <v>309</v>
      </c>
      <c r="H309" s="353" t="s">
        <v>785</v>
      </c>
      <c r="I309" s="350" t="s">
        <v>393</v>
      </c>
      <c r="J309" s="375">
        <v>945443</v>
      </c>
      <c r="K309" s="350" t="s">
        <v>394</v>
      </c>
      <c r="L309" s="354">
        <v>2803.6597999999999</v>
      </c>
      <c r="M309" s="375">
        <f t="shared" si="9"/>
        <v>337.21744699553062</v>
      </c>
      <c r="N309" s="354" t="s">
        <v>395</v>
      </c>
      <c r="O309" s="354">
        <v>0</v>
      </c>
      <c r="P309" s="355" t="s">
        <v>396</v>
      </c>
      <c r="Q309" s="354" t="s">
        <v>346</v>
      </c>
      <c r="R309" s="353">
        <v>0</v>
      </c>
      <c r="S309" s="353">
        <v>0</v>
      </c>
      <c r="T309" s="353">
        <v>0</v>
      </c>
      <c r="U309" s="353">
        <v>0</v>
      </c>
      <c r="V309" s="353">
        <v>0</v>
      </c>
      <c r="W309" s="353">
        <v>0</v>
      </c>
    </row>
    <row r="310" spans="1:23" x14ac:dyDescent="0.25">
      <c r="A310" s="348" t="s">
        <v>765</v>
      </c>
      <c r="B310" s="349">
        <v>8</v>
      </c>
      <c r="C310" s="380">
        <v>45078</v>
      </c>
      <c r="D310" s="351">
        <v>45107</v>
      </c>
      <c r="E310" s="352"/>
      <c r="F310" s="352">
        <v>6</v>
      </c>
      <c r="G310" s="429" t="s">
        <v>309</v>
      </c>
      <c r="H310" s="353" t="s">
        <v>786</v>
      </c>
      <c r="I310" s="350" t="s">
        <v>393</v>
      </c>
      <c r="J310" s="375">
        <v>945443</v>
      </c>
      <c r="K310" s="350" t="s">
        <v>394</v>
      </c>
      <c r="L310" s="354">
        <v>2803.6597999999999</v>
      </c>
      <c r="M310" s="375">
        <f t="shared" si="9"/>
        <v>337.21744699553062</v>
      </c>
      <c r="N310" s="354" t="s">
        <v>395</v>
      </c>
      <c r="O310" s="354">
        <v>0</v>
      </c>
      <c r="P310" s="355" t="s">
        <v>396</v>
      </c>
      <c r="Q310" s="354" t="s">
        <v>346</v>
      </c>
      <c r="R310" s="353">
        <v>0</v>
      </c>
      <c r="S310" s="353">
        <v>0</v>
      </c>
      <c r="T310" s="353">
        <v>0</v>
      </c>
      <c r="U310" s="353">
        <v>0</v>
      </c>
      <c r="V310" s="353">
        <v>0</v>
      </c>
      <c r="W310" s="353">
        <v>0</v>
      </c>
    </row>
    <row r="311" spans="1:23" x14ac:dyDescent="0.25">
      <c r="A311" s="348" t="s">
        <v>767</v>
      </c>
      <c r="B311" s="349">
        <v>8</v>
      </c>
      <c r="C311" s="380">
        <v>45078</v>
      </c>
      <c r="D311" s="351">
        <v>45107</v>
      </c>
      <c r="E311" s="352"/>
      <c r="F311" s="352">
        <v>6</v>
      </c>
      <c r="G311" s="429" t="s">
        <v>309</v>
      </c>
      <c r="H311" s="353" t="s">
        <v>787</v>
      </c>
      <c r="I311" s="350" t="s">
        <v>393</v>
      </c>
      <c r="J311" s="375">
        <v>945443</v>
      </c>
      <c r="K311" s="350" t="s">
        <v>394</v>
      </c>
      <c r="L311" s="354">
        <v>2803.6597999999999</v>
      </c>
      <c r="M311" s="375">
        <f t="shared" si="9"/>
        <v>337.21744699553062</v>
      </c>
      <c r="N311" s="354" t="s">
        <v>395</v>
      </c>
      <c r="O311" s="354">
        <v>0</v>
      </c>
      <c r="P311" s="355" t="s">
        <v>396</v>
      </c>
      <c r="Q311" s="354" t="s">
        <v>346</v>
      </c>
      <c r="R311" s="353">
        <v>0</v>
      </c>
      <c r="S311" s="353">
        <v>0</v>
      </c>
      <c r="T311" s="353">
        <v>0</v>
      </c>
      <c r="U311" s="353">
        <v>0</v>
      </c>
      <c r="V311" s="353">
        <v>0</v>
      </c>
      <c r="W311" s="353">
        <v>0</v>
      </c>
    </row>
    <row r="312" spans="1:23" x14ac:dyDescent="0.25">
      <c r="A312" s="348" t="s">
        <v>769</v>
      </c>
      <c r="B312" s="349">
        <v>8</v>
      </c>
      <c r="C312" s="380">
        <v>45078</v>
      </c>
      <c r="D312" s="351">
        <v>45107</v>
      </c>
      <c r="E312" s="352"/>
      <c r="F312" s="352">
        <v>6</v>
      </c>
      <c r="G312" s="429" t="s">
        <v>309</v>
      </c>
      <c r="H312" s="353" t="s">
        <v>788</v>
      </c>
      <c r="I312" s="350" t="s">
        <v>393</v>
      </c>
      <c r="J312" s="375">
        <v>945443</v>
      </c>
      <c r="K312" s="350" t="s">
        <v>394</v>
      </c>
      <c r="L312" s="354">
        <v>2803.6597999999999</v>
      </c>
      <c r="M312" s="375">
        <f t="shared" si="9"/>
        <v>337.21744699553062</v>
      </c>
      <c r="N312" s="354" t="s">
        <v>395</v>
      </c>
      <c r="O312" s="354">
        <v>0</v>
      </c>
      <c r="P312" s="355" t="s">
        <v>396</v>
      </c>
      <c r="Q312" s="354" t="s">
        <v>346</v>
      </c>
      <c r="R312" s="353">
        <v>0</v>
      </c>
      <c r="S312" s="353">
        <v>0</v>
      </c>
      <c r="T312" s="353">
        <v>0</v>
      </c>
      <c r="U312" s="353">
        <v>0</v>
      </c>
      <c r="V312" s="353">
        <v>0</v>
      </c>
      <c r="W312" s="353">
        <v>0</v>
      </c>
    </row>
    <row r="313" spans="1:23" x14ac:dyDescent="0.25">
      <c r="A313" s="348" t="s">
        <v>759</v>
      </c>
      <c r="B313" s="349">
        <v>8</v>
      </c>
      <c r="C313" s="380">
        <v>45078</v>
      </c>
      <c r="D313" s="351">
        <v>45107</v>
      </c>
      <c r="E313" s="352"/>
      <c r="F313" s="352">
        <v>6</v>
      </c>
      <c r="G313" s="429" t="s">
        <v>310</v>
      </c>
      <c r="H313" s="353" t="s">
        <v>789</v>
      </c>
      <c r="I313" s="350" t="s">
        <v>393</v>
      </c>
      <c r="J313" s="375">
        <v>369886</v>
      </c>
      <c r="K313" s="350" t="s">
        <v>394</v>
      </c>
      <c r="L313" s="354">
        <v>2803.6597999999999</v>
      </c>
      <c r="M313" s="375">
        <f>J313/L313</f>
        <v>131.92970131397541</v>
      </c>
      <c r="N313" s="354" t="s">
        <v>395</v>
      </c>
      <c r="O313" s="354">
        <v>0</v>
      </c>
      <c r="P313" s="355" t="s">
        <v>396</v>
      </c>
      <c r="Q313" s="354" t="s">
        <v>346</v>
      </c>
      <c r="R313" s="353">
        <v>0</v>
      </c>
      <c r="S313" s="353">
        <v>0</v>
      </c>
      <c r="T313" s="353">
        <v>0</v>
      </c>
      <c r="U313" s="353">
        <v>0</v>
      </c>
      <c r="V313" s="353">
        <v>0</v>
      </c>
      <c r="W313" s="353">
        <v>0</v>
      </c>
    </row>
    <row r="314" spans="1:23" x14ac:dyDescent="0.25">
      <c r="A314" s="348" t="s">
        <v>761</v>
      </c>
      <c r="B314" s="349">
        <v>8</v>
      </c>
      <c r="C314" s="380">
        <v>45078</v>
      </c>
      <c r="D314" s="351">
        <v>45107</v>
      </c>
      <c r="E314" s="352"/>
      <c r="F314" s="352">
        <v>6</v>
      </c>
      <c r="G314" s="429" t="s">
        <v>310</v>
      </c>
      <c r="H314" s="353" t="s">
        <v>790</v>
      </c>
      <c r="I314" s="350" t="s">
        <v>393</v>
      </c>
      <c r="J314" s="375">
        <v>369886</v>
      </c>
      <c r="K314" s="350" t="s">
        <v>394</v>
      </c>
      <c r="L314" s="354">
        <v>2803.6597999999999</v>
      </c>
      <c r="M314" s="375">
        <f t="shared" ref="M314:M318" si="10">J314/L314</f>
        <v>131.92970131397541</v>
      </c>
      <c r="N314" s="354" t="s">
        <v>395</v>
      </c>
      <c r="O314" s="354">
        <v>0</v>
      </c>
      <c r="P314" s="355" t="s">
        <v>396</v>
      </c>
      <c r="Q314" s="354" t="s">
        <v>346</v>
      </c>
      <c r="R314" s="353">
        <v>0</v>
      </c>
      <c r="S314" s="353">
        <v>0</v>
      </c>
      <c r="T314" s="353">
        <v>0</v>
      </c>
      <c r="U314" s="353">
        <v>0</v>
      </c>
      <c r="V314" s="353">
        <v>0</v>
      </c>
      <c r="W314" s="353">
        <v>0</v>
      </c>
    </row>
    <row r="315" spans="1:23" x14ac:dyDescent="0.25">
      <c r="A315" s="348" t="s">
        <v>763</v>
      </c>
      <c r="B315" s="349">
        <v>8</v>
      </c>
      <c r="C315" s="380">
        <v>45078</v>
      </c>
      <c r="D315" s="351">
        <v>45107</v>
      </c>
      <c r="E315" s="352"/>
      <c r="F315" s="352">
        <v>6</v>
      </c>
      <c r="G315" s="429" t="s">
        <v>310</v>
      </c>
      <c r="H315" s="353" t="s">
        <v>791</v>
      </c>
      <c r="I315" s="350" t="s">
        <v>393</v>
      </c>
      <c r="J315" s="375">
        <v>369886</v>
      </c>
      <c r="K315" s="350" t="s">
        <v>394</v>
      </c>
      <c r="L315" s="354">
        <v>2803.6597999999999</v>
      </c>
      <c r="M315" s="375">
        <f t="shared" si="10"/>
        <v>131.92970131397541</v>
      </c>
      <c r="N315" s="354" t="s">
        <v>395</v>
      </c>
      <c r="O315" s="354">
        <v>0</v>
      </c>
      <c r="P315" s="355" t="s">
        <v>396</v>
      </c>
      <c r="Q315" s="354" t="s">
        <v>346</v>
      </c>
      <c r="R315" s="353">
        <v>0</v>
      </c>
      <c r="S315" s="353">
        <v>0</v>
      </c>
      <c r="T315" s="353">
        <v>0</v>
      </c>
      <c r="U315" s="353">
        <v>0</v>
      </c>
      <c r="V315" s="353">
        <v>0</v>
      </c>
      <c r="W315" s="353">
        <v>0</v>
      </c>
    </row>
    <row r="316" spans="1:23" x14ac:dyDescent="0.25">
      <c r="A316" s="348" t="s">
        <v>765</v>
      </c>
      <c r="B316" s="349">
        <v>8</v>
      </c>
      <c r="C316" s="380">
        <v>45078</v>
      </c>
      <c r="D316" s="351">
        <v>45107</v>
      </c>
      <c r="E316" s="352"/>
      <c r="F316" s="352">
        <v>6</v>
      </c>
      <c r="G316" s="429" t="s">
        <v>310</v>
      </c>
      <c r="H316" s="353" t="s">
        <v>792</v>
      </c>
      <c r="I316" s="350" t="s">
        <v>393</v>
      </c>
      <c r="J316" s="375">
        <v>369886</v>
      </c>
      <c r="K316" s="350" t="s">
        <v>394</v>
      </c>
      <c r="L316" s="354">
        <v>2803.6597999999999</v>
      </c>
      <c r="M316" s="375">
        <f t="shared" si="10"/>
        <v>131.92970131397541</v>
      </c>
      <c r="N316" s="354" t="s">
        <v>395</v>
      </c>
      <c r="O316" s="354">
        <v>0</v>
      </c>
      <c r="P316" s="355" t="s">
        <v>396</v>
      </c>
      <c r="Q316" s="354" t="s">
        <v>346</v>
      </c>
      <c r="R316" s="353">
        <v>0</v>
      </c>
      <c r="S316" s="353">
        <v>0</v>
      </c>
      <c r="T316" s="353">
        <v>0</v>
      </c>
      <c r="U316" s="353">
        <v>0</v>
      </c>
      <c r="V316" s="353">
        <v>0</v>
      </c>
      <c r="W316" s="353">
        <v>0</v>
      </c>
    </row>
    <row r="317" spans="1:23" x14ac:dyDescent="0.25">
      <c r="A317" s="348" t="s">
        <v>767</v>
      </c>
      <c r="B317" s="349">
        <v>8</v>
      </c>
      <c r="C317" s="380">
        <v>45078</v>
      </c>
      <c r="D317" s="351">
        <v>45107</v>
      </c>
      <c r="E317" s="352"/>
      <c r="F317" s="352">
        <v>6</v>
      </c>
      <c r="G317" s="429" t="s">
        <v>310</v>
      </c>
      <c r="H317" s="353" t="s">
        <v>793</v>
      </c>
      <c r="I317" s="350" t="s">
        <v>393</v>
      </c>
      <c r="J317" s="375">
        <v>369886</v>
      </c>
      <c r="K317" s="350" t="s">
        <v>394</v>
      </c>
      <c r="L317" s="354">
        <v>2803.6597999999999</v>
      </c>
      <c r="M317" s="375">
        <f t="shared" si="10"/>
        <v>131.92970131397541</v>
      </c>
      <c r="N317" s="354" t="s">
        <v>395</v>
      </c>
      <c r="O317" s="354">
        <v>0</v>
      </c>
      <c r="P317" s="355" t="s">
        <v>396</v>
      </c>
      <c r="Q317" s="354" t="s">
        <v>346</v>
      </c>
      <c r="R317" s="353">
        <v>0</v>
      </c>
      <c r="S317" s="353">
        <v>0</v>
      </c>
      <c r="T317" s="353">
        <v>0</v>
      </c>
      <c r="U317" s="353">
        <v>0</v>
      </c>
      <c r="V317" s="353">
        <v>0</v>
      </c>
      <c r="W317" s="353">
        <v>0</v>
      </c>
    </row>
    <row r="318" spans="1:23" x14ac:dyDescent="0.25">
      <c r="A318" s="348" t="s">
        <v>769</v>
      </c>
      <c r="B318" s="349">
        <v>8</v>
      </c>
      <c r="C318" s="380">
        <v>45078</v>
      </c>
      <c r="D318" s="351">
        <v>45107</v>
      </c>
      <c r="E318" s="352"/>
      <c r="F318" s="352">
        <v>6</v>
      </c>
      <c r="G318" s="429" t="s">
        <v>310</v>
      </c>
      <c r="H318" s="353" t="s">
        <v>794</v>
      </c>
      <c r="I318" s="350" t="s">
        <v>393</v>
      </c>
      <c r="J318" s="375">
        <v>369886</v>
      </c>
      <c r="K318" s="350" t="s">
        <v>394</v>
      </c>
      <c r="L318" s="354">
        <v>2803.6597999999999</v>
      </c>
      <c r="M318" s="375">
        <f t="shared" si="10"/>
        <v>131.92970131397541</v>
      </c>
      <c r="N318" s="354" t="s">
        <v>395</v>
      </c>
      <c r="O318" s="354">
        <v>0</v>
      </c>
      <c r="P318" s="355" t="s">
        <v>396</v>
      </c>
      <c r="Q318" s="354" t="s">
        <v>346</v>
      </c>
      <c r="R318" s="353">
        <v>0</v>
      </c>
      <c r="S318" s="353">
        <v>0</v>
      </c>
      <c r="T318" s="353">
        <v>0</v>
      </c>
      <c r="U318" s="353">
        <v>0</v>
      </c>
      <c r="V318" s="353">
        <v>0</v>
      </c>
      <c r="W318" s="353">
        <v>0</v>
      </c>
    </row>
    <row r="319" spans="1:23" x14ac:dyDescent="0.25">
      <c r="A319" s="348" t="s">
        <v>759</v>
      </c>
      <c r="B319" s="349">
        <v>8</v>
      </c>
      <c r="C319" s="380">
        <v>45078</v>
      </c>
      <c r="D319" s="351">
        <v>45107</v>
      </c>
      <c r="E319" s="352"/>
      <c r="F319" s="352">
        <v>6</v>
      </c>
      <c r="G319" s="429" t="s">
        <v>311</v>
      </c>
      <c r="H319" s="353" t="s">
        <v>795</v>
      </c>
      <c r="I319" s="350" t="s">
        <v>393</v>
      </c>
      <c r="J319" s="375">
        <v>102000</v>
      </c>
      <c r="K319" s="350" t="s">
        <v>394</v>
      </c>
      <c r="L319" s="354">
        <v>2803.6597999999999</v>
      </c>
      <c r="M319" s="375">
        <f>J319/L319</f>
        <v>36.381018838305565</v>
      </c>
      <c r="N319" s="354" t="s">
        <v>395</v>
      </c>
      <c r="O319" s="354">
        <v>0</v>
      </c>
      <c r="P319" s="355" t="s">
        <v>396</v>
      </c>
      <c r="Q319" s="354" t="s">
        <v>346</v>
      </c>
      <c r="R319" s="353">
        <v>0</v>
      </c>
      <c r="S319" s="353">
        <v>0</v>
      </c>
      <c r="T319" s="353">
        <v>0</v>
      </c>
      <c r="U319" s="353">
        <v>0</v>
      </c>
      <c r="V319" s="353">
        <v>0</v>
      </c>
      <c r="W319" s="353">
        <v>0</v>
      </c>
    </row>
    <row r="320" spans="1:23" x14ac:dyDescent="0.25">
      <c r="A320" s="348" t="s">
        <v>761</v>
      </c>
      <c r="B320" s="349">
        <v>8</v>
      </c>
      <c r="C320" s="380">
        <v>45078</v>
      </c>
      <c r="D320" s="351">
        <v>45107</v>
      </c>
      <c r="E320" s="352"/>
      <c r="F320" s="352">
        <v>6</v>
      </c>
      <c r="G320" s="429" t="s">
        <v>311</v>
      </c>
      <c r="H320" s="353" t="s">
        <v>796</v>
      </c>
      <c r="I320" s="350" t="s">
        <v>393</v>
      </c>
      <c r="J320" s="375">
        <v>102000</v>
      </c>
      <c r="K320" s="350" t="s">
        <v>394</v>
      </c>
      <c r="L320" s="354">
        <v>2803.6597999999999</v>
      </c>
      <c r="M320" s="375">
        <f t="shared" ref="M320:M325" si="11">J320/L320</f>
        <v>36.381018838305565</v>
      </c>
      <c r="N320" s="354" t="s">
        <v>395</v>
      </c>
      <c r="O320" s="354">
        <v>0</v>
      </c>
      <c r="P320" s="355" t="s">
        <v>396</v>
      </c>
      <c r="Q320" s="354" t="s">
        <v>346</v>
      </c>
      <c r="R320" s="353">
        <v>0</v>
      </c>
      <c r="S320" s="353">
        <v>0</v>
      </c>
      <c r="T320" s="353">
        <v>0</v>
      </c>
      <c r="U320" s="353">
        <v>0</v>
      </c>
      <c r="V320" s="353">
        <v>0</v>
      </c>
      <c r="W320" s="353">
        <v>0</v>
      </c>
    </row>
    <row r="321" spans="1:23" x14ac:dyDescent="0.25">
      <c r="A321" s="348" t="s">
        <v>763</v>
      </c>
      <c r="B321" s="349">
        <v>8</v>
      </c>
      <c r="C321" s="380">
        <v>45078</v>
      </c>
      <c r="D321" s="351">
        <v>45107</v>
      </c>
      <c r="E321" s="352"/>
      <c r="F321" s="352">
        <v>6</v>
      </c>
      <c r="G321" s="429" t="s">
        <v>311</v>
      </c>
      <c r="H321" s="353" t="s">
        <v>797</v>
      </c>
      <c r="I321" s="350" t="s">
        <v>393</v>
      </c>
      <c r="J321" s="375">
        <v>102000</v>
      </c>
      <c r="K321" s="350" t="s">
        <v>394</v>
      </c>
      <c r="L321" s="354">
        <v>2803.6597999999999</v>
      </c>
      <c r="M321" s="375">
        <f t="shared" si="11"/>
        <v>36.381018838305565</v>
      </c>
      <c r="N321" s="354" t="s">
        <v>395</v>
      </c>
      <c r="O321" s="354">
        <v>0</v>
      </c>
      <c r="P321" s="355" t="s">
        <v>396</v>
      </c>
      <c r="Q321" s="354" t="s">
        <v>346</v>
      </c>
      <c r="R321" s="353">
        <v>0</v>
      </c>
      <c r="S321" s="353">
        <v>0</v>
      </c>
      <c r="T321" s="353">
        <v>0</v>
      </c>
      <c r="U321" s="353">
        <v>0</v>
      </c>
      <c r="V321" s="353">
        <v>0</v>
      </c>
      <c r="W321" s="353">
        <v>0</v>
      </c>
    </row>
    <row r="322" spans="1:23" x14ac:dyDescent="0.25">
      <c r="A322" s="348" t="s">
        <v>765</v>
      </c>
      <c r="B322" s="349">
        <v>8</v>
      </c>
      <c r="C322" s="380">
        <v>45078</v>
      </c>
      <c r="D322" s="351">
        <v>45107</v>
      </c>
      <c r="E322" s="352"/>
      <c r="F322" s="352">
        <v>6</v>
      </c>
      <c r="G322" s="429" t="s">
        <v>311</v>
      </c>
      <c r="H322" s="353" t="s">
        <v>798</v>
      </c>
      <c r="I322" s="350" t="s">
        <v>393</v>
      </c>
      <c r="J322" s="375">
        <v>102000</v>
      </c>
      <c r="K322" s="350" t="s">
        <v>394</v>
      </c>
      <c r="L322" s="354">
        <v>2803.6597999999999</v>
      </c>
      <c r="M322" s="375">
        <f t="shared" si="11"/>
        <v>36.381018838305565</v>
      </c>
      <c r="N322" s="354" t="s">
        <v>395</v>
      </c>
      <c r="O322" s="354">
        <v>0</v>
      </c>
      <c r="P322" s="355" t="s">
        <v>396</v>
      </c>
      <c r="Q322" s="354" t="s">
        <v>346</v>
      </c>
      <c r="R322" s="353">
        <v>0</v>
      </c>
      <c r="S322" s="353">
        <v>0</v>
      </c>
      <c r="T322" s="353">
        <v>0</v>
      </c>
      <c r="U322" s="353">
        <v>0</v>
      </c>
      <c r="V322" s="353">
        <v>0</v>
      </c>
      <c r="W322" s="353">
        <v>0</v>
      </c>
    </row>
    <row r="323" spans="1:23" x14ac:dyDescent="0.25">
      <c r="A323" s="348" t="s">
        <v>767</v>
      </c>
      <c r="B323" s="349">
        <v>8</v>
      </c>
      <c r="C323" s="380">
        <v>45078</v>
      </c>
      <c r="D323" s="351">
        <v>45107</v>
      </c>
      <c r="E323" s="352"/>
      <c r="F323" s="352">
        <v>6</v>
      </c>
      <c r="G323" s="429" t="s">
        <v>311</v>
      </c>
      <c r="H323" s="353" t="s">
        <v>799</v>
      </c>
      <c r="I323" s="350" t="s">
        <v>393</v>
      </c>
      <c r="J323" s="375">
        <v>102000</v>
      </c>
      <c r="K323" s="350" t="s">
        <v>394</v>
      </c>
      <c r="L323" s="354">
        <v>2803.6597999999999</v>
      </c>
      <c r="M323" s="375">
        <f t="shared" si="11"/>
        <v>36.381018838305565</v>
      </c>
      <c r="N323" s="354" t="s">
        <v>395</v>
      </c>
      <c r="O323" s="354">
        <v>0</v>
      </c>
      <c r="P323" s="355" t="s">
        <v>396</v>
      </c>
      <c r="Q323" s="354" t="s">
        <v>346</v>
      </c>
      <c r="R323" s="353">
        <v>0</v>
      </c>
      <c r="S323" s="353">
        <v>0</v>
      </c>
      <c r="T323" s="353">
        <v>0</v>
      </c>
      <c r="U323" s="353">
        <v>0</v>
      </c>
      <c r="V323" s="353">
        <v>0</v>
      </c>
      <c r="W323" s="353">
        <v>0</v>
      </c>
    </row>
    <row r="324" spans="1:23" x14ac:dyDescent="0.25">
      <c r="A324" s="348" t="s">
        <v>769</v>
      </c>
      <c r="B324" s="349">
        <v>8</v>
      </c>
      <c r="C324" s="380">
        <v>45078</v>
      </c>
      <c r="D324" s="351">
        <v>45107</v>
      </c>
      <c r="E324" s="352"/>
      <c r="F324" s="352">
        <v>6</v>
      </c>
      <c r="G324" s="429" t="s">
        <v>311</v>
      </c>
      <c r="H324" s="353" t="s">
        <v>800</v>
      </c>
      <c r="I324" s="350" t="s">
        <v>393</v>
      </c>
      <c r="J324" s="375">
        <v>102000</v>
      </c>
      <c r="K324" s="350" t="s">
        <v>394</v>
      </c>
      <c r="L324" s="354">
        <v>2803.6597999999999</v>
      </c>
      <c r="M324" s="375">
        <f t="shared" si="11"/>
        <v>36.381018838305565</v>
      </c>
      <c r="N324" s="354" t="s">
        <v>395</v>
      </c>
      <c r="O324" s="354">
        <v>0</v>
      </c>
      <c r="P324" s="355" t="s">
        <v>396</v>
      </c>
      <c r="Q324" s="354" t="s">
        <v>346</v>
      </c>
      <c r="R324" s="353">
        <v>0</v>
      </c>
      <c r="S324" s="353">
        <v>0</v>
      </c>
      <c r="T324" s="353">
        <v>0</v>
      </c>
      <c r="U324" s="353">
        <v>0</v>
      </c>
      <c r="V324" s="353">
        <v>0</v>
      </c>
      <c r="W324" s="353">
        <v>0</v>
      </c>
    </row>
    <row r="325" spans="1:23" x14ac:dyDescent="0.25">
      <c r="A325" s="348" t="s">
        <v>820</v>
      </c>
      <c r="B325" s="349">
        <v>9</v>
      </c>
      <c r="C325" s="380">
        <v>45078</v>
      </c>
      <c r="D325" s="351">
        <v>45089</v>
      </c>
      <c r="E325" s="352"/>
      <c r="F325" s="352">
        <v>6</v>
      </c>
      <c r="G325" s="352" t="s">
        <v>334</v>
      </c>
      <c r="H325" s="353" t="s">
        <v>821</v>
      </c>
      <c r="I325" s="350" t="s">
        <v>393</v>
      </c>
      <c r="J325" s="375">
        <f>70.82*2823.97</f>
        <v>199993.55539999995</v>
      </c>
      <c r="K325" s="350" t="s">
        <v>394</v>
      </c>
      <c r="L325" s="354">
        <v>2823.97</v>
      </c>
      <c r="M325" s="375">
        <f t="shared" si="11"/>
        <v>70.819999999999993</v>
      </c>
      <c r="N325" s="354" t="s">
        <v>395</v>
      </c>
      <c r="O325" s="354">
        <v>0</v>
      </c>
      <c r="P325" s="355" t="s">
        <v>396</v>
      </c>
      <c r="Q325" s="354" t="s">
        <v>346</v>
      </c>
      <c r="R325" s="353">
        <v>0</v>
      </c>
      <c r="S325" s="353">
        <v>0</v>
      </c>
      <c r="T325" s="353">
        <v>0</v>
      </c>
      <c r="U325" s="353">
        <v>0</v>
      </c>
      <c r="V325" s="353">
        <v>0</v>
      </c>
      <c r="W325" s="353">
        <v>0</v>
      </c>
    </row>
    <row r="326" spans="1:23" x14ac:dyDescent="0.25">
      <c r="A326" s="348" t="s">
        <v>822</v>
      </c>
      <c r="B326" s="436" t="s">
        <v>823</v>
      </c>
      <c r="C326" s="380">
        <v>45108</v>
      </c>
      <c r="D326" s="351">
        <v>45126</v>
      </c>
      <c r="E326" s="352"/>
      <c r="F326" s="352">
        <v>6</v>
      </c>
      <c r="G326" s="427" t="s">
        <v>824</v>
      </c>
      <c r="H326" s="350" t="s">
        <v>825</v>
      </c>
      <c r="I326" s="350" t="s">
        <v>393</v>
      </c>
      <c r="J326" s="556">
        <v>200000</v>
      </c>
      <c r="K326" s="350" t="s">
        <v>394</v>
      </c>
      <c r="L326" s="353">
        <v>2830.26</v>
      </c>
      <c r="M326" s="560">
        <f t="shared" ref="M326:M330" si="12">+J326/L326</f>
        <v>70.664885911541688</v>
      </c>
      <c r="N326" s="354" t="s">
        <v>395</v>
      </c>
      <c r="O326" s="354">
        <v>0</v>
      </c>
      <c r="P326" s="355" t="s">
        <v>396</v>
      </c>
      <c r="Q326" s="354" t="s">
        <v>344</v>
      </c>
      <c r="R326" s="353">
        <v>0</v>
      </c>
      <c r="S326" s="353">
        <v>0</v>
      </c>
      <c r="T326" s="353">
        <v>0</v>
      </c>
      <c r="U326" s="353">
        <v>0</v>
      </c>
      <c r="V326" s="353">
        <v>0</v>
      </c>
      <c r="W326" s="353">
        <v>0</v>
      </c>
    </row>
    <row r="327" spans="1:23" x14ac:dyDescent="0.25">
      <c r="A327" s="348" t="s">
        <v>826</v>
      </c>
      <c r="B327" s="349">
        <v>3</v>
      </c>
      <c r="C327" s="423">
        <v>45161</v>
      </c>
      <c r="D327" s="351">
        <v>45167</v>
      </c>
      <c r="E327" s="352"/>
      <c r="F327" s="352">
        <v>6</v>
      </c>
      <c r="G327" s="429" t="s">
        <v>828</v>
      </c>
      <c r="H327" s="350" t="s">
        <v>829</v>
      </c>
      <c r="I327" s="350" t="s">
        <v>393</v>
      </c>
      <c r="J327" s="560">
        <v>189000</v>
      </c>
      <c r="K327" s="350" t="s">
        <v>394</v>
      </c>
      <c r="L327" s="353">
        <v>2830.26</v>
      </c>
      <c r="M327" s="560">
        <f t="shared" si="12"/>
        <v>66.778317186406895</v>
      </c>
      <c r="N327" s="354" t="s">
        <v>395</v>
      </c>
      <c r="O327" s="354">
        <v>0</v>
      </c>
      <c r="P327" s="355" t="s">
        <v>396</v>
      </c>
      <c r="Q327" s="354" t="s">
        <v>344</v>
      </c>
      <c r="R327" s="353">
        <v>0</v>
      </c>
      <c r="S327" s="353">
        <v>0</v>
      </c>
      <c r="T327" s="353">
        <v>0</v>
      </c>
      <c r="U327" s="353">
        <v>0</v>
      </c>
      <c r="V327" s="353">
        <v>0</v>
      </c>
      <c r="W327" s="353">
        <v>0</v>
      </c>
    </row>
    <row r="328" spans="1:23" x14ac:dyDescent="0.25">
      <c r="A328" s="348" t="s">
        <v>830</v>
      </c>
      <c r="B328" s="349">
        <v>6</v>
      </c>
      <c r="C328" s="380">
        <v>45170</v>
      </c>
      <c r="D328" s="351">
        <v>45175</v>
      </c>
      <c r="E328" s="352"/>
      <c r="F328" s="352">
        <v>6</v>
      </c>
      <c r="G328" s="429" t="s">
        <v>343</v>
      </c>
      <c r="H328" s="350" t="s">
        <v>831</v>
      </c>
      <c r="I328" s="350" t="s">
        <v>393</v>
      </c>
      <c r="J328" s="560">
        <v>865800</v>
      </c>
      <c r="K328" s="350" t="s">
        <v>394</v>
      </c>
      <c r="L328" s="353">
        <v>2830.26</v>
      </c>
      <c r="M328" s="560">
        <f t="shared" si="12"/>
        <v>305.90829111106399</v>
      </c>
      <c r="N328" s="354" t="s">
        <v>395</v>
      </c>
      <c r="O328" s="354">
        <v>0</v>
      </c>
      <c r="P328" s="355" t="s">
        <v>396</v>
      </c>
      <c r="Q328" s="354" t="s">
        <v>344</v>
      </c>
      <c r="R328" s="353">
        <v>0</v>
      </c>
      <c r="S328" s="353">
        <v>0</v>
      </c>
      <c r="T328" s="353">
        <v>0</v>
      </c>
      <c r="U328" s="353">
        <v>0</v>
      </c>
      <c r="V328" s="353">
        <v>0</v>
      </c>
      <c r="W328" s="353">
        <v>0</v>
      </c>
    </row>
    <row r="329" spans="1:23" x14ac:dyDescent="0.25">
      <c r="A329" s="348" t="s">
        <v>832</v>
      </c>
      <c r="B329" s="349">
        <v>7</v>
      </c>
      <c r="C329" s="380">
        <v>45170</v>
      </c>
      <c r="D329" s="351">
        <v>45175</v>
      </c>
      <c r="E329" s="352"/>
      <c r="F329" s="352">
        <v>6</v>
      </c>
      <c r="G329" s="561" t="s">
        <v>833</v>
      </c>
      <c r="H329" s="350" t="s">
        <v>834</v>
      </c>
      <c r="I329" s="350" t="s">
        <v>393</v>
      </c>
      <c r="J329" s="560">
        <v>241900</v>
      </c>
      <c r="K329" s="350" t="s">
        <v>394</v>
      </c>
      <c r="L329" s="353">
        <v>2830.26</v>
      </c>
      <c r="M329" s="560">
        <f t="shared" si="12"/>
        <v>85.469179510009681</v>
      </c>
      <c r="N329" s="354" t="s">
        <v>395</v>
      </c>
      <c r="O329" s="354">
        <v>0</v>
      </c>
      <c r="P329" s="355" t="s">
        <v>396</v>
      </c>
      <c r="Q329" s="354" t="s">
        <v>344</v>
      </c>
      <c r="R329" s="353">
        <v>0</v>
      </c>
      <c r="S329" s="353">
        <v>0</v>
      </c>
      <c r="T329" s="353">
        <v>0</v>
      </c>
      <c r="U329" s="353">
        <v>0</v>
      </c>
      <c r="V329" s="353">
        <v>0</v>
      </c>
      <c r="W329" s="353">
        <v>0</v>
      </c>
    </row>
    <row r="330" spans="1:23" x14ac:dyDescent="0.25">
      <c r="A330" s="348" t="s">
        <v>835</v>
      </c>
      <c r="B330" s="349">
        <v>2</v>
      </c>
      <c r="C330" s="380">
        <v>45139</v>
      </c>
      <c r="D330" s="351">
        <v>45163</v>
      </c>
      <c r="E330" s="352"/>
      <c r="F330" s="352">
        <v>6</v>
      </c>
      <c r="G330" s="429" t="s">
        <v>836</v>
      </c>
      <c r="H330" s="350" t="s">
        <v>837</v>
      </c>
      <c r="I330" s="350" t="s">
        <v>393</v>
      </c>
      <c r="J330" s="354">
        <v>750000</v>
      </c>
      <c r="K330" s="350" t="s">
        <v>394</v>
      </c>
      <c r="L330" s="353">
        <v>2830.26</v>
      </c>
      <c r="M330" s="560">
        <f t="shared" si="12"/>
        <v>264.99332216828134</v>
      </c>
      <c r="N330" s="354" t="s">
        <v>395</v>
      </c>
      <c r="O330" s="354">
        <v>0</v>
      </c>
      <c r="P330" s="355" t="s">
        <v>396</v>
      </c>
      <c r="Q330" s="354" t="s">
        <v>344</v>
      </c>
      <c r="R330" s="353">
        <v>0</v>
      </c>
      <c r="S330" s="353">
        <v>0</v>
      </c>
      <c r="T330" s="353">
        <v>0</v>
      </c>
      <c r="U330" s="353">
        <v>0</v>
      </c>
      <c r="V330" s="353">
        <v>0</v>
      </c>
      <c r="W330" s="353">
        <v>0</v>
      </c>
    </row>
    <row r="331" spans="1:23" x14ac:dyDescent="0.25">
      <c r="A331" s="353" t="s">
        <v>849</v>
      </c>
      <c r="B331" s="353">
        <v>13</v>
      </c>
      <c r="C331" s="607">
        <v>45108</v>
      </c>
      <c r="D331" s="562">
        <v>44964</v>
      </c>
      <c r="F331" s="353">
        <v>6</v>
      </c>
      <c r="G331" s="429" t="s">
        <v>851</v>
      </c>
      <c r="H331" s="353" t="s">
        <v>852</v>
      </c>
      <c r="I331" s="353" t="s">
        <v>393</v>
      </c>
      <c r="J331" s="353">
        <v>3.18</v>
      </c>
      <c r="L331" s="353">
        <v>1</v>
      </c>
      <c r="M331" s="560">
        <f t="shared" ref="M331:M394" si="13">J331/L331</f>
        <v>3.18</v>
      </c>
      <c r="N331" s="354" t="s">
        <v>395</v>
      </c>
      <c r="O331" s="354">
        <v>0</v>
      </c>
      <c r="P331" s="355" t="s">
        <v>396</v>
      </c>
      <c r="Q331" s="354" t="s">
        <v>346</v>
      </c>
      <c r="R331" s="353">
        <v>0</v>
      </c>
      <c r="S331" s="353">
        <v>0</v>
      </c>
      <c r="T331" s="353">
        <v>0</v>
      </c>
      <c r="U331" s="353">
        <v>0</v>
      </c>
      <c r="V331" s="353">
        <v>0</v>
      </c>
      <c r="W331" s="353">
        <v>0</v>
      </c>
    </row>
    <row r="332" spans="1:23" x14ac:dyDescent="0.25">
      <c r="A332" s="353" t="s">
        <v>849</v>
      </c>
      <c r="B332" s="353">
        <v>13</v>
      </c>
      <c r="C332" s="607">
        <v>45108</v>
      </c>
      <c r="D332" s="562">
        <v>44964</v>
      </c>
      <c r="F332" s="353">
        <v>6</v>
      </c>
      <c r="G332" s="429" t="s">
        <v>851</v>
      </c>
      <c r="H332" s="353" t="s">
        <v>852</v>
      </c>
      <c r="I332" s="353" t="s">
        <v>393</v>
      </c>
      <c r="J332" s="353">
        <v>3.54</v>
      </c>
      <c r="K332" s="353" t="s">
        <v>394</v>
      </c>
      <c r="L332" s="353">
        <v>1</v>
      </c>
      <c r="M332" s="560">
        <f>J332/L332</f>
        <v>3.54</v>
      </c>
      <c r="N332" s="354" t="s">
        <v>395</v>
      </c>
      <c r="O332" s="354">
        <v>0</v>
      </c>
      <c r="P332" s="355" t="s">
        <v>396</v>
      </c>
      <c r="Q332" s="354" t="s">
        <v>346</v>
      </c>
      <c r="R332" s="353">
        <v>0</v>
      </c>
      <c r="S332" s="353">
        <v>0</v>
      </c>
      <c r="T332" s="353">
        <v>0</v>
      </c>
      <c r="U332" s="353">
        <v>0</v>
      </c>
      <c r="V332" s="353">
        <v>0</v>
      </c>
      <c r="W332" s="353">
        <v>0</v>
      </c>
    </row>
    <row r="333" spans="1:23" x14ac:dyDescent="0.25">
      <c r="A333" s="353" t="s">
        <v>854</v>
      </c>
      <c r="B333" s="353">
        <v>14</v>
      </c>
      <c r="C333" s="607">
        <v>45108</v>
      </c>
      <c r="D333" s="562">
        <v>44964</v>
      </c>
      <c r="F333" s="353">
        <v>6</v>
      </c>
      <c r="G333" s="429" t="s">
        <v>851</v>
      </c>
      <c r="H333" s="353" t="s">
        <v>856</v>
      </c>
      <c r="I333" s="353" t="s">
        <v>393</v>
      </c>
      <c r="J333" s="353">
        <f>3000+3039+6000+3035</f>
        <v>15074</v>
      </c>
      <c r="K333" s="353" t="s">
        <v>394</v>
      </c>
      <c r="L333" s="563">
        <v>2803.6597999999999</v>
      </c>
      <c r="M333" s="560">
        <f t="shared" si="13"/>
        <v>5.3765439016531182</v>
      </c>
      <c r="N333" s="354" t="s">
        <v>395</v>
      </c>
      <c r="O333" s="354">
        <v>0</v>
      </c>
      <c r="P333" s="355" t="s">
        <v>396</v>
      </c>
      <c r="Q333" s="354" t="s">
        <v>346</v>
      </c>
      <c r="R333" s="353">
        <v>0</v>
      </c>
      <c r="S333" s="353">
        <v>0</v>
      </c>
      <c r="T333" s="353">
        <v>0</v>
      </c>
      <c r="U333" s="353">
        <v>0</v>
      </c>
      <c r="V333" s="353">
        <v>0</v>
      </c>
      <c r="W333" s="353">
        <v>0</v>
      </c>
    </row>
    <row r="334" spans="1:23" x14ac:dyDescent="0.25">
      <c r="A334" s="353" t="s">
        <v>857</v>
      </c>
      <c r="B334" s="353">
        <v>18</v>
      </c>
      <c r="C334" s="607">
        <v>45108</v>
      </c>
      <c r="D334" s="353">
        <v>45138</v>
      </c>
      <c r="F334" s="353">
        <v>6</v>
      </c>
      <c r="G334" s="429" t="s">
        <v>332</v>
      </c>
      <c r="H334" s="353" t="s">
        <v>858</v>
      </c>
      <c r="I334" s="353" t="s">
        <v>393</v>
      </c>
      <c r="J334" s="353">
        <v>145000</v>
      </c>
      <c r="K334" s="353" t="s">
        <v>394</v>
      </c>
      <c r="L334" s="563">
        <v>2803.6597999999999</v>
      </c>
      <c r="M334" s="560">
        <f t="shared" si="13"/>
        <v>51.718115015238297</v>
      </c>
      <c r="N334" s="354" t="s">
        <v>395</v>
      </c>
      <c r="O334" s="354">
        <v>0</v>
      </c>
      <c r="P334" s="355" t="s">
        <v>396</v>
      </c>
      <c r="Q334" s="354" t="s">
        <v>346</v>
      </c>
      <c r="R334" s="353">
        <v>0</v>
      </c>
      <c r="S334" s="353">
        <v>0</v>
      </c>
      <c r="T334" s="353">
        <v>0</v>
      </c>
      <c r="U334" s="353">
        <v>0</v>
      </c>
      <c r="V334" s="353">
        <v>0</v>
      </c>
      <c r="W334" s="353">
        <v>0</v>
      </c>
    </row>
    <row r="335" spans="1:23" x14ac:dyDescent="0.25">
      <c r="A335" s="348" t="s">
        <v>859</v>
      </c>
      <c r="B335" s="349">
        <v>15</v>
      </c>
      <c r="C335" s="607">
        <v>45108</v>
      </c>
      <c r="D335" s="351">
        <v>45122</v>
      </c>
      <c r="E335" s="352"/>
      <c r="F335" s="352">
        <v>6</v>
      </c>
      <c r="G335" s="429" t="s">
        <v>306</v>
      </c>
      <c r="H335" s="353" t="s">
        <v>860</v>
      </c>
      <c r="I335" s="353" t="s">
        <v>393</v>
      </c>
      <c r="J335" s="563">
        <v>1029</v>
      </c>
      <c r="K335" s="353" t="s">
        <v>394</v>
      </c>
      <c r="L335" s="563">
        <v>2803.6597999999999</v>
      </c>
      <c r="M335" s="560">
        <f t="shared" si="13"/>
        <v>0.36702027828055317</v>
      </c>
      <c r="N335" s="354" t="s">
        <v>395</v>
      </c>
      <c r="O335" s="354">
        <v>0</v>
      </c>
      <c r="P335" s="355" t="s">
        <v>396</v>
      </c>
      <c r="Q335" s="354" t="s">
        <v>346</v>
      </c>
      <c r="R335" s="353">
        <v>0</v>
      </c>
      <c r="S335" s="353">
        <v>0</v>
      </c>
      <c r="T335" s="353">
        <v>0</v>
      </c>
      <c r="U335" s="353">
        <v>0</v>
      </c>
      <c r="V335" s="353">
        <v>0</v>
      </c>
      <c r="W335" s="353">
        <v>0</v>
      </c>
    </row>
    <row r="336" spans="1:23" x14ac:dyDescent="0.25">
      <c r="A336" s="348" t="s">
        <v>859</v>
      </c>
      <c r="B336" s="349">
        <v>15</v>
      </c>
      <c r="C336" s="607">
        <v>45108</v>
      </c>
      <c r="D336" s="351">
        <v>45122</v>
      </c>
      <c r="E336" s="352"/>
      <c r="F336" s="352">
        <v>6</v>
      </c>
      <c r="G336" s="429" t="s">
        <v>308</v>
      </c>
      <c r="H336" s="353" t="s">
        <v>861</v>
      </c>
      <c r="I336" s="350" t="s">
        <v>393</v>
      </c>
      <c r="J336" s="560">
        <v>686</v>
      </c>
      <c r="K336" s="350" t="s">
        <v>394</v>
      </c>
      <c r="L336" s="560">
        <v>2803.6597999999999</v>
      </c>
      <c r="M336" s="560">
        <f t="shared" si="13"/>
        <v>0.24468018552036877</v>
      </c>
      <c r="N336" s="354" t="s">
        <v>395</v>
      </c>
      <c r="O336" s="354">
        <v>0</v>
      </c>
      <c r="P336" s="355" t="s">
        <v>396</v>
      </c>
      <c r="Q336" s="354" t="s">
        <v>346</v>
      </c>
      <c r="R336" s="353">
        <v>0</v>
      </c>
      <c r="S336" s="353">
        <v>0</v>
      </c>
      <c r="T336" s="353">
        <v>0</v>
      </c>
      <c r="U336" s="353">
        <v>0</v>
      </c>
      <c r="V336" s="353">
        <v>0</v>
      </c>
      <c r="W336" s="353">
        <v>0</v>
      </c>
    </row>
    <row r="337" spans="1:23" x14ac:dyDescent="0.25">
      <c r="A337" s="348" t="s">
        <v>859</v>
      </c>
      <c r="B337" s="349">
        <v>15</v>
      </c>
      <c r="C337" s="607">
        <v>45108</v>
      </c>
      <c r="D337" s="351">
        <v>45122</v>
      </c>
      <c r="E337" s="352"/>
      <c r="F337" s="352">
        <v>6</v>
      </c>
      <c r="G337" s="429" t="s">
        <v>309</v>
      </c>
      <c r="H337" s="353" t="s">
        <v>862</v>
      </c>
      <c r="I337" s="350" t="s">
        <v>393</v>
      </c>
      <c r="J337" s="560">
        <v>89700</v>
      </c>
      <c r="K337" s="350" t="s">
        <v>394</v>
      </c>
      <c r="L337" s="560">
        <v>2803.6597999999999</v>
      </c>
      <c r="M337" s="560">
        <f t="shared" si="13"/>
        <v>31.993895978392246</v>
      </c>
      <c r="N337" s="354" t="s">
        <v>395</v>
      </c>
      <c r="O337" s="354">
        <v>0</v>
      </c>
      <c r="P337" s="355" t="s">
        <v>396</v>
      </c>
      <c r="Q337" s="354" t="s">
        <v>346</v>
      </c>
      <c r="R337" s="353">
        <v>0</v>
      </c>
      <c r="S337" s="353">
        <v>0</v>
      </c>
      <c r="T337" s="353">
        <v>0</v>
      </c>
      <c r="U337" s="353">
        <v>0</v>
      </c>
      <c r="V337" s="353">
        <v>0</v>
      </c>
      <c r="W337" s="353">
        <v>0</v>
      </c>
    </row>
    <row r="338" spans="1:23" x14ac:dyDescent="0.25">
      <c r="A338" s="348" t="s">
        <v>859</v>
      </c>
      <c r="B338" s="349">
        <v>15</v>
      </c>
      <c r="C338" s="607">
        <v>45108</v>
      </c>
      <c r="D338" s="351">
        <v>45122</v>
      </c>
      <c r="E338" s="352"/>
      <c r="F338" s="352">
        <v>6</v>
      </c>
      <c r="G338" s="429" t="s">
        <v>310</v>
      </c>
      <c r="H338" s="432" t="s">
        <v>863</v>
      </c>
      <c r="I338" s="350" t="s">
        <v>393</v>
      </c>
      <c r="J338" s="560">
        <v>12114</v>
      </c>
      <c r="K338" s="350" t="s">
        <v>394</v>
      </c>
      <c r="L338" s="354">
        <v>2803.6597999999999</v>
      </c>
      <c r="M338" s="560">
        <f t="shared" si="13"/>
        <v>4.3207810020317021</v>
      </c>
      <c r="N338" s="354" t="s">
        <v>395</v>
      </c>
      <c r="O338" s="354">
        <v>0</v>
      </c>
      <c r="P338" s="355" t="s">
        <v>396</v>
      </c>
      <c r="Q338" s="354" t="s">
        <v>346</v>
      </c>
      <c r="R338" s="353">
        <v>0</v>
      </c>
      <c r="S338" s="353">
        <v>0</v>
      </c>
      <c r="T338" s="353">
        <v>0</v>
      </c>
      <c r="U338" s="353">
        <v>0</v>
      </c>
      <c r="V338" s="353">
        <v>0</v>
      </c>
      <c r="W338" s="353">
        <v>0</v>
      </c>
    </row>
    <row r="339" spans="1:23" x14ac:dyDescent="0.25">
      <c r="A339" s="348" t="s">
        <v>864</v>
      </c>
      <c r="B339" s="349">
        <v>16</v>
      </c>
      <c r="C339" s="607">
        <v>45108</v>
      </c>
      <c r="D339" s="351">
        <v>45134</v>
      </c>
      <c r="E339" s="352"/>
      <c r="F339" s="352">
        <v>6</v>
      </c>
      <c r="G339" s="429" t="s">
        <v>306</v>
      </c>
      <c r="H339" s="353" t="s">
        <v>865</v>
      </c>
      <c r="I339" s="350" t="s">
        <v>393</v>
      </c>
      <c r="J339" s="560">
        <v>382454</v>
      </c>
      <c r="K339" s="350" t="s">
        <v>394</v>
      </c>
      <c r="L339" s="354">
        <v>2803.6597999999999</v>
      </c>
      <c r="M339" s="560">
        <f t="shared" si="13"/>
        <v>136.4124135175031</v>
      </c>
      <c r="N339" s="354" t="s">
        <v>395</v>
      </c>
      <c r="O339" s="354">
        <v>0</v>
      </c>
      <c r="P339" s="355" t="s">
        <v>396</v>
      </c>
      <c r="Q339" s="354" t="s">
        <v>346</v>
      </c>
      <c r="R339" s="353">
        <v>0</v>
      </c>
      <c r="S339" s="353">
        <v>0</v>
      </c>
      <c r="T339" s="353">
        <v>0</v>
      </c>
      <c r="U339" s="353">
        <v>0</v>
      </c>
      <c r="V339" s="353">
        <v>0</v>
      </c>
      <c r="W339" s="353">
        <v>0</v>
      </c>
    </row>
    <row r="340" spans="1:23" x14ac:dyDescent="0.25">
      <c r="A340" s="348" t="s">
        <v>864</v>
      </c>
      <c r="B340" s="349">
        <v>16</v>
      </c>
      <c r="C340" s="607">
        <v>45108</v>
      </c>
      <c r="D340" s="351">
        <v>45134</v>
      </c>
      <c r="E340" s="352"/>
      <c r="F340" s="352">
        <v>6</v>
      </c>
      <c r="G340" s="429" t="s">
        <v>307</v>
      </c>
      <c r="H340" s="353" t="s">
        <v>866</v>
      </c>
      <c r="I340" s="350" t="s">
        <v>393</v>
      </c>
      <c r="J340" s="560">
        <v>216919</v>
      </c>
      <c r="K340" s="350" t="s">
        <v>394</v>
      </c>
      <c r="L340" s="354">
        <v>2803.6597999999999</v>
      </c>
      <c r="M340" s="560">
        <f t="shared" si="13"/>
        <v>77.369943386141216</v>
      </c>
      <c r="N340" s="354" t="s">
        <v>395</v>
      </c>
      <c r="O340" s="354">
        <v>0</v>
      </c>
      <c r="P340" s="355" t="s">
        <v>396</v>
      </c>
      <c r="Q340" s="354" t="s">
        <v>346</v>
      </c>
      <c r="R340" s="353">
        <v>0</v>
      </c>
      <c r="S340" s="353">
        <v>0</v>
      </c>
      <c r="T340" s="353">
        <v>0</v>
      </c>
      <c r="U340" s="353">
        <v>0</v>
      </c>
      <c r="V340" s="353">
        <v>0</v>
      </c>
      <c r="W340" s="353">
        <v>0</v>
      </c>
    </row>
    <row r="341" spans="1:23" x14ac:dyDescent="0.25">
      <c r="A341" s="348" t="s">
        <v>864</v>
      </c>
      <c r="B341" s="349">
        <v>16</v>
      </c>
      <c r="C341" s="607">
        <v>45108</v>
      </c>
      <c r="D341" s="351">
        <v>45134</v>
      </c>
      <c r="E341" s="352"/>
      <c r="F341" s="352">
        <v>6</v>
      </c>
      <c r="G341" s="429" t="s">
        <v>308</v>
      </c>
      <c r="H341" s="353" t="s">
        <v>867</v>
      </c>
      <c r="I341" s="350" t="s">
        <v>393</v>
      </c>
      <c r="J341" s="560">
        <v>382797</v>
      </c>
      <c r="K341" s="350" t="s">
        <v>394</v>
      </c>
      <c r="L341" s="354">
        <v>2803.6597999999999</v>
      </c>
      <c r="M341" s="560">
        <f t="shared" si="13"/>
        <v>136.53475361026327</v>
      </c>
      <c r="N341" s="354" t="s">
        <v>395</v>
      </c>
      <c r="O341" s="354">
        <v>0</v>
      </c>
      <c r="P341" s="355" t="s">
        <v>396</v>
      </c>
      <c r="Q341" s="354" t="s">
        <v>346</v>
      </c>
      <c r="R341" s="353">
        <v>0</v>
      </c>
      <c r="S341" s="353">
        <v>0</v>
      </c>
      <c r="T341" s="353">
        <v>0</v>
      </c>
      <c r="U341" s="353">
        <v>0</v>
      </c>
      <c r="V341" s="353">
        <v>0</v>
      </c>
      <c r="W341" s="353">
        <v>0</v>
      </c>
    </row>
    <row r="342" spans="1:23" x14ac:dyDescent="0.25">
      <c r="A342" s="348" t="s">
        <v>864</v>
      </c>
      <c r="B342" s="349">
        <v>16</v>
      </c>
      <c r="C342" s="607">
        <v>45108</v>
      </c>
      <c r="D342" s="351">
        <v>45134</v>
      </c>
      <c r="E342" s="352"/>
      <c r="F342" s="352">
        <v>6</v>
      </c>
      <c r="G342" s="429" t="s">
        <v>309</v>
      </c>
      <c r="H342" s="353" t="s">
        <v>868</v>
      </c>
      <c r="I342" s="350" t="s">
        <v>393</v>
      </c>
      <c r="J342" s="560">
        <v>1288541</v>
      </c>
      <c r="K342" s="350" t="s">
        <v>394</v>
      </c>
      <c r="L342" s="354">
        <v>2803.6597999999999</v>
      </c>
      <c r="M342" s="560">
        <f t="shared" si="13"/>
        <v>459.59249406793225</v>
      </c>
      <c r="N342" s="354" t="s">
        <v>395</v>
      </c>
      <c r="O342" s="354">
        <v>0</v>
      </c>
      <c r="P342" s="355" t="s">
        <v>396</v>
      </c>
      <c r="Q342" s="354" t="s">
        <v>346</v>
      </c>
      <c r="R342" s="353">
        <v>0</v>
      </c>
      <c r="S342" s="353">
        <v>0</v>
      </c>
      <c r="T342" s="353">
        <v>0</v>
      </c>
      <c r="U342" s="353">
        <v>0</v>
      </c>
      <c r="V342" s="353">
        <v>0</v>
      </c>
      <c r="W342" s="353">
        <v>0</v>
      </c>
    </row>
    <row r="343" spans="1:23" x14ac:dyDescent="0.25">
      <c r="A343" s="348" t="s">
        <v>864</v>
      </c>
      <c r="B343" s="349">
        <v>16</v>
      </c>
      <c r="C343" s="607">
        <v>45108</v>
      </c>
      <c r="D343" s="351">
        <v>45134</v>
      </c>
      <c r="E343" s="352"/>
      <c r="F343" s="352">
        <v>6</v>
      </c>
      <c r="G343" s="429" t="s">
        <v>310</v>
      </c>
      <c r="H343" s="353" t="s">
        <v>869</v>
      </c>
      <c r="I343" s="350" t="s">
        <v>393</v>
      </c>
      <c r="J343" s="560">
        <v>505196</v>
      </c>
      <c r="K343" s="350" t="s">
        <v>394</v>
      </c>
      <c r="L343" s="354">
        <v>2803.6597999999999</v>
      </c>
      <c r="M343" s="560">
        <f t="shared" si="13"/>
        <v>180.19161953957467</v>
      </c>
      <c r="N343" s="354" t="s">
        <v>395</v>
      </c>
      <c r="O343" s="354">
        <v>0</v>
      </c>
      <c r="P343" s="355" t="s">
        <v>396</v>
      </c>
      <c r="Q343" s="354" t="s">
        <v>346</v>
      </c>
      <c r="R343" s="353">
        <v>0</v>
      </c>
      <c r="S343" s="353">
        <v>0</v>
      </c>
      <c r="T343" s="353">
        <v>0</v>
      </c>
      <c r="U343" s="353">
        <v>0</v>
      </c>
      <c r="V343" s="353">
        <v>0</v>
      </c>
      <c r="W343" s="353">
        <v>0</v>
      </c>
    </row>
    <row r="344" spans="1:23" x14ac:dyDescent="0.25">
      <c r="A344" s="348" t="s">
        <v>864</v>
      </c>
      <c r="B344" s="349">
        <v>16</v>
      </c>
      <c r="C344" s="607">
        <v>45108</v>
      </c>
      <c r="D344" s="351">
        <v>45134</v>
      </c>
      <c r="E344" s="352"/>
      <c r="F344" s="352">
        <v>6</v>
      </c>
      <c r="G344" s="429" t="s">
        <v>311</v>
      </c>
      <c r="H344" s="353" t="s">
        <v>870</v>
      </c>
      <c r="I344" s="350" t="s">
        <v>393</v>
      </c>
      <c r="J344" s="560">
        <v>147836</v>
      </c>
      <c r="K344" s="350" t="s">
        <v>394</v>
      </c>
      <c r="L344" s="354">
        <v>2803.6597999999999</v>
      </c>
      <c r="M344" s="560">
        <f t="shared" si="13"/>
        <v>52.729650009605301</v>
      </c>
      <c r="N344" s="354" t="s">
        <v>395</v>
      </c>
      <c r="O344" s="354">
        <v>0</v>
      </c>
      <c r="P344" s="355" t="s">
        <v>396</v>
      </c>
      <c r="Q344" s="354" t="s">
        <v>346</v>
      </c>
      <c r="R344" s="353">
        <v>0</v>
      </c>
      <c r="S344" s="353">
        <v>0</v>
      </c>
      <c r="T344" s="353">
        <v>0</v>
      </c>
      <c r="U344" s="353">
        <v>0</v>
      </c>
      <c r="V344" s="353">
        <v>0</v>
      </c>
      <c r="W344" s="353">
        <v>0</v>
      </c>
    </row>
    <row r="345" spans="1:23" x14ac:dyDescent="0.25">
      <c r="A345" s="348" t="s">
        <v>871</v>
      </c>
      <c r="B345" s="349">
        <v>17</v>
      </c>
      <c r="C345" s="607">
        <v>45108</v>
      </c>
      <c r="D345" s="351">
        <v>45134</v>
      </c>
      <c r="E345" s="352"/>
      <c r="F345" s="352">
        <v>6</v>
      </c>
      <c r="G345" s="429" t="s">
        <v>306</v>
      </c>
      <c r="H345" s="353" t="s">
        <v>872</v>
      </c>
      <c r="I345" s="350" t="s">
        <v>393</v>
      </c>
      <c r="J345" s="560">
        <f>608892/6</f>
        <v>101482</v>
      </c>
      <c r="K345" s="350" t="s">
        <v>394</v>
      </c>
      <c r="L345" s="354">
        <v>2803.6597999999999</v>
      </c>
      <c r="M345" s="560">
        <f t="shared" si="13"/>
        <v>36.196260330871816</v>
      </c>
      <c r="N345" s="354" t="s">
        <v>395</v>
      </c>
      <c r="O345" s="354">
        <v>0</v>
      </c>
      <c r="P345" s="355" t="s">
        <v>396</v>
      </c>
      <c r="Q345" s="354" t="s">
        <v>346</v>
      </c>
      <c r="R345" s="353">
        <v>0</v>
      </c>
      <c r="S345" s="353">
        <v>0</v>
      </c>
      <c r="T345" s="353">
        <v>0</v>
      </c>
      <c r="U345" s="353">
        <v>0</v>
      </c>
      <c r="V345" s="353">
        <v>0</v>
      </c>
      <c r="W345" s="353">
        <v>0</v>
      </c>
    </row>
    <row r="346" spans="1:23" x14ac:dyDescent="0.25">
      <c r="A346" s="348" t="s">
        <v>871</v>
      </c>
      <c r="B346" s="349">
        <v>17</v>
      </c>
      <c r="C346" s="607">
        <v>45108</v>
      </c>
      <c r="D346" s="351">
        <v>45134</v>
      </c>
      <c r="E346" s="352"/>
      <c r="F346" s="352">
        <v>6</v>
      </c>
      <c r="G346" s="429" t="s">
        <v>306</v>
      </c>
      <c r="H346" s="353" t="s">
        <v>873</v>
      </c>
      <c r="I346" s="350" t="s">
        <v>393</v>
      </c>
      <c r="J346" s="560">
        <f t="shared" ref="J346:J350" si="14">608892/6</f>
        <v>101482</v>
      </c>
      <c r="K346" s="350" t="s">
        <v>394</v>
      </c>
      <c r="L346" s="354">
        <v>2803.6597999999999</v>
      </c>
      <c r="M346" s="560">
        <f t="shared" si="13"/>
        <v>36.196260330871816</v>
      </c>
      <c r="N346" s="354" t="s">
        <v>395</v>
      </c>
      <c r="O346" s="354">
        <v>0</v>
      </c>
      <c r="P346" s="355" t="s">
        <v>396</v>
      </c>
      <c r="Q346" s="354" t="s">
        <v>346</v>
      </c>
      <c r="R346" s="353">
        <v>0</v>
      </c>
      <c r="S346" s="353">
        <v>0</v>
      </c>
      <c r="T346" s="353">
        <v>0</v>
      </c>
      <c r="U346" s="353">
        <v>0</v>
      </c>
      <c r="V346" s="353">
        <v>0</v>
      </c>
      <c r="W346" s="353">
        <v>0</v>
      </c>
    </row>
    <row r="347" spans="1:23" x14ac:dyDescent="0.25">
      <c r="A347" s="348" t="s">
        <v>871</v>
      </c>
      <c r="B347" s="349">
        <v>17</v>
      </c>
      <c r="C347" s="607">
        <v>45108</v>
      </c>
      <c r="D347" s="351">
        <v>45134</v>
      </c>
      <c r="E347" s="352"/>
      <c r="F347" s="352">
        <v>6</v>
      </c>
      <c r="G347" s="429" t="s">
        <v>306</v>
      </c>
      <c r="H347" s="353" t="s">
        <v>874</v>
      </c>
      <c r="I347" s="350" t="s">
        <v>393</v>
      </c>
      <c r="J347" s="560">
        <f t="shared" si="14"/>
        <v>101482</v>
      </c>
      <c r="K347" s="350" t="s">
        <v>394</v>
      </c>
      <c r="L347" s="354">
        <v>2803.6597999999999</v>
      </c>
      <c r="M347" s="560">
        <f t="shared" si="13"/>
        <v>36.196260330871816</v>
      </c>
      <c r="N347" s="354" t="s">
        <v>395</v>
      </c>
      <c r="O347" s="354">
        <v>0</v>
      </c>
      <c r="P347" s="355" t="s">
        <v>396</v>
      </c>
      <c r="Q347" s="354" t="s">
        <v>346</v>
      </c>
      <c r="R347" s="353">
        <v>0</v>
      </c>
      <c r="S347" s="353">
        <v>0</v>
      </c>
      <c r="T347" s="353">
        <v>0</v>
      </c>
      <c r="U347" s="353">
        <v>0</v>
      </c>
      <c r="V347" s="353">
        <v>0</v>
      </c>
      <c r="W347" s="353">
        <v>0</v>
      </c>
    </row>
    <row r="348" spans="1:23" x14ac:dyDescent="0.25">
      <c r="A348" s="348" t="s">
        <v>871</v>
      </c>
      <c r="B348" s="349">
        <v>17</v>
      </c>
      <c r="C348" s="607">
        <v>45108</v>
      </c>
      <c r="D348" s="351">
        <v>45134</v>
      </c>
      <c r="E348" s="352"/>
      <c r="F348" s="352">
        <v>6</v>
      </c>
      <c r="G348" s="429" t="s">
        <v>306</v>
      </c>
      <c r="H348" s="353" t="s">
        <v>875</v>
      </c>
      <c r="I348" s="350" t="s">
        <v>393</v>
      </c>
      <c r="J348" s="560">
        <f t="shared" si="14"/>
        <v>101482</v>
      </c>
      <c r="K348" s="350" t="s">
        <v>394</v>
      </c>
      <c r="L348" s="354">
        <v>2803.6597999999999</v>
      </c>
      <c r="M348" s="560">
        <f t="shared" si="13"/>
        <v>36.196260330871816</v>
      </c>
      <c r="N348" s="354" t="s">
        <v>395</v>
      </c>
      <c r="O348" s="354">
        <v>0</v>
      </c>
      <c r="P348" s="355" t="s">
        <v>396</v>
      </c>
      <c r="Q348" s="354" t="s">
        <v>346</v>
      </c>
      <c r="R348" s="353">
        <v>0</v>
      </c>
      <c r="S348" s="353">
        <v>0</v>
      </c>
      <c r="T348" s="353">
        <v>0</v>
      </c>
      <c r="U348" s="353">
        <v>0</v>
      </c>
      <c r="V348" s="353">
        <v>0</v>
      </c>
      <c r="W348" s="353">
        <v>0</v>
      </c>
    </row>
    <row r="349" spans="1:23" x14ac:dyDescent="0.25">
      <c r="A349" s="348" t="s">
        <v>871</v>
      </c>
      <c r="B349" s="349">
        <v>17</v>
      </c>
      <c r="C349" s="607">
        <v>45108</v>
      </c>
      <c r="D349" s="351">
        <v>45134</v>
      </c>
      <c r="E349" s="352"/>
      <c r="F349" s="352">
        <v>6</v>
      </c>
      <c r="G349" s="429" t="s">
        <v>306</v>
      </c>
      <c r="H349" s="353" t="s">
        <v>876</v>
      </c>
      <c r="I349" s="350" t="s">
        <v>393</v>
      </c>
      <c r="J349" s="560">
        <f t="shared" si="14"/>
        <v>101482</v>
      </c>
      <c r="K349" s="350" t="s">
        <v>394</v>
      </c>
      <c r="L349" s="354">
        <v>2803.6597999999999</v>
      </c>
      <c r="M349" s="560">
        <f t="shared" si="13"/>
        <v>36.196260330871816</v>
      </c>
      <c r="N349" s="354" t="s">
        <v>395</v>
      </c>
      <c r="O349" s="354">
        <v>0</v>
      </c>
      <c r="P349" s="355" t="s">
        <v>396</v>
      </c>
      <c r="Q349" s="354" t="s">
        <v>346</v>
      </c>
      <c r="R349" s="353">
        <v>0</v>
      </c>
      <c r="S349" s="353">
        <v>0</v>
      </c>
      <c r="T349" s="353">
        <v>0</v>
      </c>
      <c r="U349" s="353">
        <v>0</v>
      </c>
      <c r="V349" s="353">
        <v>0</v>
      </c>
      <c r="W349" s="353">
        <v>0</v>
      </c>
    </row>
    <row r="350" spans="1:23" x14ac:dyDescent="0.25">
      <c r="A350" s="348" t="s">
        <v>871</v>
      </c>
      <c r="B350" s="349">
        <v>17</v>
      </c>
      <c r="C350" s="607">
        <v>45108</v>
      </c>
      <c r="D350" s="351">
        <v>45134</v>
      </c>
      <c r="E350" s="352"/>
      <c r="F350" s="352">
        <v>6</v>
      </c>
      <c r="G350" s="429" t="s">
        <v>306</v>
      </c>
      <c r="H350" s="353" t="s">
        <v>877</v>
      </c>
      <c r="I350" s="350" t="s">
        <v>393</v>
      </c>
      <c r="J350" s="560">
        <f t="shared" si="14"/>
        <v>101482</v>
      </c>
      <c r="K350" s="350" t="s">
        <v>394</v>
      </c>
      <c r="L350" s="354">
        <v>2803.6597999999999</v>
      </c>
      <c r="M350" s="560">
        <f t="shared" si="13"/>
        <v>36.196260330871816</v>
      </c>
      <c r="N350" s="354" t="s">
        <v>395</v>
      </c>
      <c r="O350" s="354">
        <v>0</v>
      </c>
      <c r="P350" s="355" t="s">
        <v>396</v>
      </c>
      <c r="Q350" s="354" t="s">
        <v>346</v>
      </c>
      <c r="R350" s="353">
        <v>0</v>
      </c>
      <c r="S350" s="353">
        <v>0</v>
      </c>
      <c r="T350" s="353">
        <v>0</v>
      </c>
      <c r="U350" s="353">
        <v>0</v>
      </c>
      <c r="V350" s="353">
        <v>0</v>
      </c>
      <c r="W350" s="353">
        <v>0</v>
      </c>
    </row>
    <row r="351" spans="1:23" x14ac:dyDescent="0.25">
      <c r="A351" s="348" t="s">
        <v>871</v>
      </c>
      <c r="B351" s="349">
        <v>17</v>
      </c>
      <c r="C351" s="607">
        <v>45108</v>
      </c>
      <c r="D351" s="351">
        <v>45134</v>
      </c>
      <c r="E351" s="352"/>
      <c r="F351" s="352">
        <v>6</v>
      </c>
      <c r="G351" s="429" t="s">
        <v>307</v>
      </c>
      <c r="H351" s="353" t="s">
        <v>878</v>
      </c>
      <c r="I351" s="350" t="s">
        <v>393</v>
      </c>
      <c r="J351" s="560">
        <f>389514/6</f>
        <v>64919</v>
      </c>
      <c r="K351" s="350" t="s">
        <v>394</v>
      </c>
      <c r="L351" s="354">
        <v>2803.6597999999999</v>
      </c>
      <c r="M351" s="560">
        <f t="shared" si="13"/>
        <v>23.15509178396038</v>
      </c>
      <c r="N351" s="354" t="s">
        <v>395</v>
      </c>
      <c r="O351" s="354">
        <v>0</v>
      </c>
      <c r="P351" s="355" t="s">
        <v>396</v>
      </c>
      <c r="Q351" s="354" t="s">
        <v>346</v>
      </c>
      <c r="R351" s="353">
        <v>0</v>
      </c>
      <c r="S351" s="353">
        <v>0</v>
      </c>
      <c r="T351" s="353">
        <v>0</v>
      </c>
      <c r="U351" s="353">
        <v>0</v>
      </c>
      <c r="V351" s="353">
        <v>0</v>
      </c>
      <c r="W351" s="353">
        <v>0</v>
      </c>
    </row>
    <row r="352" spans="1:23" x14ac:dyDescent="0.25">
      <c r="A352" s="348" t="s">
        <v>871</v>
      </c>
      <c r="B352" s="349">
        <v>17</v>
      </c>
      <c r="C352" s="607">
        <v>45108</v>
      </c>
      <c r="D352" s="351">
        <v>45134</v>
      </c>
      <c r="E352" s="352"/>
      <c r="F352" s="352">
        <v>6</v>
      </c>
      <c r="G352" s="429" t="s">
        <v>307</v>
      </c>
      <c r="H352" s="353" t="s">
        <v>879</v>
      </c>
      <c r="I352" s="350" t="s">
        <v>393</v>
      </c>
      <c r="J352" s="560">
        <f t="shared" ref="J352:J356" si="15">389514/6</f>
        <v>64919</v>
      </c>
      <c r="K352" s="350" t="s">
        <v>394</v>
      </c>
      <c r="L352" s="354">
        <v>2803.6597999999999</v>
      </c>
      <c r="M352" s="560">
        <f t="shared" si="13"/>
        <v>23.15509178396038</v>
      </c>
      <c r="N352" s="354" t="s">
        <v>395</v>
      </c>
      <c r="O352" s="354">
        <v>0</v>
      </c>
      <c r="P352" s="355" t="s">
        <v>396</v>
      </c>
      <c r="Q352" s="354" t="s">
        <v>346</v>
      </c>
      <c r="R352" s="353">
        <v>0</v>
      </c>
      <c r="S352" s="353">
        <v>0</v>
      </c>
      <c r="T352" s="353">
        <v>0</v>
      </c>
      <c r="U352" s="353">
        <v>0</v>
      </c>
      <c r="V352" s="353">
        <v>0</v>
      </c>
      <c r="W352" s="353">
        <v>0</v>
      </c>
    </row>
    <row r="353" spans="1:23" x14ac:dyDescent="0.25">
      <c r="A353" s="348" t="s">
        <v>871</v>
      </c>
      <c r="B353" s="349">
        <v>17</v>
      </c>
      <c r="C353" s="607">
        <v>45108</v>
      </c>
      <c r="D353" s="351">
        <v>45134</v>
      </c>
      <c r="E353" s="352"/>
      <c r="F353" s="352">
        <v>6</v>
      </c>
      <c r="G353" s="429" t="s">
        <v>307</v>
      </c>
      <c r="H353" s="353" t="s">
        <v>880</v>
      </c>
      <c r="I353" s="350" t="s">
        <v>393</v>
      </c>
      <c r="J353" s="560">
        <f t="shared" si="15"/>
        <v>64919</v>
      </c>
      <c r="K353" s="350" t="s">
        <v>394</v>
      </c>
      <c r="L353" s="354">
        <v>2803.6597999999999</v>
      </c>
      <c r="M353" s="560">
        <f t="shared" si="13"/>
        <v>23.15509178396038</v>
      </c>
      <c r="N353" s="354" t="s">
        <v>395</v>
      </c>
      <c r="O353" s="354">
        <v>0</v>
      </c>
      <c r="P353" s="355" t="s">
        <v>396</v>
      </c>
      <c r="Q353" s="354" t="s">
        <v>346</v>
      </c>
      <c r="R353" s="353">
        <v>0</v>
      </c>
      <c r="S353" s="353">
        <v>0</v>
      </c>
      <c r="T353" s="353">
        <v>0</v>
      </c>
      <c r="U353" s="353">
        <v>0</v>
      </c>
      <c r="V353" s="353">
        <v>0</v>
      </c>
      <c r="W353" s="353">
        <v>0</v>
      </c>
    </row>
    <row r="354" spans="1:23" x14ac:dyDescent="0.25">
      <c r="A354" s="348" t="s">
        <v>871</v>
      </c>
      <c r="B354" s="349">
        <v>17</v>
      </c>
      <c r="C354" s="607">
        <v>45108</v>
      </c>
      <c r="D354" s="351">
        <v>45134</v>
      </c>
      <c r="E354" s="352"/>
      <c r="F354" s="352">
        <v>6</v>
      </c>
      <c r="G354" s="429" t="s">
        <v>307</v>
      </c>
      <c r="H354" s="353" t="s">
        <v>881</v>
      </c>
      <c r="I354" s="350" t="s">
        <v>393</v>
      </c>
      <c r="J354" s="560">
        <f t="shared" si="15"/>
        <v>64919</v>
      </c>
      <c r="K354" s="350" t="s">
        <v>394</v>
      </c>
      <c r="L354" s="354">
        <v>2803.6597999999999</v>
      </c>
      <c r="M354" s="560">
        <f t="shared" si="13"/>
        <v>23.15509178396038</v>
      </c>
      <c r="N354" s="354" t="s">
        <v>395</v>
      </c>
      <c r="O354" s="354">
        <v>0</v>
      </c>
      <c r="P354" s="355" t="s">
        <v>396</v>
      </c>
      <c r="Q354" s="354" t="s">
        <v>346</v>
      </c>
      <c r="R354" s="353">
        <v>0</v>
      </c>
      <c r="S354" s="353">
        <v>0</v>
      </c>
      <c r="T354" s="353">
        <v>0</v>
      </c>
      <c r="U354" s="353">
        <v>0</v>
      </c>
      <c r="V354" s="353">
        <v>0</v>
      </c>
      <c r="W354" s="353">
        <v>0</v>
      </c>
    </row>
    <row r="355" spans="1:23" x14ac:dyDescent="0.25">
      <c r="A355" s="348" t="s">
        <v>871</v>
      </c>
      <c r="B355" s="349">
        <v>17</v>
      </c>
      <c r="C355" s="607">
        <v>45108</v>
      </c>
      <c r="D355" s="351">
        <v>45134</v>
      </c>
      <c r="E355" s="352"/>
      <c r="F355" s="352">
        <v>6</v>
      </c>
      <c r="G355" s="429" t="s">
        <v>307</v>
      </c>
      <c r="H355" s="353" t="s">
        <v>882</v>
      </c>
      <c r="I355" s="350" t="s">
        <v>393</v>
      </c>
      <c r="J355" s="560">
        <f t="shared" si="15"/>
        <v>64919</v>
      </c>
      <c r="K355" s="350" t="s">
        <v>394</v>
      </c>
      <c r="L355" s="354">
        <v>2803.6597999999999</v>
      </c>
      <c r="M355" s="560">
        <f t="shared" si="13"/>
        <v>23.15509178396038</v>
      </c>
      <c r="N355" s="354" t="s">
        <v>395</v>
      </c>
      <c r="O355" s="354">
        <v>0</v>
      </c>
      <c r="P355" s="355" t="s">
        <v>396</v>
      </c>
      <c r="Q355" s="354" t="s">
        <v>346</v>
      </c>
      <c r="R355" s="353">
        <v>0</v>
      </c>
      <c r="S355" s="353">
        <v>0</v>
      </c>
      <c r="T355" s="353">
        <v>0</v>
      </c>
      <c r="U355" s="353">
        <v>0</v>
      </c>
      <c r="V355" s="353">
        <v>0</v>
      </c>
      <c r="W355" s="353">
        <v>0</v>
      </c>
    </row>
    <row r="356" spans="1:23" x14ac:dyDescent="0.25">
      <c r="A356" s="348" t="s">
        <v>871</v>
      </c>
      <c r="B356" s="349">
        <v>17</v>
      </c>
      <c r="C356" s="607">
        <v>45108</v>
      </c>
      <c r="D356" s="351">
        <v>45134</v>
      </c>
      <c r="E356" s="352"/>
      <c r="F356" s="352">
        <v>6</v>
      </c>
      <c r="G356" s="429" t="s">
        <v>307</v>
      </c>
      <c r="H356" s="353" t="s">
        <v>883</v>
      </c>
      <c r="I356" s="350" t="s">
        <v>393</v>
      </c>
      <c r="J356" s="560">
        <f t="shared" si="15"/>
        <v>64919</v>
      </c>
      <c r="K356" s="350" t="s">
        <v>394</v>
      </c>
      <c r="L356" s="354">
        <v>2803.6597999999999</v>
      </c>
      <c r="M356" s="560">
        <f t="shared" si="13"/>
        <v>23.15509178396038</v>
      </c>
      <c r="N356" s="354" t="s">
        <v>395</v>
      </c>
      <c r="O356" s="354">
        <v>0</v>
      </c>
      <c r="P356" s="355" t="s">
        <v>396</v>
      </c>
      <c r="Q356" s="354" t="s">
        <v>346</v>
      </c>
      <c r="R356" s="353">
        <v>0</v>
      </c>
      <c r="S356" s="353">
        <v>0</v>
      </c>
      <c r="T356" s="353">
        <v>0</v>
      </c>
      <c r="U356" s="353">
        <v>0</v>
      </c>
      <c r="V356" s="353">
        <v>0</v>
      </c>
      <c r="W356" s="353">
        <v>0</v>
      </c>
    </row>
    <row r="357" spans="1:23" x14ac:dyDescent="0.25">
      <c r="A357" s="348" t="s">
        <v>871</v>
      </c>
      <c r="B357" s="349">
        <v>17</v>
      </c>
      <c r="C357" s="607">
        <v>45108</v>
      </c>
      <c r="D357" s="351">
        <v>45134</v>
      </c>
      <c r="E357" s="352"/>
      <c r="F357" s="352">
        <v>6</v>
      </c>
      <c r="G357" s="429" t="s">
        <v>308</v>
      </c>
      <c r="H357" s="353" t="s">
        <v>884</v>
      </c>
      <c r="I357" s="350" t="s">
        <v>393</v>
      </c>
      <c r="J357" s="560">
        <f>608898/6</f>
        <v>101483</v>
      </c>
      <c r="K357" s="350" t="s">
        <v>394</v>
      </c>
      <c r="L357" s="354">
        <v>2803.6597999999999</v>
      </c>
      <c r="M357" s="560">
        <f t="shared" si="13"/>
        <v>36.196617007527088</v>
      </c>
      <c r="N357" s="354" t="s">
        <v>395</v>
      </c>
      <c r="O357" s="354">
        <v>0</v>
      </c>
      <c r="P357" s="355" t="s">
        <v>396</v>
      </c>
      <c r="Q357" s="354" t="s">
        <v>346</v>
      </c>
      <c r="R357" s="353">
        <v>0</v>
      </c>
      <c r="S357" s="353">
        <v>0</v>
      </c>
      <c r="T357" s="353">
        <v>0</v>
      </c>
      <c r="U357" s="353">
        <v>0</v>
      </c>
      <c r="V357" s="353">
        <v>0</v>
      </c>
      <c r="W357" s="353">
        <v>0</v>
      </c>
    </row>
    <row r="358" spans="1:23" x14ac:dyDescent="0.25">
      <c r="A358" s="348" t="s">
        <v>871</v>
      </c>
      <c r="B358" s="349">
        <v>17</v>
      </c>
      <c r="C358" s="607">
        <v>45108</v>
      </c>
      <c r="D358" s="351">
        <v>45134</v>
      </c>
      <c r="E358" s="352"/>
      <c r="F358" s="352">
        <v>6</v>
      </c>
      <c r="G358" s="429" t="s">
        <v>308</v>
      </c>
      <c r="H358" s="353" t="s">
        <v>885</v>
      </c>
      <c r="I358" s="350" t="s">
        <v>393</v>
      </c>
      <c r="J358" s="560">
        <f t="shared" ref="J358:J362" si="16">608898/6</f>
        <v>101483</v>
      </c>
      <c r="K358" s="350" t="s">
        <v>394</v>
      </c>
      <c r="L358" s="354">
        <v>2803.6597999999999</v>
      </c>
      <c r="M358" s="560">
        <f t="shared" si="13"/>
        <v>36.196617007527088</v>
      </c>
      <c r="N358" s="354" t="s">
        <v>395</v>
      </c>
      <c r="O358" s="354">
        <v>0</v>
      </c>
      <c r="P358" s="355" t="s">
        <v>396</v>
      </c>
      <c r="Q358" s="354" t="s">
        <v>346</v>
      </c>
      <c r="R358" s="353">
        <v>0</v>
      </c>
      <c r="S358" s="353">
        <v>0</v>
      </c>
      <c r="T358" s="353">
        <v>0</v>
      </c>
      <c r="U358" s="353">
        <v>0</v>
      </c>
      <c r="V358" s="353">
        <v>0</v>
      </c>
      <c r="W358" s="353">
        <v>0</v>
      </c>
    </row>
    <row r="359" spans="1:23" x14ac:dyDescent="0.25">
      <c r="A359" s="348" t="s">
        <v>871</v>
      </c>
      <c r="B359" s="349">
        <v>17</v>
      </c>
      <c r="C359" s="607">
        <v>45108</v>
      </c>
      <c r="D359" s="351">
        <v>45134</v>
      </c>
      <c r="E359" s="352"/>
      <c r="F359" s="352">
        <v>6</v>
      </c>
      <c r="G359" s="429" t="s">
        <v>307</v>
      </c>
      <c r="H359" s="353" t="s">
        <v>886</v>
      </c>
      <c r="I359" s="350" t="s">
        <v>393</v>
      </c>
      <c r="J359" s="560">
        <f t="shared" si="16"/>
        <v>101483</v>
      </c>
      <c r="K359" s="350" t="s">
        <v>394</v>
      </c>
      <c r="L359" s="354">
        <v>2803.6597999999999</v>
      </c>
      <c r="M359" s="560">
        <f t="shared" si="13"/>
        <v>36.196617007527088</v>
      </c>
      <c r="N359" s="354" t="s">
        <v>395</v>
      </c>
      <c r="O359" s="354">
        <v>0</v>
      </c>
      <c r="P359" s="355" t="s">
        <v>396</v>
      </c>
      <c r="Q359" s="354" t="s">
        <v>346</v>
      </c>
      <c r="R359" s="353">
        <v>0</v>
      </c>
      <c r="S359" s="353">
        <v>0</v>
      </c>
      <c r="T359" s="353">
        <v>0</v>
      </c>
      <c r="U359" s="353">
        <v>0</v>
      </c>
      <c r="V359" s="353">
        <v>0</v>
      </c>
      <c r="W359" s="353">
        <v>0</v>
      </c>
    </row>
    <row r="360" spans="1:23" x14ac:dyDescent="0.25">
      <c r="A360" s="348" t="s">
        <v>871</v>
      </c>
      <c r="B360" s="349">
        <v>17</v>
      </c>
      <c r="C360" s="607">
        <v>45108</v>
      </c>
      <c r="D360" s="351">
        <v>45134</v>
      </c>
      <c r="E360" s="352"/>
      <c r="F360" s="352">
        <v>6</v>
      </c>
      <c r="G360" s="429" t="s">
        <v>308</v>
      </c>
      <c r="H360" s="353" t="s">
        <v>887</v>
      </c>
      <c r="I360" s="350" t="s">
        <v>393</v>
      </c>
      <c r="J360" s="560">
        <f t="shared" si="16"/>
        <v>101483</v>
      </c>
      <c r="K360" s="350" t="s">
        <v>394</v>
      </c>
      <c r="L360" s="354">
        <v>2803.6597999999999</v>
      </c>
      <c r="M360" s="560">
        <f t="shared" si="13"/>
        <v>36.196617007527088</v>
      </c>
      <c r="N360" s="354" t="s">
        <v>395</v>
      </c>
      <c r="O360" s="354">
        <v>0</v>
      </c>
      <c r="P360" s="355" t="s">
        <v>396</v>
      </c>
      <c r="Q360" s="354" t="s">
        <v>346</v>
      </c>
      <c r="R360" s="353">
        <v>0</v>
      </c>
      <c r="S360" s="353">
        <v>0</v>
      </c>
      <c r="T360" s="353">
        <v>0</v>
      </c>
      <c r="U360" s="353">
        <v>0</v>
      </c>
      <c r="V360" s="353">
        <v>0</v>
      </c>
      <c r="W360" s="353">
        <v>0</v>
      </c>
    </row>
    <row r="361" spans="1:23" x14ac:dyDescent="0.25">
      <c r="A361" s="348" t="s">
        <v>871</v>
      </c>
      <c r="B361" s="349">
        <v>17</v>
      </c>
      <c r="C361" s="607">
        <v>45108</v>
      </c>
      <c r="D361" s="351">
        <v>45134</v>
      </c>
      <c r="E361" s="352"/>
      <c r="F361" s="352">
        <v>6</v>
      </c>
      <c r="G361" s="429" t="s">
        <v>308</v>
      </c>
      <c r="H361" s="353" t="s">
        <v>888</v>
      </c>
      <c r="I361" s="350" t="s">
        <v>393</v>
      </c>
      <c r="J361" s="560">
        <f t="shared" si="16"/>
        <v>101483</v>
      </c>
      <c r="K361" s="350" t="s">
        <v>394</v>
      </c>
      <c r="L361" s="354">
        <v>2803.6597999999999</v>
      </c>
      <c r="M361" s="560">
        <f t="shared" si="13"/>
        <v>36.196617007527088</v>
      </c>
      <c r="N361" s="354" t="s">
        <v>395</v>
      </c>
      <c r="O361" s="354">
        <v>0</v>
      </c>
      <c r="P361" s="355" t="s">
        <v>396</v>
      </c>
      <c r="Q361" s="354" t="s">
        <v>346</v>
      </c>
      <c r="R361" s="353">
        <v>0</v>
      </c>
      <c r="S361" s="353">
        <v>0</v>
      </c>
      <c r="T361" s="353">
        <v>0</v>
      </c>
      <c r="U361" s="353">
        <v>0</v>
      </c>
      <c r="V361" s="353">
        <v>0</v>
      </c>
      <c r="W361" s="353">
        <v>0</v>
      </c>
    </row>
    <row r="362" spans="1:23" x14ac:dyDescent="0.25">
      <c r="A362" s="348" t="s">
        <v>871</v>
      </c>
      <c r="B362" s="349">
        <v>17</v>
      </c>
      <c r="C362" s="607">
        <v>45108</v>
      </c>
      <c r="D362" s="351">
        <v>45134</v>
      </c>
      <c r="E362" s="352"/>
      <c r="F362" s="352">
        <v>6</v>
      </c>
      <c r="G362" s="429" t="s">
        <v>308</v>
      </c>
      <c r="H362" s="353" t="s">
        <v>889</v>
      </c>
      <c r="I362" s="350" t="s">
        <v>393</v>
      </c>
      <c r="J362" s="560">
        <f t="shared" si="16"/>
        <v>101483</v>
      </c>
      <c r="K362" s="350" t="s">
        <v>394</v>
      </c>
      <c r="L362" s="354">
        <v>2803.6597999999999</v>
      </c>
      <c r="M362" s="560">
        <f t="shared" si="13"/>
        <v>36.196617007527088</v>
      </c>
      <c r="N362" s="354" t="s">
        <v>395</v>
      </c>
      <c r="O362" s="354">
        <v>0</v>
      </c>
      <c r="P362" s="355" t="s">
        <v>396</v>
      </c>
      <c r="Q362" s="354" t="s">
        <v>346</v>
      </c>
      <c r="R362" s="353">
        <v>0</v>
      </c>
      <c r="S362" s="353">
        <v>0</v>
      </c>
      <c r="T362" s="353">
        <v>0</v>
      </c>
      <c r="U362" s="353">
        <v>0</v>
      </c>
      <c r="V362" s="353">
        <v>0</v>
      </c>
      <c r="W362" s="353">
        <v>0</v>
      </c>
    </row>
    <row r="363" spans="1:23" x14ac:dyDescent="0.25">
      <c r="A363" s="348" t="s">
        <v>871</v>
      </c>
      <c r="B363" s="349">
        <v>17</v>
      </c>
      <c r="C363" s="607">
        <v>45108</v>
      </c>
      <c r="D363" s="351">
        <v>45134</v>
      </c>
      <c r="E363" s="352"/>
      <c r="F363" s="352">
        <v>6</v>
      </c>
      <c r="G363" s="429" t="s">
        <v>309</v>
      </c>
      <c r="H363" s="353" t="s">
        <v>890</v>
      </c>
      <c r="I363" s="350" t="s">
        <v>393</v>
      </c>
      <c r="J363" s="560">
        <f>1929926/6</f>
        <v>321654.33333333331</v>
      </c>
      <c r="K363" s="350" t="s">
        <v>394</v>
      </c>
      <c r="L363" s="354">
        <v>2803.6597999999999</v>
      </c>
      <c r="M363" s="560">
        <f t="shared" si="13"/>
        <v>114.72659176884918</v>
      </c>
      <c r="N363" s="354" t="s">
        <v>395</v>
      </c>
      <c r="O363" s="354">
        <v>0</v>
      </c>
      <c r="P363" s="355" t="s">
        <v>396</v>
      </c>
      <c r="Q363" s="354" t="s">
        <v>346</v>
      </c>
      <c r="R363" s="353">
        <v>0</v>
      </c>
      <c r="S363" s="353">
        <v>0</v>
      </c>
      <c r="T363" s="353">
        <v>0</v>
      </c>
      <c r="U363" s="353">
        <v>0</v>
      </c>
      <c r="V363" s="353">
        <v>0</v>
      </c>
      <c r="W363" s="353">
        <v>0</v>
      </c>
    </row>
    <row r="364" spans="1:23" x14ac:dyDescent="0.25">
      <c r="A364" s="348" t="s">
        <v>871</v>
      </c>
      <c r="B364" s="349">
        <v>17</v>
      </c>
      <c r="C364" s="607">
        <v>45108</v>
      </c>
      <c r="D364" s="351">
        <v>45134</v>
      </c>
      <c r="E364" s="352"/>
      <c r="F364" s="352">
        <v>6</v>
      </c>
      <c r="G364" s="429" t="s">
        <v>309</v>
      </c>
      <c r="H364" s="353" t="s">
        <v>891</v>
      </c>
      <c r="I364" s="350" t="s">
        <v>393</v>
      </c>
      <c r="J364" s="560">
        <f t="shared" ref="J364:J368" si="17">1929926/6</f>
        <v>321654.33333333331</v>
      </c>
      <c r="K364" s="350" t="s">
        <v>394</v>
      </c>
      <c r="L364" s="354">
        <v>2803.6597999999999</v>
      </c>
      <c r="M364" s="560">
        <f t="shared" si="13"/>
        <v>114.72659176884918</v>
      </c>
      <c r="N364" s="354" t="s">
        <v>395</v>
      </c>
      <c r="O364" s="354">
        <v>0</v>
      </c>
      <c r="P364" s="355" t="s">
        <v>396</v>
      </c>
      <c r="Q364" s="354" t="s">
        <v>346</v>
      </c>
      <c r="R364" s="353">
        <v>0</v>
      </c>
      <c r="S364" s="353">
        <v>0</v>
      </c>
      <c r="T364" s="353">
        <v>0</v>
      </c>
      <c r="U364" s="353">
        <v>0</v>
      </c>
      <c r="V364" s="353">
        <v>0</v>
      </c>
      <c r="W364" s="353">
        <v>0</v>
      </c>
    </row>
    <row r="365" spans="1:23" x14ac:dyDescent="0.25">
      <c r="A365" s="348" t="s">
        <v>871</v>
      </c>
      <c r="B365" s="349">
        <v>17</v>
      </c>
      <c r="C365" s="607">
        <v>45108</v>
      </c>
      <c r="D365" s="351">
        <v>45134</v>
      </c>
      <c r="E365" s="352"/>
      <c r="F365" s="352">
        <v>6</v>
      </c>
      <c r="G365" s="429" t="s">
        <v>309</v>
      </c>
      <c r="H365" s="353" t="s">
        <v>892</v>
      </c>
      <c r="I365" s="350" t="s">
        <v>393</v>
      </c>
      <c r="J365" s="560">
        <f t="shared" si="17"/>
        <v>321654.33333333331</v>
      </c>
      <c r="K365" s="350" t="s">
        <v>394</v>
      </c>
      <c r="L365" s="354">
        <v>2803.6597999999999</v>
      </c>
      <c r="M365" s="560">
        <f t="shared" si="13"/>
        <v>114.72659176884918</v>
      </c>
      <c r="N365" s="354" t="s">
        <v>395</v>
      </c>
      <c r="O365" s="354">
        <v>0</v>
      </c>
      <c r="P365" s="355" t="s">
        <v>396</v>
      </c>
      <c r="Q365" s="354" t="s">
        <v>346</v>
      </c>
      <c r="R365" s="353">
        <v>0</v>
      </c>
      <c r="S365" s="353">
        <v>0</v>
      </c>
      <c r="T365" s="353">
        <v>0</v>
      </c>
      <c r="U365" s="353">
        <v>0</v>
      </c>
      <c r="V365" s="353">
        <v>0</v>
      </c>
      <c r="W365" s="353">
        <v>0</v>
      </c>
    </row>
    <row r="366" spans="1:23" x14ac:dyDescent="0.25">
      <c r="A366" s="348" t="s">
        <v>871</v>
      </c>
      <c r="B366" s="349">
        <v>17</v>
      </c>
      <c r="C366" s="607">
        <v>45108</v>
      </c>
      <c r="D366" s="351">
        <v>45134</v>
      </c>
      <c r="E366" s="352"/>
      <c r="F366" s="352">
        <v>6</v>
      </c>
      <c r="G366" s="429" t="s">
        <v>309</v>
      </c>
      <c r="H366" s="353" t="s">
        <v>893</v>
      </c>
      <c r="I366" s="350" t="s">
        <v>393</v>
      </c>
      <c r="J366" s="560">
        <f t="shared" si="17"/>
        <v>321654.33333333331</v>
      </c>
      <c r="K366" s="350" t="s">
        <v>394</v>
      </c>
      <c r="L366" s="354">
        <v>2803.6597999999999</v>
      </c>
      <c r="M366" s="560">
        <f t="shared" si="13"/>
        <v>114.72659176884918</v>
      </c>
      <c r="N366" s="354" t="s">
        <v>395</v>
      </c>
      <c r="O366" s="354">
        <v>0</v>
      </c>
      <c r="P366" s="355" t="s">
        <v>396</v>
      </c>
      <c r="Q366" s="354" t="s">
        <v>346</v>
      </c>
      <c r="R366" s="353">
        <v>0</v>
      </c>
      <c r="S366" s="353">
        <v>0</v>
      </c>
      <c r="T366" s="353">
        <v>0</v>
      </c>
      <c r="U366" s="353">
        <v>0</v>
      </c>
      <c r="V366" s="353">
        <v>0</v>
      </c>
      <c r="W366" s="353">
        <v>0</v>
      </c>
    </row>
    <row r="367" spans="1:23" x14ac:dyDescent="0.25">
      <c r="A367" s="348" t="s">
        <v>871</v>
      </c>
      <c r="B367" s="349">
        <v>17</v>
      </c>
      <c r="C367" s="607">
        <v>45108</v>
      </c>
      <c r="D367" s="351">
        <v>45134</v>
      </c>
      <c r="E367" s="352"/>
      <c r="F367" s="352">
        <v>6</v>
      </c>
      <c r="G367" s="429" t="s">
        <v>309</v>
      </c>
      <c r="H367" s="353" t="s">
        <v>894</v>
      </c>
      <c r="I367" s="350" t="s">
        <v>393</v>
      </c>
      <c r="J367" s="560">
        <f t="shared" si="17"/>
        <v>321654.33333333331</v>
      </c>
      <c r="K367" s="350" t="s">
        <v>394</v>
      </c>
      <c r="L367" s="354">
        <v>2803.6597999999999</v>
      </c>
      <c r="M367" s="560">
        <f t="shared" si="13"/>
        <v>114.72659176884918</v>
      </c>
      <c r="N367" s="354" t="s">
        <v>395</v>
      </c>
      <c r="O367" s="354">
        <v>0</v>
      </c>
      <c r="P367" s="355" t="s">
        <v>396</v>
      </c>
      <c r="Q367" s="354" t="s">
        <v>346</v>
      </c>
      <c r="R367" s="353">
        <v>0</v>
      </c>
      <c r="S367" s="353">
        <v>0</v>
      </c>
      <c r="T367" s="353">
        <v>0</v>
      </c>
      <c r="U367" s="353">
        <v>0</v>
      </c>
      <c r="V367" s="353">
        <v>0</v>
      </c>
      <c r="W367" s="353">
        <v>0</v>
      </c>
    </row>
    <row r="368" spans="1:23" x14ac:dyDescent="0.25">
      <c r="A368" s="348" t="s">
        <v>871</v>
      </c>
      <c r="B368" s="349">
        <v>17</v>
      </c>
      <c r="C368" s="607">
        <v>45108</v>
      </c>
      <c r="D368" s="351">
        <v>45134</v>
      </c>
      <c r="E368" s="352"/>
      <c r="F368" s="352">
        <v>6</v>
      </c>
      <c r="G368" s="429" t="s">
        <v>309</v>
      </c>
      <c r="H368" s="353" t="s">
        <v>895</v>
      </c>
      <c r="I368" s="350" t="s">
        <v>393</v>
      </c>
      <c r="J368" s="560">
        <f t="shared" si="17"/>
        <v>321654.33333333331</v>
      </c>
      <c r="K368" s="350" t="s">
        <v>394</v>
      </c>
      <c r="L368" s="354">
        <v>2803.6597999999999</v>
      </c>
      <c r="M368" s="560">
        <f t="shared" si="13"/>
        <v>114.72659176884918</v>
      </c>
      <c r="N368" s="354" t="s">
        <v>395</v>
      </c>
      <c r="O368" s="354">
        <v>0</v>
      </c>
      <c r="P368" s="355" t="s">
        <v>396</v>
      </c>
      <c r="Q368" s="354" t="s">
        <v>346</v>
      </c>
      <c r="R368" s="353">
        <v>0</v>
      </c>
      <c r="S368" s="353">
        <v>0</v>
      </c>
      <c r="T368" s="353">
        <v>0</v>
      </c>
      <c r="U368" s="353">
        <v>0</v>
      </c>
      <c r="V368" s="353">
        <v>0</v>
      </c>
      <c r="W368" s="353">
        <v>0</v>
      </c>
    </row>
    <row r="369" spans="1:23" x14ac:dyDescent="0.25">
      <c r="A369" s="348" t="s">
        <v>871</v>
      </c>
      <c r="B369" s="349">
        <v>17</v>
      </c>
      <c r="C369" s="607">
        <v>45108</v>
      </c>
      <c r="D369" s="351">
        <v>45134</v>
      </c>
      <c r="E369" s="352"/>
      <c r="F369" s="352">
        <v>6</v>
      </c>
      <c r="G369" s="429" t="s">
        <v>310</v>
      </c>
      <c r="H369" s="353" t="s">
        <v>896</v>
      </c>
      <c r="I369" s="350" t="s">
        <v>393</v>
      </c>
      <c r="J369" s="560">
        <f>811860/6</f>
        <v>135310</v>
      </c>
      <c r="K369" s="350" t="s">
        <v>394</v>
      </c>
      <c r="L369" s="354">
        <v>2803.6597999999999</v>
      </c>
      <c r="M369" s="560">
        <f t="shared" si="13"/>
        <v>48.261918225599267</v>
      </c>
      <c r="N369" s="354" t="s">
        <v>395</v>
      </c>
      <c r="O369" s="354">
        <v>0</v>
      </c>
      <c r="P369" s="355" t="s">
        <v>396</v>
      </c>
      <c r="Q369" s="354" t="s">
        <v>346</v>
      </c>
      <c r="R369" s="353">
        <v>0</v>
      </c>
      <c r="S369" s="353">
        <v>0</v>
      </c>
      <c r="T369" s="353">
        <v>0</v>
      </c>
      <c r="U369" s="353">
        <v>0</v>
      </c>
      <c r="V369" s="353">
        <v>0</v>
      </c>
      <c r="W369" s="353">
        <v>0</v>
      </c>
    </row>
    <row r="370" spans="1:23" x14ac:dyDescent="0.25">
      <c r="A370" s="348" t="s">
        <v>871</v>
      </c>
      <c r="B370" s="349">
        <v>17</v>
      </c>
      <c r="C370" s="607">
        <v>45108</v>
      </c>
      <c r="D370" s="351">
        <v>45134</v>
      </c>
      <c r="E370" s="352"/>
      <c r="F370" s="352">
        <v>6</v>
      </c>
      <c r="G370" s="429" t="s">
        <v>310</v>
      </c>
      <c r="H370" s="353" t="s">
        <v>897</v>
      </c>
      <c r="I370" s="350" t="s">
        <v>393</v>
      </c>
      <c r="J370" s="560">
        <f t="shared" ref="J370:J374" si="18">811860/6</f>
        <v>135310</v>
      </c>
      <c r="K370" s="350" t="s">
        <v>394</v>
      </c>
      <c r="L370" s="354">
        <v>2803.6597999999999</v>
      </c>
      <c r="M370" s="560">
        <f t="shared" si="13"/>
        <v>48.261918225599267</v>
      </c>
      <c r="N370" s="354" t="s">
        <v>395</v>
      </c>
      <c r="O370" s="354">
        <v>0</v>
      </c>
      <c r="P370" s="355" t="s">
        <v>396</v>
      </c>
      <c r="Q370" s="354" t="s">
        <v>346</v>
      </c>
      <c r="R370" s="353">
        <v>0</v>
      </c>
      <c r="S370" s="353">
        <v>0</v>
      </c>
      <c r="T370" s="353">
        <v>0</v>
      </c>
      <c r="U370" s="353">
        <v>0</v>
      </c>
      <c r="V370" s="353">
        <v>0</v>
      </c>
      <c r="W370" s="353">
        <v>0</v>
      </c>
    </row>
    <row r="371" spans="1:23" x14ac:dyDescent="0.25">
      <c r="A371" s="348" t="s">
        <v>871</v>
      </c>
      <c r="B371" s="349">
        <v>17</v>
      </c>
      <c r="C371" s="607">
        <v>45108</v>
      </c>
      <c r="D371" s="351">
        <v>45134</v>
      </c>
      <c r="E371" s="352"/>
      <c r="F371" s="352">
        <v>6</v>
      </c>
      <c r="G371" s="429" t="s">
        <v>310</v>
      </c>
      <c r="H371" s="353" t="s">
        <v>898</v>
      </c>
      <c r="I371" s="350" t="s">
        <v>393</v>
      </c>
      <c r="J371" s="560">
        <f t="shared" si="18"/>
        <v>135310</v>
      </c>
      <c r="K371" s="350" t="s">
        <v>394</v>
      </c>
      <c r="L371" s="354">
        <v>2803.6597999999999</v>
      </c>
      <c r="M371" s="560">
        <f t="shared" si="13"/>
        <v>48.261918225599267</v>
      </c>
      <c r="N371" s="354" t="s">
        <v>395</v>
      </c>
      <c r="O371" s="354">
        <v>0</v>
      </c>
      <c r="P371" s="355" t="s">
        <v>396</v>
      </c>
      <c r="Q371" s="354" t="s">
        <v>346</v>
      </c>
      <c r="R371" s="353">
        <v>0</v>
      </c>
      <c r="S371" s="353">
        <v>0</v>
      </c>
      <c r="T371" s="353">
        <v>0</v>
      </c>
      <c r="U371" s="353">
        <v>0</v>
      </c>
      <c r="V371" s="353">
        <v>0</v>
      </c>
      <c r="W371" s="353">
        <v>0</v>
      </c>
    </row>
    <row r="372" spans="1:23" x14ac:dyDescent="0.25">
      <c r="A372" s="348" t="s">
        <v>871</v>
      </c>
      <c r="B372" s="349">
        <v>17</v>
      </c>
      <c r="C372" s="607">
        <v>45108</v>
      </c>
      <c r="D372" s="351">
        <v>45134</v>
      </c>
      <c r="E372" s="352"/>
      <c r="F372" s="352">
        <v>6</v>
      </c>
      <c r="G372" s="429" t="s">
        <v>310</v>
      </c>
      <c r="H372" s="353" t="s">
        <v>899</v>
      </c>
      <c r="I372" s="350" t="s">
        <v>393</v>
      </c>
      <c r="J372" s="560">
        <f t="shared" si="18"/>
        <v>135310</v>
      </c>
      <c r="K372" s="350" t="s">
        <v>394</v>
      </c>
      <c r="L372" s="354">
        <v>2803.6597999999999</v>
      </c>
      <c r="M372" s="560">
        <f t="shared" si="13"/>
        <v>48.261918225599267</v>
      </c>
      <c r="N372" s="354" t="s">
        <v>395</v>
      </c>
      <c r="O372" s="354">
        <v>0</v>
      </c>
      <c r="P372" s="355" t="s">
        <v>396</v>
      </c>
      <c r="Q372" s="354" t="s">
        <v>346</v>
      </c>
      <c r="R372" s="353">
        <v>0</v>
      </c>
      <c r="S372" s="353">
        <v>0</v>
      </c>
      <c r="T372" s="353">
        <v>0</v>
      </c>
      <c r="U372" s="353">
        <v>0</v>
      </c>
      <c r="V372" s="353">
        <v>0</v>
      </c>
      <c r="W372" s="353">
        <v>0</v>
      </c>
    </row>
    <row r="373" spans="1:23" x14ac:dyDescent="0.25">
      <c r="A373" s="348" t="s">
        <v>871</v>
      </c>
      <c r="B373" s="349">
        <v>17</v>
      </c>
      <c r="C373" s="607">
        <v>45108</v>
      </c>
      <c r="D373" s="351">
        <v>45134</v>
      </c>
      <c r="E373" s="352"/>
      <c r="F373" s="352">
        <v>6</v>
      </c>
      <c r="G373" s="429" t="s">
        <v>310</v>
      </c>
      <c r="H373" s="353" t="s">
        <v>900</v>
      </c>
      <c r="I373" s="350" t="s">
        <v>393</v>
      </c>
      <c r="J373" s="560">
        <f t="shared" si="18"/>
        <v>135310</v>
      </c>
      <c r="K373" s="350" t="s">
        <v>394</v>
      </c>
      <c r="L373" s="354">
        <v>2803.6597999999999</v>
      </c>
      <c r="M373" s="560">
        <f t="shared" si="13"/>
        <v>48.261918225599267</v>
      </c>
      <c r="N373" s="354" t="s">
        <v>395</v>
      </c>
      <c r="O373" s="354">
        <v>0</v>
      </c>
      <c r="P373" s="355" t="s">
        <v>396</v>
      </c>
      <c r="Q373" s="354" t="s">
        <v>346</v>
      </c>
      <c r="R373" s="353">
        <v>0</v>
      </c>
      <c r="S373" s="353">
        <v>0</v>
      </c>
      <c r="T373" s="353">
        <v>0</v>
      </c>
      <c r="U373" s="353">
        <v>0</v>
      </c>
      <c r="V373" s="353">
        <v>0</v>
      </c>
      <c r="W373" s="353">
        <v>0</v>
      </c>
    </row>
    <row r="374" spans="1:23" x14ac:dyDescent="0.25">
      <c r="A374" s="348" t="s">
        <v>871</v>
      </c>
      <c r="B374" s="349">
        <v>17</v>
      </c>
      <c r="C374" s="607">
        <v>45108</v>
      </c>
      <c r="D374" s="351">
        <v>45134</v>
      </c>
      <c r="E374" s="352"/>
      <c r="F374" s="352">
        <v>6</v>
      </c>
      <c r="G374" s="429" t="s">
        <v>310</v>
      </c>
      <c r="H374" s="353" t="s">
        <v>896</v>
      </c>
      <c r="I374" s="350" t="s">
        <v>393</v>
      </c>
      <c r="J374" s="560">
        <f t="shared" si="18"/>
        <v>135310</v>
      </c>
      <c r="K374" s="350" t="s">
        <v>394</v>
      </c>
      <c r="L374" s="354">
        <v>2803.6597999999999</v>
      </c>
      <c r="M374" s="560">
        <f t="shared" si="13"/>
        <v>48.261918225599267</v>
      </c>
      <c r="N374" s="354" t="s">
        <v>395</v>
      </c>
      <c r="O374" s="354">
        <v>0</v>
      </c>
      <c r="P374" s="355" t="s">
        <v>396</v>
      </c>
      <c r="Q374" s="354" t="s">
        <v>346</v>
      </c>
      <c r="R374" s="353">
        <v>0</v>
      </c>
      <c r="S374" s="353">
        <v>0</v>
      </c>
      <c r="T374" s="353">
        <v>0</v>
      </c>
      <c r="U374" s="353">
        <v>0</v>
      </c>
      <c r="V374" s="353">
        <v>0</v>
      </c>
      <c r="W374" s="353">
        <v>0</v>
      </c>
    </row>
    <row r="375" spans="1:23" x14ac:dyDescent="0.25">
      <c r="A375" s="348" t="s">
        <v>871</v>
      </c>
      <c r="B375" s="349">
        <v>17</v>
      </c>
      <c r="C375" s="607">
        <v>45108</v>
      </c>
      <c r="D375" s="351">
        <v>45134</v>
      </c>
      <c r="E375" s="352"/>
      <c r="F375" s="352">
        <v>6</v>
      </c>
      <c r="G375" s="429" t="s">
        <v>311</v>
      </c>
      <c r="H375" s="353" t="s">
        <v>901</v>
      </c>
      <c r="I375" s="350" t="s">
        <v>393</v>
      </c>
      <c r="J375" s="560">
        <f>275016/6</f>
        <v>45836</v>
      </c>
      <c r="K375" s="350" t="s">
        <v>394</v>
      </c>
      <c r="L375" s="354">
        <v>2803.6597999999999</v>
      </c>
      <c r="M375" s="560">
        <f t="shared" si="13"/>
        <v>16.348631171299743</v>
      </c>
      <c r="N375" s="354" t="s">
        <v>395</v>
      </c>
      <c r="O375" s="354">
        <v>0</v>
      </c>
      <c r="P375" s="355" t="s">
        <v>396</v>
      </c>
      <c r="Q375" s="354" t="s">
        <v>346</v>
      </c>
      <c r="R375" s="353">
        <v>0</v>
      </c>
      <c r="S375" s="353">
        <v>0</v>
      </c>
      <c r="T375" s="353">
        <v>0</v>
      </c>
      <c r="U375" s="353">
        <v>0</v>
      </c>
      <c r="V375" s="353">
        <v>0</v>
      </c>
      <c r="W375" s="353">
        <v>0</v>
      </c>
    </row>
    <row r="376" spans="1:23" x14ac:dyDescent="0.25">
      <c r="A376" s="348" t="s">
        <v>871</v>
      </c>
      <c r="B376" s="349">
        <v>17</v>
      </c>
      <c r="C376" s="607">
        <v>45108</v>
      </c>
      <c r="D376" s="351">
        <v>45134</v>
      </c>
      <c r="E376" s="352"/>
      <c r="F376" s="352">
        <v>6</v>
      </c>
      <c r="G376" s="429" t="s">
        <v>311</v>
      </c>
      <c r="H376" s="353" t="s">
        <v>902</v>
      </c>
      <c r="I376" s="350" t="s">
        <v>393</v>
      </c>
      <c r="J376" s="560">
        <f t="shared" ref="J376:J380" si="19">275016/6</f>
        <v>45836</v>
      </c>
      <c r="K376" s="350" t="s">
        <v>394</v>
      </c>
      <c r="L376" s="354">
        <v>2803.6597999999999</v>
      </c>
      <c r="M376" s="560">
        <f t="shared" si="13"/>
        <v>16.348631171299743</v>
      </c>
      <c r="N376" s="354" t="s">
        <v>395</v>
      </c>
      <c r="O376" s="354">
        <v>0</v>
      </c>
      <c r="P376" s="355" t="s">
        <v>396</v>
      </c>
      <c r="Q376" s="354" t="s">
        <v>346</v>
      </c>
      <c r="R376" s="353">
        <v>0</v>
      </c>
      <c r="S376" s="353">
        <v>0</v>
      </c>
      <c r="T376" s="353">
        <v>0</v>
      </c>
      <c r="U376" s="353">
        <v>0</v>
      </c>
      <c r="V376" s="353">
        <v>0</v>
      </c>
      <c r="W376" s="353">
        <v>0</v>
      </c>
    </row>
    <row r="377" spans="1:23" x14ac:dyDescent="0.25">
      <c r="A377" s="348" t="s">
        <v>871</v>
      </c>
      <c r="B377" s="349">
        <v>17</v>
      </c>
      <c r="C377" s="607">
        <v>45108</v>
      </c>
      <c r="D377" s="351">
        <v>45134</v>
      </c>
      <c r="E377" s="352"/>
      <c r="F377" s="352">
        <v>6</v>
      </c>
      <c r="G377" s="429" t="s">
        <v>311</v>
      </c>
      <c r="H377" s="353" t="s">
        <v>903</v>
      </c>
      <c r="I377" s="350" t="s">
        <v>393</v>
      </c>
      <c r="J377" s="560">
        <f t="shared" si="19"/>
        <v>45836</v>
      </c>
      <c r="K377" s="350" t="s">
        <v>394</v>
      </c>
      <c r="L377" s="354">
        <v>2803.6597999999999</v>
      </c>
      <c r="M377" s="560">
        <f t="shared" si="13"/>
        <v>16.348631171299743</v>
      </c>
      <c r="N377" s="354" t="s">
        <v>395</v>
      </c>
      <c r="O377" s="354">
        <v>0</v>
      </c>
      <c r="P377" s="355" t="s">
        <v>396</v>
      </c>
      <c r="Q377" s="354" t="s">
        <v>346</v>
      </c>
      <c r="R377" s="353">
        <v>0</v>
      </c>
      <c r="S377" s="353">
        <v>0</v>
      </c>
      <c r="T377" s="353">
        <v>0</v>
      </c>
      <c r="U377" s="353">
        <v>0</v>
      </c>
      <c r="V377" s="353">
        <v>0</v>
      </c>
      <c r="W377" s="353">
        <v>0</v>
      </c>
    </row>
    <row r="378" spans="1:23" x14ac:dyDescent="0.25">
      <c r="A378" s="348" t="s">
        <v>871</v>
      </c>
      <c r="B378" s="349">
        <v>17</v>
      </c>
      <c r="C378" s="607">
        <v>45108</v>
      </c>
      <c r="D378" s="351">
        <v>45134</v>
      </c>
      <c r="E378" s="352"/>
      <c r="F378" s="352">
        <v>6</v>
      </c>
      <c r="G378" s="429" t="s">
        <v>311</v>
      </c>
      <c r="H378" s="353" t="s">
        <v>904</v>
      </c>
      <c r="I378" s="350" t="s">
        <v>393</v>
      </c>
      <c r="J378" s="560">
        <f t="shared" si="19"/>
        <v>45836</v>
      </c>
      <c r="K378" s="350" t="s">
        <v>394</v>
      </c>
      <c r="L378" s="354">
        <v>2803.6597999999999</v>
      </c>
      <c r="M378" s="560">
        <f t="shared" si="13"/>
        <v>16.348631171299743</v>
      </c>
      <c r="N378" s="354" t="s">
        <v>395</v>
      </c>
      <c r="O378" s="354">
        <v>0</v>
      </c>
      <c r="P378" s="355" t="s">
        <v>396</v>
      </c>
      <c r="Q378" s="354" t="s">
        <v>346</v>
      </c>
      <c r="R378" s="353">
        <v>0</v>
      </c>
      <c r="S378" s="353">
        <v>0</v>
      </c>
      <c r="T378" s="353">
        <v>0</v>
      </c>
      <c r="U378" s="353">
        <v>0</v>
      </c>
      <c r="V378" s="353">
        <v>0</v>
      </c>
      <c r="W378" s="353">
        <v>0</v>
      </c>
    </row>
    <row r="379" spans="1:23" x14ac:dyDescent="0.25">
      <c r="A379" s="348" t="s">
        <v>871</v>
      </c>
      <c r="B379" s="349">
        <v>17</v>
      </c>
      <c r="C379" s="607">
        <v>45108</v>
      </c>
      <c r="D379" s="351">
        <v>45134</v>
      </c>
      <c r="E379" s="352"/>
      <c r="F379" s="352">
        <v>6</v>
      </c>
      <c r="G379" s="429" t="s">
        <v>310</v>
      </c>
      <c r="H379" s="353" t="s">
        <v>905</v>
      </c>
      <c r="I379" s="350" t="s">
        <v>393</v>
      </c>
      <c r="J379" s="560">
        <f t="shared" si="19"/>
        <v>45836</v>
      </c>
      <c r="K379" s="350" t="s">
        <v>394</v>
      </c>
      <c r="L379" s="354">
        <v>2803.6597999999999</v>
      </c>
      <c r="M379" s="560">
        <f t="shared" si="13"/>
        <v>16.348631171299743</v>
      </c>
      <c r="N379" s="354" t="s">
        <v>395</v>
      </c>
      <c r="O379" s="354">
        <v>0</v>
      </c>
      <c r="P379" s="355" t="s">
        <v>396</v>
      </c>
      <c r="Q379" s="354" t="s">
        <v>346</v>
      </c>
      <c r="R379" s="353">
        <v>0</v>
      </c>
      <c r="S379" s="353">
        <v>0</v>
      </c>
      <c r="T379" s="353">
        <v>0</v>
      </c>
      <c r="U379" s="353">
        <v>0</v>
      </c>
      <c r="V379" s="353">
        <v>0</v>
      </c>
      <c r="W379" s="353">
        <v>0</v>
      </c>
    </row>
    <row r="380" spans="1:23" x14ac:dyDescent="0.25">
      <c r="A380" s="348" t="s">
        <v>871</v>
      </c>
      <c r="B380" s="349">
        <v>17</v>
      </c>
      <c r="C380" s="607">
        <v>45108</v>
      </c>
      <c r="D380" s="351">
        <v>45134</v>
      </c>
      <c r="E380" s="352"/>
      <c r="F380" s="352">
        <v>6</v>
      </c>
      <c r="G380" s="429" t="s">
        <v>310</v>
      </c>
      <c r="H380" s="353" t="s">
        <v>906</v>
      </c>
      <c r="I380" s="350" t="s">
        <v>393</v>
      </c>
      <c r="J380" s="560">
        <f t="shared" si="19"/>
        <v>45836</v>
      </c>
      <c r="K380" s="350" t="s">
        <v>394</v>
      </c>
      <c r="L380" s="354">
        <v>2803.6597999999999</v>
      </c>
      <c r="M380" s="560">
        <f t="shared" si="13"/>
        <v>16.348631171299743</v>
      </c>
      <c r="N380" s="354" t="s">
        <v>395</v>
      </c>
      <c r="O380" s="354">
        <v>0</v>
      </c>
      <c r="P380" s="355" t="s">
        <v>396</v>
      </c>
      <c r="Q380" s="354" t="s">
        <v>346</v>
      </c>
      <c r="R380" s="353">
        <v>0</v>
      </c>
      <c r="S380" s="353">
        <v>0</v>
      </c>
      <c r="T380" s="353">
        <v>0</v>
      </c>
      <c r="U380" s="353">
        <v>0</v>
      </c>
      <c r="V380" s="353">
        <v>0</v>
      </c>
      <c r="W380" s="353">
        <v>0</v>
      </c>
    </row>
    <row r="381" spans="1:23" x14ac:dyDescent="0.25">
      <c r="A381" s="348" t="s">
        <v>907</v>
      </c>
      <c r="B381" s="349">
        <v>18</v>
      </c>
      <c r="C381" s="607">
        <v>45108</v>
      </c>
      <c r="D381" s="351">
        <v>45138</v>
      </c>
      <c r="E381" s="352"/>
      <c r="F381" s="352">
        <v>6</v>
      </c>
      <c r="G381" s="429" t="s">
        <v>306</v>
      </c>
      <c r="H381" s="353" t="s">
        <v>908</v>
      </c>
      <c r="I381" s="350" t="s">
        <v>393</v>
      </c>
      <c r="J381" s="560">
        <v>1028.5999999999999</v>
      </c>
      <c r="K381" s="350" t="s">
        <v>394</v>
      </c>
      <c r="L381" s="354">
        <v>2803.6597999999999</v>
      </c>
      <c r="M381" s="560">
        <f t="shared" si="13"/>
        <v>0.36687760761844213</v>
      </c>
      <c r="N381" s="354" t="s">
        <v>395</v>
      </c>
      <c r="O381" s="354">
        <v>0</v>
      </c>
      <c r="P381" s="355" t="s">
        <v>396</v>
      </c>
      <c r="Q381" s="354" t="s">
        <v>346</v>
      </c>
      <c r="R381" s="353">
        <v>0</v>
      </c>
      <c r="S381" s="353">
        <v>0</v>
      </c>
      <c r="T381" s="353">
        <v>0</v>
      </c>
      <c r="U381" s="353">
        <v>0</v>
      </c>
      <c r="V381" s="353">
        <v>0</v>
      </c>
      <c r="W381" s="353">
        <v>0</v>
      </c>
    </row>
    <row r="382" spans="1:23" x14ac:dyDescent="0.25">
      <c r="A382" s="348" t="s">
        <v>907</v>
      </c>
      <c r="B382" s="349">
        <v>18</v>
      </c>
      <c r="C382" s="607">
        <v>45108</v>
      </c>
      <c r="D382" s="351">
        <v>45138</v>
      </c>
      <c r="E382" s="352"/>
      <c r="F382" s="352">
        <v>6</v>
      </c>
      <c r="G382" s="429" t="s">
        <v>306</v>
      </c>
      <c r="H382" s="353" t="s">
        <v>909</v>
      </c>
      <c r="I382" s="350" t="s">
        <v>393</v>
      </c>
      <c r="J382" s="560">
        <v>1028.5999999999999</v>
      </c>
      <c r="K382" s="350" t="s">
        <v>394</v>
      </c>
      <c r="L382" s="354">
        <v>2803.6597999999999</v>
      </c>
      <c r="M382" s="560">
        <f t="shared" si="13"/>
        <v>0.36687760761844213</v>
      </c>
      <c r="N382" s="354" t="s">
        <v>395</v>
      </c>
      <c r="O382" s="354">
        <v>0</v>
      </c>
      <c r="P382" s="355" t="s">
        <v>396</v>
      </c>
      <c r="Q382" s="354" t="s">
        <v>346</v>
      </c>
      <c r="R382" s="353">
        <v>0</v>
      </c>
      <c r="S382" s="353">
        <v>0</v>
      </c>
      <c r="T382" s="353">
        <v>0</v>
      </c>
      <c r="U382" s="353">
        <v>0</v>
      </c>
      <c r="V382" s="353">
        <v>0</v>
      </c>
      <c r="W382" s="353">
        <v>0</v>
      </c>
    </row>
    <row r="383" spans="1:23" x14ac:dyDescent="0.25">
      <c r="A383" s="348" t="s">
        <v>907</v>
      </c>
      <c r="B383" s="349">
        <v>18</v>
      </c>
      <c r="C383" s="607">
        <v>45108</v>
      </c>
      <c r="D383" s="351">
        <v>45138</v>
      </c>
      <c r="E383" s="352"/>
      <c r="F383" s="352">
        <v>6</v>
      </c>
      <c r="G383" s="429" t="s">
        <v>306</v>
      </c>
      <c r="H383" s="353" t="s">
        <v>910</v>
      </c>
      <c r="I383" s="350" t="s">
        <v>393</v>
      </c>
      <c r="J383" s="560">
        <v>1028.5999999999999</v>
      </c>
      <c r="K383" s="350" t="s">
        <v>394</v>
      </c>
      <c r="L383" s="354">
        <v>2803.6597999999999</v>
      </c>
      <c r="M383" s="560">
        <f t="shared" si="13"/>
        <v>0.36687760761844213</v>
      </c>
      <c r="N383" s="354" t="s">
        <v>395</v>
      </c>
      <c r="O383" s="354">
        <v>0</v>
      </c>
      <c r="P383" s="355" t="s">
        <v>396</v>
      </c>
      <c r="Q383" s="354" t="s">
        <v>346</v>
      </c>
      <c r="R383" s="353">
        <v>0</v>
      </c>
      <c r="S383" s="353">
        <v>0</v>
      </c>
      <c r="T383" s="353">
        <v>0</v>
      </c>
      <c r="U383" s="353">
        <v>0</v>
      </c>
      <c r="V383" s="353">
        <v>0</v>
      </c>
      <c r="W383" s="353">
        <v>0</v>
      </c>
    </row>
    <row r="384" spans="1:23" x14ac:dyDescent="0.25">
      <c r="A384" s="348" t="s">
        <v>907</v>
      </c>
      <c r="B384" s="349">
        <v>18</v>
      </c>
      <c r="C384" s="607">
        <v>45108</v>
      </c>
      <c r="D384" s="351">
        <v>45138</v>
      </c>
      <c r="E384" s="352"/>
      <c r="F384" s="352">
        <v>6</v>
      </c>
      <c r="G384" s="429" t="s">
        <v>306</v>
      </c>
      <c r="H384" s="353" t="s">
        <v>911</v>
      </c>
      <c r="I384" s="350" t="s">
        <v>393</v>
      </c>
      <c r="J384" s="560">
        <v>1028.5999999999999</v>
      </c>
      <c r="K384" s="350" t="s">
        <v>394</v>
      </c>
      <c r="L384" s="354">
        <v>2803.6597999999999</v>
      </c>
      <c r="M384" s="560">
        <f t="shared" si="13"/>
        <v>0.36687760761844213</v>
      </c>
      <c r="N384" s="354" t="s">
        <v>395</v>
      </c>
      <c r="O384" s="354">
        <v>0</v>
      </c>
      <c r="P384" s="355" t="s">
        <v>396</v>
      </c>
      <c r="Q384" s="354" t="s">
        <v>346</v>
      </c>
      <c r="R384" s="353">
        <v>0</v>
      </c>
      <c r="S384" s="353">
        <v>0</v>
      </c>
      <c r="T384" s="353">
        <v>0</v>
      </c>
      <c r="U384" s="353">
        <v>0</v>
      </c>
      <c r="V384" s="353">
        <v>0</v>
      </c>
      <c r="W384" s="353">
        <v>0</v>
      </c>
    </row>
    <row r="385" spans="1:23" x14ac:dyDescent="0.25">
      <c r="A385" s="348" t="s">
        <v>907</v>
      </c>
      <c r="B385" s="349">
        <v>18</v>
      </c>
      <c r="C385" s="607">
        <v>45108</v>
      </c>
      <c r="D385" s="351">
        <v>45138</v>
      </c>
      <c r="E385" s="352"/>
      <c r="F385" s="352">
        <v>6</v>
      </c>
      <c r="G385" s="429" t="s">
        <v>306</v>
      </c>
      <c r="H385" s="353" t="s">
        <v>912</v>
      </c>
      <c r="I385" s="350" t="s">
        <v>393</v>
      </c>
      <c r="J385" s="560">
        <v>1028.5999999999999</v>
      </c>
      <c r="K385" s="350" t="s">
        <v>394</v>
      </c>
      <c r="L385" s="354">
        <v>2803.6597999999999</v>
      </c>
      <c r="M385" s="560">
        <f t="shared" si="13"/>
        <v>0.36687760761844213</v>
      </c>
      <c r="N385" s="354" t="s">
        <v>395</v>
      </c>
      <c r="O385" s="354">
        <v>0</v>
      </c>
      <c r="P385" s="355" t="s">
        <v>396</v>
      </c>
      <c r="Q385" s="354" t="s">
        <v>346</v>
      </c>
      <c r="R385" s="353">
        <v>0</v>
      </c>
      <c r="S385" s="353">
        <v>0</v>
      </c>
      <c r="T385" s="353">
        <v>0</v>
      </c>
      <c r="U385" s="353">
        <v>0</v>
      </c>
      <c r="V385" s="353">
        <v>0</v>
      </c>
      <c r="W385" s="353">
        <v>0</v>
      </c>
    </row>
    <row r="386" spans="1:23" x14ac:dyDescent="0.25">
      <c r="A386" s="348" t="s">
        <v>907</v>
      </c>
      <c r="B386" s="349">
        <v>18</v>
      </c>
      <c r="C386" s="607">
        <v>45108</v>
      </c>
      <c r="D386" s="351">
        <v>45138</v>
      </c>
      <c r="E386" s="352"/>
      <c r="F386" s="352">
        <v>6</v>
      </c>
      <c r="G386" s="429" t="s">
        <v>308</v>
      </c>
      <c r="H386" s="353" t="s">
        <v>913</v>
      </c>
      <c r="I386" s="350" t="s">
        <v>393</v>
      </c>
      <c r="J386" s="560">
        <v>685.8</v>
      </c>
      <c r="K386" s="350" t="s">
        <v>394</v>
      </c>
      <c r="L386" s="354">
        <v>2803.6597999999999</v>
      </c>
      <c r="M386" s="560">
        <f t="shared" si="13"/>
        <v>0.24460885018931325</v>
      </c>
      <c r="N386" s="354" t="s">
        <v>395</v>
      </c>
      <c r="O386" s="354">
        <v>0</v>
      </c>
      <c r="P386" s="355" t="s">
        <v>396</v>
      </c>
      <c r="Q386" s="354" t="s">
        <v>346</v>
      </c>
      <c r="R386" s="353">
        <v>0</v>
      </c>
      <c r="S386" s="353">
        <v>0</v>
      </c>
      <c r="T386" s="353">
        <v>0</v>
      </c>
      <c r="U386" s="353">
        <v>0</v>
      </c>
      <c r="V386" s="353">
        <v>0</v>
      </c>
      <c r="W386" s="353">
        <v>0</v>
      </c>
    </row>
    <row r="387" spans="1:23" x14ac:dyDescent="0.25">
      <c r="A387" s="348" t="s">
        <v>907</v>
      </c>
      <c r="B387" s="349">
        <v>18</v>
      </c>
      <c r="C387" s="607">
        <v>45108</v>
      </c>
      <c r="D387" s="351">
        <v>45138</v>
      </c>
      <c r="E387" s="352"/>
      <c r="F387" s="352">
        <v>6</v>
      </c>
      <c r="G387" s="429" t="s">
        <v>308</v>
      </c>
      <c r="H387" s="353" t="s">
        <v>914</v>
      </c>
      <c r="I387" s="350" t="s">
        <v>393</v>
      </c>
      <c r="J387" s="560">
        <v>685.8</v>
      </c>
      <c r="K387" s="350" t="s">
        <v>394</v>
      </c>
      <c r="L387" s="354">
        <v>2803.6597999999999</v>
      </c>
      <c r="M387" s="560">
        <f t="shared" si="13"/>
        <v>0.24460885018931325</v>
      </c>
      <c r="N387" s="354" t="s">
        <v>395</v>
      </c>
      <c r="O387" s="354">
        <v>0</v>
      </c>
      <c r="P387" s="355" t="s">
        <v>396</v>
      </c>
      <c r="Q387" s="354" t="s">
        <v>346</v>
      </c>
      <c r="R387" s="353">
        <v>0</v>
      </c>
      <c r="S387" s="353">
        <v>0</v>
      </c>
      <c r="T387" s="353">
        <v>0</v>
      </c>
      <c r="U387" s="353">
        <v>0</v>
      </c>
      <c r="V387" s="353">
        <v>0</v>
      </c>
      <c r="W387" s="353">
        <v>0</v>
      </c>
    </row>
    <row r="388" spans="1:23" x14ac:dyDescent="0.25">
      <c r="A388" s="348" t="s">
        <v>907</v>
      </c>
      <c r="B388" s="349">
        <v>18</v>
      </c>
      <c r="C388" s="607">
        <v>45108</v>
      </c>
      <c r="D388" s="351">
        <v>45138</v>
      </c>
      <c r="E388" s="352"/>
      <c r="F388" s="352">
        <v>6</v>
      </c>
      <c r="G388" s="429" t="s">
        <v>308</v>
      </c>
      <c r="H388" s="353" t="s">
        <v>915</v>
      </c>
      <c r="I388" s="350" t="s">
        <v>393</v>
      </c>
      <c r="J388" s="560">
        <v>685.8</v>
      </c>
      <c r="K388" s="350" t="s">
        <v>394</v>
      </c>
      <c r="L388" s="354">
        <v>2803.6597999999999</v>
      </c>
      <c r="M388" s="560">
        <f t="shared" si="13"/>
        <v>0.24460885018931325</v>
      </c>
      <c r="N388" s="354" t="s">
        <v>395</v>
      </c>
      <c r="O388" s="354">
        <v>0</v>
      </c>
      <c r="P388" s="355" t="s">
        <v>396</v>
      </c>
      <c r="Q388" s="354" t="s">
        <v>346</v>
      </c>
      <c r="R388" s="353">
        <v>0</v>
      </c>
      <c r="S388" s="353">
        <v>0</v>
      </c>
      <c r="T388" s="353">
        <v>0</v>
      </c>
      <c r="U388" s="353">
        <v>0</v>
      </c>
      <c r="V388" s="353">
        <v>0</v>
      </c>
      <c r="W388" s="353">
        <v>0</v>
      </c>
    </row>
    <row r="389" spans="1:23" x14ac:dyDescent="0.25">
      <c r="A389" s="348" t="s">
        <v>907</v>
      </c>
      <c r="B389" s="349">
        <v>18</v>
      </c>
      <c r="C389" s="607">
        <v>45108</v>
      </c>
      <c r="D389" s="351">
        <v>45138</v>
      </c>
      <c r="E389" s="352"/>
      <c r="F389" s="352">
        <v>6</v>
      </c>
      <c r="G389" s="429" t="s">
        <v>308</v>
      </c>
      <c r="H389" s="353" t="s">
        <v>916</v>
      </c>
      <c r="I389" s="350" t="s">
        <v>393</v>
      </c>
      <c r="J389" s="560">
        <v>685.8</v>
      </c>
      <c r="K389" s="350" t="s">
        <v>394</v>
      </c>
      <c r="L389" s="354">
        <v>2803.6597999999999</v>
      </c>
      <c r="M389" s="560">
        <f t="shared" si="13"/>
        <v>0.24460885018931325</v>
      </c>
      <c r="N389" s="354" t="s">
        <v>395</v>
      </c>
      <c r="O389" s="354">
        <v>0</v>
      </c>
      <c r="P389" s="355" t="s">
        <v>396</v>
      </c>
      <c r="Q389" s="354" t="s">
        <v>346</v>
      </c>
      <c r="R389" s="353">
        <v>0</v>
      </c>
      <c r="S389" s="353">
        <v>0</v>
      </c>
      <c r="T389" s="353">
        <v>0</v>
      </c>
      <c r="U389" s="353">
        <v>0</v>
      </c>
      <c r="V389" s="353">
        <v>0</v>
      </c>
      <c r="W389" s="353">
        <v>0</v>
      </c>
    </row>
    <row r="390" spans="1:23" x14ac:dyDescent="0.25">
      <c r="A390" s="348" t="s">
        <v>907</v>
      </c>
      <c r="B390" s="349">
        <v>18</v>
      </c>
      <c r="C390" s="607">
        <v>45108</v>
      </c>
      <c r="D390" s="351">
        <v>45138</v>
      </c>
      <c r="E390" s="352"/>
      <c r="F390" s="352">
        <v>6</v>
      </c>
      <c r="G390" s="429" t="s">
        <v>308</v>
      </c>
      <c r="H390" s="353" t="s">
        <v>917</v>
      </c>
      <c r="I390" s="350" t="s">
        <v>393</v>
      </c>
      <c r="J390" s="560">
        <v>685.8</v>
      </c>
      <c r="K390" s="350" t="s">
        <v>394</v>
      </c>
      <c r="L390" s="354">
        <v>2803.6597999999999</v>
      </c>
      <c r="M390" s="560">
        <f t="shared" si="13"/>
        <v>0.24460885018931325</v>
      </c>
      <c r="N390" s="354" t="s">
        <v>395</v>
      </c>
      <c r="O390" s="354">
        <v>0</v>
      </c>
      <c r="P390" s="355" t="s">
        <v>396</v>
      </c>
      <c r="Q390" s="354" t="s">
        <v>346</v>
      </c>
      <c r="R390" s="353">
        <v>0</v>
      </c>
      <c r="S390" s="353">
        <v>0</v>
      </c>
      <c r="T390" s="353">
        <v>0</v>
      </c>
      <c r="U390" s="353">
        <v>0</v>
      </c>
      <c r="V390" s="353">
        <v>0</v>
      </c>
      <c r="W390" s="353">
        <v>0</v>
      </c>
    </row>
    <row r="391" spans="1:23" x14ac:dyDescent="0.25">
      <c r="A391" s="348" t="s">
        <v>907</v>
      </c>
      <c r="B391" s="349">
        <v>18</v>
      </c>
      <c r="C391" s="607">
        <v>45108</v>
      </c>
      <c r="D391" s="351">
        <v>45138</v>
      </c>
      <c r="E391" s="352"/>
      <c r="F391" s="352">
        <v>6</v>
      </c>
      <c r="G391" s="429" t="s">
        <v>309</v>
      </c>
      <c r="H391" s="353" t="s">
        <v>918</v>
      </c>
      <c r="I391" s="350" t="s">
        <v>393</v>
      </c>
      <c r="J391" s="560">
        <v>99985.8</v>
      </c>
      <c r="K391" s="350" t="s">
        <v>394</v>
      </c>
      <c r="L391" s="354">
        <v>2803.6597999999999</v>
      </c>
      <c r="M391" s="560">
        <f t="shared" si="13"/>
        <v>35.66260071924561</v>
      </c>
      <c r="N391" s="354" t="s">
        <v>395</v>
      </c>
      <c r="O391" s="354">
        <v>0</v>
      </c>
      <c r="P391" s="355" t="s">
        <v>396</v>
      </c>
      <c r="Q391" s="354" t="s">
        <v>346</v>
      </c>
      <c r="R391" s="353">
        <v>0</v>
      </c>
      <c r="S391" s="353">
        <v>0</v>
      </c>
      <c r="T391" s="353">
        <v>0</v>
      </c>
      <c r="U391" s="353">
        <v>0</v>
      </c>
      <c r="V391" s="353">
        <v>0</v>
      </c>
      <c r="W391" s="353">
        <v>0</v>
      </c>
    </row>
    <row r="392" spans="1:23" x14ac:dyDescent="0.25">
      <c r="A392" s="348" t="s">
        <v>907</v>
      </c>
      <c r="B392" s="349">
        <v>18</v>
      </c>
      <c r="C392" s="607">
        <v>45108</v>
      </c>
      <c r="D392" s="351">
        <v>45138</v>
      </c>
      <c r="E392" s="352"/>
      <c r="F392" s="352">
        <v>6</v>
      </c>
      <c r="G392" s="429" t="s">
        <v>309</v>
      </c>
      <c r="H392" s="353" t="s">
        <v>919</v>
      </c>
      <c r="I392" s="350" t="s">
        <v>393</v>
      </c>
      <c r="J392" s="560">
        <v>99985.8</v>
      </c>
      <c r="K392" s="350" t="s">
        <v>394</v>
      </c>
      <c r="L392" s="354">
        <v>2803.6597999999999</v>
      </c>
      <c r="M392" s="560">
        <f t="shared" si="13"/>
        <v>35.66260071924561</v>
      </c>
      <c r="N392" s="354" t="s">
        <v>395</v>
      </c>
      <c r="O392" s="354">
        <v>0</v>
      </c>
      <c r="P392" s="355" t="s">
        <v>396</v>
      </c>
      <c r="Q392" s="354" t="s">
        <v>346</v>
      </c>
      <c r="R392" s="353">
        <v>0</v>
      </c>
      <c r="S392" s="353">
        <v>0</v>
      </c>
      <c r="T392" s="353">
        <v>0</v>
      </c>
      <c r="U392" s="353">
        <v>0</v>
      </c>
      <c r="V392" s="353">
        <v>0</v>
      </c>
      <c r="W392" s="353">
        <v>0</v>
      </c>
    </row>
    <row r="393" spans="1:23" x14ac:dyDescent="0.25">
      <c r="A393" s="348" t="s">
        <v>907</v>
      </c>
      <c r="B393" s="349">
        <v>18</v>
      </c>
      <c r="C393" s="607">
        <v>45108</v>
      </c>
      <c r="D393" s="351">
        <v>45138</v>
      </c>
      <c r="E393" s="352"/>
      <c r="F393" s="352">
        <v>6</v>
      </c>
      <c r="G393" s="429" t="s">
        <v>309</v>
      </c>
      <c r="H393" s="353" t="s">
        <v>920</v>
      </c>
      <c r="I393" s="350" t="s">
        <v>393</v>
      </c>
      <c r="J393" s="560">
        <v>99985.8</v>
      </c>
      <c r="K393" s="350" t="s">
        <v>394</v>
      </c>
      <c r="L393" s="354">
        <v>2803.6597999999999</v>
      </c>
      <c r="M393" s="560">
        <f t="shared" si="13"/>
        <v>35.66260071924561</v>
      </c>
      <c r="N393" s="354" t="s">
        <v>395</v>
      </c>
      <c r="O393" s="354">
        <v>0</v>
      </c>
      <c r="P393" s="355" t="s">
        <v>396</v>
      </c>
      <c r="Q393" s="354" t="s">
        <v>346</v>
      </c>
      <c r="R393" s="353">
        <v>0</v>
      </c>
      <c r="S393" s="353">
        <v>0</v>
      </c>
      <c r="T393" s="353">
        <v>0</v>
      </c>
      <c r="U393" s="353">
        <v>0</v>
      </c>
      <c r="V393" s="353">
        <v>0</v>
      </c>
      <c r="W393" s="353">
        <v>0</v>
      </c>
    </row>
    <row r="394" spans="1:23" x14ac:dyDescent="0.25">
      <c r="A394" s="348" t="s">
        <v>907</v>
      </c>
      <c r="B394" s="349">
        <v>18</v>
      </c>
      <c r="C394" s="607">
        <v>45108</v>
      </c>
      <c r="D394" s="351">
        <v>45138</v>
      </c>
      <c r="E394" s="352"/>
      <c r="F394" s="352">
        <v>6</v>
      </c>
      <c r="G394" s="429" t="s">
        <v>309</v>
      </c>
      <c r="H394" s="353" t="s">
        <v>921</v>
      </c>
      <c r="I394" s="350" t="s">
        <v>393</v>
      </c>
      <c r="J394" s="560">
        <v>99985.8</v>
      </c>
      <c r="K394" s="350" t="s">
        <v>394</v>
      </c>
      <c r="L394" s="354">
        <v>2803.6597999999999</v>
      </c>
      <c r="M394" s="560">
        <f t="shared" si="13"/>
        <v>35.66260071924561</v>
      </c>
      <c r="N394" s="354" t="s">
        <v>395</v>
      </c>
      <c r="O394" s="354">
        <v>0</v>
      </c>
      <c r="P394" s="355" t="s">
        <v>396</v>
      </c>
      <c r="Q394" s="354" t="s">
        <v>346</v>
      </c>
      <c r="R394" s="353">
        <v>0</v>
      </c>
      <c r="S394" s="353">
        <v>0</v>
      </c>
      <c r="T394" s="353">
        <v>0</v>
      </c>
      <c r="U394" s="353">
        <v>0</v>
      </c>
      <c r="V394" s="353">
        <v>0</v>
      </c>
      <c r="W394" s="353">
        <v>0</v>
      </c>
    </row>
    <row r="395" spans="1:23" x14ac:dyDescent="0.25">
      <c r="A395" s="348" t="s">
        <v>907</v>
      </c>
      <c r="B395" s="349">
        <v>18</v>
      </c>
      <c r="C395" s="607">
        <v>45108</v>
      </c>
      <c r="D395" s="351">
        <v>45138</v>
      </c>
      <c r="E395" s="352"/>
      <c r="F395" s="352">
        <v>6</v>
      </c>
      <c r="G395" s="429" t="s">
        <v>309</v>
      </c>
      <c r="H395" s="353" t="s">
        <v>922</v>
      </c>
      <c r="I395" s="350" t="s">
        <v>393</v>
      </c>
      <c r="J395" s="560">
        <v>99985.8</v>
      </c>
      <c r="K395" s="350" t="s">
        <v>394</v>
      </c>
      <c r="L395" s="354">
        <v>2803.6597999999999</v>
      </c>
      <c r="M395" s="560">
        <f t="shared" ref="M395:M453" si="20">J395/L395</f>
        <v>35.66260071924561</v>
      </c>
      <c r="N395" s="354" t="s">
        <v>395</v>
      </c>
      <c r="O395" s="354">
        <v>0</v>
      </c>
      <c r="P395" s="355" t="s">
        <v>396</v>
      </c>
      <c r="Q395" s="354" t="s">
        <v>346</v>
      </c>
      <c r="R395" s="353">
        <v>0</v>
      </c>
      <c r="S395" s="353">
        <v>0</v>
      </c>
      <c r="T395" s="353">
        <v>0</v>
      </c>
      <c r="U395" s="353">
        <v>0</v>
      </c>
      <c r="V395" s="353">
        <v>0</v>
      </c>
      <c r="W395" s="353">
        <v>0</v>
      </c>
    </row>
    <row r="396" spans="1:23" x14ac:dyDescent="0.25">
      <c r="A396" s="348" t="s">
        <v>907</v>
      </c>
      <c r="B396" s="349">
        <v>18</v>
      </c>
      <c r="C396" s="607">
        <v>45108</v>
      </c>
      <c r="D396" s="351">
        <v>45138</v>
      </c>
      <c r="E396" s="352"/>
      <c r="F396" s="352">
        <v>6</v>
      </c>
      <c r="G396" s="429" t="s">
        <v>310</v>
      </c>
      <c r="H396" s="353" t="s">
        <v>923</v>
      </c>
      <c r="I396" s="350" t="s">
        <v>393</v>
      </c>
      <c r="J396" s="560">
        <v>12114</v>
      </c>
      <c r="K396" s="350" t="s">
        <v>394</v>
      </c>
      <c r="L396" s="354">
        <v>2803.6597999999999</v>
      </c>
      <c r="M396" s="560">
        <f t="shared" si="20"/>
        <v>4.3207810020317021</v>
      </c>
      <c r="N396" s="354" t="s">
        <v>395</v>
      </c>
      <c r="O396" s="354">
        <v>0</v>
      </c>
      <c r="P396" s="355" t="s">
        <v>396</v>
      </c>
      <c r="Q396" s="354" t="s">
        <v>346</v>
      </c>
      <c r="R396" s="353">
        <v>0</v>
      </c>
      <c r="S396" s="353">
        <v>0</v>
      </c>
      <c r="T396" s="353">
        <v>0</v>
      </c>
      <c r="U396" s="353">
        <v>0</v>
      </c>
      <c r="V396" s="353">
        <v>0</v>
      </c>
      <c r="W396" s="353">
        <v>0</v>
      </c>
    </row>
    <row r="397" spans="1:23" x14ac:dyDescent="0.25">
      <c r="A397" s="348" t="s">
        <v>907</v>
      </c>
      <c r="B397" s="349">
        <v>18</v>
      </c>
      <c r="C397" s="607">
        <v>45108</v>
      </c>
      <c r="D397" s="351">
        <v>45138</v>
      </c>
      <c r="E397" s="352"/>
      <c r="F397" s="352">
        <v>6</v>
      </c>
      <c r="G397" s="429" t="s">
        <v>310</v>
      </c>
      <c r="H397" s="353" t="s">
        <v>924</v>
      </c>
      <c r="I397" s="350" t="s">
        <v>393</v>
      </c>
      <c r="J397" s="560">
        <v>12114</v>
      </c>
      <c r="K397" s="350" t="s">
        <v>394</v>
      </c>
      <c r="L397" s="354">
        <v>2803.6597999999999</v>
      </c>
      <c r="M397" s="560">
        <f t="shared" si="20"/>
        <v>4.3207810020317021</v>
      </c>
      <c r="N397" s="354" t="s">
        <v>395</v>
      </c>
      <c r="O397" s="354">
        <v>0</v>
      </c>
      <c r="P397" s="355" t="s">
        <v>396</v>
      </c>
      <c r="Q397" s="354" t="s">
        <v>346</v>
      </c>
      <c r="R397" s="353">
        <v>0</v>
      </c>
      <c r="S397" s="353">
        <v>0</v>
      </c>
      <c r="T397" s="353">
        <v>0</v>
      </c>
      <c r="U397" s="353">
        <v>0</v>
      </c>
      <c r="V397" s="353">
        <v>0</v>
      </c>
      <c r="W397" s="353">
        <v>0</v>
      </c>
    </row>
    <row r="398" spans="1:23" x14ac:dyDescent="0.25">
      <c r="A398" s="348" t="s">
        <v>907</v>
      </c>
      <c r="B398" s="349">
        <v>18</v>
      </c>
      <c r="C398" s="607">
        <v>45108</v>
      </c>
      <c r="D398" s="351">
        <v>45138</v>
      </c>
      <c r="E398" s="352"/>
      <c r="F398" s="352">
        <v>6</v>
      </c>
      <c r="G398" s="429" t="s">
        <v>310</v>
      </c>
      <c r="H398" s="353" t="s">
        <v>925</v>
      </c>
      <c r="I398" s="350" t="s">
        <v>393</v>
      </c>
      <c r="J398" s="560">
        <v>12114</v>
      </c>
      <c r="K398" s="350" t="s">
        <v>394</v>
      </c>
      <c r="L398" s="354">
        <v>2803.6597999999999</v>
      </c>
      <c r="M398" s="560">
        <f t="shared" si="20"/>
        <v>4.3207810020317021</v>
      </c>
      <c r="N398" s="354" t="s">
        <v>395</v>
      </c>
      <c r="O398" s="354">
        <v>0</v>
      </c>
      <c r="P398" s="355" t="s">
        <v>396</v>
      </c>
      <c r="Q398" s="354" t="s">
        <v>346</v>
      </c>
      <c r="R398" s="353">
        <v>0</v>
      </c>
      <c r="S398" s="353">
        <v>0</v>
      </c>
      <c r="T398" s="353">
        <v>0</v>
      </c>
      <c r="U398" s="353">
        <v>0</v>
      </c>
      <c r="V398" s="353">
        <v>0</v>
      </c>
      <c r="W398" s="353">
        <v>0</v>
      </c>
    </row>
    <row r="399" spans="1:23" x14ac:dyDescent="0.25">
      <c r="A399" s="348" t="s">
        <v>907</v>
      </c>
      <c r="B399" s="349">
        <v>18</v>
      </c>
      <c r="C399" s="607">
        <v>45108</v>
      </c>
      <c r="D399" s="351">
        <v>45138</v>
      </c>
      <c r="E399" s="352"/>
      <c r="F399" s="352">
        <v>6</v>
      </c>
      <c r="G399" s="429" t="s">
        <v>310</v>
      </c>
      <c r="H399" s="353" t="s">
        <v>926</v>
      </c>
      <c r="I399" s="350" t="s">
        <v>393</v>
      </c>
      <c r="J399" s="560">
        <v>12114</v>
      </c>
      <c r="K399" s="350" t="s">
        <v>394</v>
      </c>
      <c r="L399" s="354">
        <v>2803.6597999999999</v>
      </c>
      <c r="M399" s="560">
        <f t="shared" si="20"/>
        <v>4.3207810020317021</v>
      </c>
      <c r="N399" s="354" t="s">
        <v>395</v>
      </c>
      <c r="O399" s="354">
        <v>0</v>
      </c>
      <c r="P399" s="355" t="s">
        <v>396</v>
      </c>
      <c r="Q399" s="354" t="s">
        <v>346</v>
      </c>
      <c r="R399" s="353">
        <v>0</v>
      </c>
      <c r="S399" s="353">
        <v>0</v>
      </c>
      <c r="T399" s="353">
        <v>0</v>
      </c>
      <c r="U399" s="353">
        <v>0</v>
      </c>
      <c r="V399" s="353">
        <v>0</v>
      </c>
      <c r="W399" s="353">
        <v>0</v>
      </c>
    </row>
    <row r="400" spans="1:23" x14ac:dyDescent="0.25">
      <c r="A400" s="348" t="s">
        <v>907</v>
      </c>
      <c r="B400" s="349">
        <v>18</v>
      </c>
      <c r="C400" s="607">
        <v>45108</v>
      </c>
      <c r="D400" s="351">
        <v>45138</v>
      </c>
      <c r="E400" s="352"/>
      <c r="F400" s="352">
        <v>6</v>
      </c>
      <c r="G400" s="429" t="s">
        <v>310</v>
      </c>
      <c r="H400" s="353" t="s">
        <v>927</v>
      </c>
      <c r="I400" s="350" t="s">
        <v>393</v>
      </c>
      <c r="J400" s="560">
        <v>12114</v>
      </c>
      <c r="K400" s="350" t="s">
        <v>394</v>
      </c>
      <c r="L400" s="354">
        <v>2803.6597999999999</v>
      </c>
      <c r="M400" s="560">
        <f t="shared" si="20"/>
        <v>4.3207810020317021</v>
      </c>
      <c r="N400" s="354" t="s">
        <v>395</v>
      </c>
      <c r="O400" s="354">
        <v>0</v>
      </c>
      <c r="P400" s="355" t="s">
        <v>396</v>
      </c>
      <c r="Q400" s="354" t="s">
        <v>346</v>
      </c>
      <c r="R400" s="353">
        <v>0</v>
      </c>
      <c r="S400" s="353">
        <v>0</v>
      </c>
      <c r="T400" s="353">
        <v>0</v>
      </c>
      <c r="U400" s="353">
        <v>0</v>
      </c>
      <c r="V400" s="353">
        <v>0</v>
      </c>
      <c r="W400" s="353">
        <v>0</v>
      </c>
    </row>
    <row r="401" spans="1:23" x14ac:dyDescent="0.25">
      <c r="A401" s="348" t="s">
        <v>928</v>
      </c>
      <c r="B401" s="349">
        <v>19</v>
      </c>
      <c r="C401" s="607">
        <v>45108</v>
      </c>
      <c r="D401" s="351">
        <v>45138</v>
      </c>
      <c r="E401" s="352"/>
      <c r="F401" s="352">
        <v>6</v>
      </c>
      <c r="G401" s="429" t="s">
        <v>306</v>
      </c>
      <c r="H401" s="353" t="s">
        <v>929</v>
      </c>
      <c r="I401" s="350" t="s">
        <v>393</v>
      </c>
      <c r="J401" s="560">
        <f>65470/5</f>
        <v>13094</v>
      </c>
      <c r="K401" s="350" t="s">
        <v>394</v>
      </c>
      <c r="L401" s="354">
        <v>2803.6597999999999</v>
      </c>
      <c r="M401" s="560">
        <f t="shared" si="20"/>
        <v>4.6703241242036571</v>
      </c>
      <c r="N401" s="354" t="s">
        <v>395</v>
      </c>
      <c r="O401" s="354">
        <v>0</v>
      </c>
      <c r="P401" s="355" t="s">
        <v>396</v>
      </c>
      <c r="Q401" s="354" t="s">
        <v>346</v>
      </c>
      <c r="R401" s="353">
        <v>0</v>
      </c>
      <c r="S401" s="353">
        <v>0</v>
      </c>
      <c r="T401" s="353">
        <v>0</v>
      </c>
      <c r="U401" s="353">
        <v>0</v>
      </c>
      <c r="V401" s="353">
        <v>0</v>
      </c>
      <c r="W401" s="353">
        <v>0</v>
      </c>
    </row>
    <row r="402" spans="1:23" x14ac:dyDescent="0.25">
      <c r="A402" s="348" t="s">
        <v>928</v>
      </c>
      <c r="B402" s="349">
        <v>19</v>
      </c>
      <c r="C402" s="607">
        <v>45108</v>
      </c>
      <c r="D402" s="351">
        <v>45138</v>
      </c>
      <c r="E402" s="352"/>
      <c r="F402" s="352">
        <v>6</v>
      </c>
      <c r="G402" s="429" t="s">
        <v>306</v>
      </c>
      <c r="H402" s="353" t="s">
        <v>930</v>
      </c>
      <c r="I402" s="350" t="s">
        <v>393</v>
      </c>
      <c r="J402" s="560">
        <f t="shared" ref="J402:J405" si="21">65470/5</f>
        <v>13094</v>
      </c>
      <c r="K402" s="350" t="s">
        <v>394</v>
      </c>
      <c r="L402" s="354">
        <v>2803.6597999999999</v>
      </c>
      <c r="M402" s="560">
        <f t="shared" si="20"/>
        <v>4.6703241242036571</v>
      </c>
      <c r="N402" s="354" t="s">
        <v>395</v>
      </c>
      <c r="O402" s="354">
        <v>0</v>
      </c>
      <c r="P402" s="355" t="s">
        <v>396</v>
      </c>
      <c r="Q402" s="354" t="s">
        <v>346</v>
      </c>
      <c r="R402" s="353">
        <v>0</v>
      </c>
      <c r="S402" s="353">
        <v>0</v>
      </c>
      <c r="T402" s="353">
        <v>0</v>
      </c>
      <c r="U402" s="353">
        <v>0</v>
      </c>
      <c r="V402" s="353">
        <v>0</v>
      </c>
      <c r="W402" s="353">
        <v>0</v>
      </c>
    </row>
    <row r="403" spans="1:23" x14ac:dyDescent="0.25">
      <c r="A403" s="348" t="s">
        <v>928</v>
      </c>
      <c r="B403" s="349">
        <v>19</v>
      </c>
      <c r="C403" s="607">
        <v>45108</v>
      </c>
      <c r="D403" s="351">
        <v>45138</v>
      </c>
      <c r="E403" s="352"/>
      <c r="F403" s="352">
        <v>6</v>
      </c>
      <c r="G403" s="429" t="s">
        <v>306</v>
      </c>
      <c r="H403" s="353" t="s">
        <v>931</v>
      </c>
      <c r="I403" s="350" t="s">
        <v>393</v>
      </c>
      <c r="J403" s="560">
        <f t="shared" si="21"/>
        <v>13094</v>
      </c>
      <c r="K403" s="350" t="s">
        <v>394</v>
      </c>
      <c r="L403" s="354">
        <v>2803.6597999999999</v>
      </c>
      <c r="M403" s="560">
        <f t="shared" si="20"/>
        <v>4.6703241242036571</v>
      </c>
      <c r="N403" s="354" t="s">
        <v>395</v>
      </c>
      <c r="O403" s="354">
        <v>0</v>
      </c>
      <c r="P403" s="355" t="s">
        <v>396</v>
      </c>
      <c r="Q403" s="354" t="s">
        <v>346</v>
      </c>
      <c r="R403" s="353">
        <v>0</v>
      </c>
      <c r="S403" s="353">
        <v>0</v>
      </c>
      <c r="T403" s="353">
        <v>0</v>
      </c>
      <c r="U403" s="353">
        <v>0</v>
      </c>
      <c r="V403" s="353">
        <v>0</v>
      </c>
      <c r="W403" s="353">
        <v>0</v>
      </c>
    </row>
    <row r="404" spans="1:23" x14ac:dyDescent="0.25">
      <c r="A404" s="348" t="s">
        <v>928</v>
      </c>
      <c r="B404" s="349">
        <v>19</v>
      </c>
      <c r="C404" s="607">
        <v>45108</v>
      </c>
      <c r="D404" s="351">
        <v>45138</v>
      </c>
      <c r="E404" s="352"/>
      <c r="F404" s="352">
        <v>6</v>
      </c>
      <c r="G404" s="429" t="s">
        <v>306</v>
      </c>
      <c r="H404" s="353" t="s">
        <v>932</v>
      </c>
      <c r="I404" s="350" t="s">
        <v>393</v>
      </c>
      <c r="J404" s="560">
        <f t="shared" si="21"/>
        <v>13094</v>
      </c>
      <c r="K404" s="350" t="s">
        <v>394</v>
      </c>
      <c r="L404" s="354">
        <v>2803.6597999999999</v>
      </c>
      <c r="M404" s="560">
        <f t="shared" si="20"/>
        <v>4.6703241242036571</v>
      </c>
      <c r="N404" s="354" t="s">
        <v>395</v>
      </c>
      <c r="O404" s="354">
        <v>0</v>
      </c>
      <c r="P404" s="355" t="s">
        <v>396</v>
      </c>
      <c r="Q404" s="354" t="s">
        <v>346</v>
      </c>
      <c r="R404" s="353">
        <v>0</v>
      </c>
      <c r="S404" s="353">
        <v>0</v>
      </c>
      <c r="T404" s="353">
        <v>0</v>
      </c>
      <c r="U404" s="353">
        <v>0</v>
      </c>
      <c r="V404" s="353">
        <v>0</v>
      </c>
      <c r="W404" s="353">
        <v>0</v>
      </c>
    </row>
    <row r="405" spans="1:23" x14ac:dyDescent="0.25">
      <c r="A405" s="348" t="s">
        <v>928</v>
      </c>
      <c r="B405" s="349">
        <v>19</v>
      </c>
      <c r="C405" s="607">
        <v>45108</v>
      </c>
      <c r="D405" s="351">
        <v>45138</v>
      </c>
      <c r="E405" s="352"/>
      <c r="F405" s="352">
        <v>6</v>
      </c>
      <c r="G405" s="429" t="s">
        <v>306</v>
      </c>
      <c r="H405" s="353" t="s">
        <v>933</v>
      </c>
      <c r="I405" s="350" t="s">
        <v>393</v>
      </c>
      <c r="J405" s="560">
        <f t="shared" si="21"/>
        <v>13094</v>
      </c>
      <c r="K405" s="350" t="s">
        <v>394</v>
      </c>
      <c r="L405" s="354">
        <v>2803.6597999999999</v>
      </c>
      <c r="M405" s="560">
        <f t="shared" si="20"/>
        <v>4.6703241242036571</v>
      </c>
      <c r="N405" s="354" t="s">
        <v>395</v>
      </c>
      <c r="O405" s="354">
        <v>0</v>
      </c>
      <c r="P405" s="355" t="s">
        <v>396</v>
      </c>
      <c r="Q405" s="354" t="s">
        <v>346</v>
      </c>
      <c r="R405" s="353">
        <v>0</v>
      </c>
      <c r="S405" s="353">
        <v>0</v>
      </c>
      <c r="T405" s="353">
        <v>0</v>
      </c>
      <c r="U405" s="353">
        <v>0</v>
      </c>
      <c r="V405" s="353">
        <v>0</v>
      </c>
      <c r="W405" s="353">
        <v>0</v>
      </c>
    </row>
    <row r="406" spans="1:23" x14ac:dyDescent="0.25">
      <c r="A406" s="348" t="s">
        <v>928</v>
      </c>
      <c r="B406" s="349">
        <v>19</v>
      </c>
      <c r="C406" s="607">
        <v>45108</v>
      </c>
      <c r="D406" s="351">
        <v>45138</v>
      </c>
      <c r="E406" s="352"/>
      <c r="F406" s="352">
        <v>6</v>
      </c>
      <c r="G406" s="429" t="s">
        <v>308</v>
      </c>
      <c r="H406" s="353" t="s">
        <v>934</v>
      </c>
      <c r="I406" s="350" t="s">
        <v>393</v>
      </c>
      <c r="J406" s="560">
        <f>65471/5</f>
        <v>13094.2</v>
      </c>
      <c r="K406" s="350" t="s">
        <v>394</v>
      </c>
      <c r="L406" s="354">
        <v>2803.6597999999999</v>
      </c>
      <c r="M406" s="560">
        <f t="shared" si="20"/>
        <v>4.6703954595347126</v>
      </c>
      <c r="N406" s="354" t="s">
        <v>395</v>
      </c>
      <c r="O406" s="354">
        <v>0</v>
      </c>
      <c r="P406" s="355" t="s">
        <v>396</v>
      </c>
      <c r="Q406" s="354" t="s">
        <v>346</v>
      </c>
      <c r="R406" s="353">
        <v>0</v>
      </c>
      <c r="S406" s="353">
        <v>0</v>
      </c>
      <c r="T406" s="353">
        <v>0</v>
      </c>
      <c r="U406" s="353">
        <v>0</v>
      </c>
      <c r="V406" s="353">
        <v>0</v>
      </c>
      <c r="W406" s="353">
        <v>0</v>
      </c>
    </row>
    <row r="407" spans="1:23" x14ac:dyDescent="0.25">
      <c r="A407" s="348" t="s">
        <v>928</v>
      </c>
      <c r="B407" s="349">
        <v>19</v>
      </c>
      <c r="C407" s="607">
        <v>45108</v>
      </c>
      <c r="D407" s="351">
        <v>45138</v>
      </c>
      <c r="E407" s="352"/>
      <c r="F407" s="352">
        <v>6</v>
      </c>
      <c r="G407" s="429" t="s">
        <v>308</v>
      </c>
      <c r="H407" s="353" t="s">
        <v>935</v>
      </c>
      <c r="I407" s="350" t="s">
        <v>393</v>
      </c>
      <c r="J407" s="560">
        <f t="shared" ref="J407:J410" si="22">65471/5</f>
        <v>13094.2</v>
      </c>
      <c r="K407" s="350" t="s">
        <v>394</v>
      </c>
      <c r="L407" s="354">
        <v>2803.6597999999999</v>
      </c>
      <c r="M407" s="560">
        <f t="shared" si="20"/>
        <v>4.6703954595347126</v>
      </c>
      <c r="N407" s="354" t="s">
        <v>395</v>
      </c>
      <c r="O407" s="354">
        <v>0</v>
      </c>
      <c r="P407" s="355" t="s">
        <v>396</v>
      </c>
      <c r="Q407" s="354" t="s">
        <v>346</v>
      </c>
      <c r="R407" s="353">
        <v>0</v>
      </c>
      <c r="S407" s="353">
        <v>0</v>
      </c>
      <c r="T407" s="353">
        <v>0</v>
      </c>
      <c r="U407" s="353">
        <v>0</v>
      </c>
      <c r="V407" s="353">
        <v>0</v>
      </c>
      <c r="W407" s="353">
        <v>0</v>
      </c>
    </row>
    <row r="408" spans="1:23" x14ac:dyDescent="0.25">
      <c r="A408" s="348" t="s">
        <v>928</v>
      </c>
      <c r="B408" s="349">
        <v>19</v>
      </c>
      <c r="C408" s="607">
        <v>45108</v>
      </c>
      <c r="D408" s="351">
        <v>45138</v>
      </c>
      <c r="E408" s="352"/>
      <c r="F408" s="352">
        <v>6</v>
      </c>
      <c r="G408" s="429" t="s">
        <v>308</v>
      </c>
      <c r="H408" s="353" t="s">
        <v>936</v>
      </c>
      <c r="I408" s="350" t="s">
        <v>393</v>
      </c>
      <c r="J408" s="560">
        <f t="shared" si="22"/>
        <v>13094.2</v>
      </c>
      <c r="K408" s="350" t="s">
        <v>394</v>
      </c>
      <c r="L408" s="354">
        <v>2803.6597999999999</v>
      </c>
      <c r="M408" s="560">
        <f t="shared" si="20"/>
        <v>4.6703954595347126</v>
      </c>
      <c r="N408" s="354" t="s">
        <v>395</v>
      </c>
      <c r="O408" s="354">
        <v>0</v>
      </c>
      <c r="P408" s="355" t="s">
        <v>396</v>
      </c>
      <c r="Q408" s="354" t="s">
        <v>346</v>
      </c>
      <c r="R408" s="353">
        <v>0</v>
      </c>
      <c r="S408" s="353">
        <v>0</v>
      </c>
      <c r="T408" s="353">
        <v>0</v>
      </c>
      <c r="U408" s="353">
        <v>0</v>
      </c>
      <c r="V408" s="353">
        <v>0</v>
      </c>
      <c r="W408" s="353">
        <v>0</v>
      </c>
    </row>
    <row r="409" spans="1:23" x14ac:dyDescent="0.25">
      <c r="A409" s="348" t="s">
        <v>928</v>
      </c>
      <c r="B409" s="349">
        <v>19</v>
      </c>
      <c r="C409" s="607">
        <v>45108</v>
      </c>
      <c r="D409" s="351">
        <v>45138</v>
      </c>
      <c r="E409" s="352"/>
      <c r="F409" s="352">
        <v>6</v>
      </c>
      <c r="G409" s="429" t="s">
        <v>308</v>
      </c>
      <c r="H409" s="353" t="s">
        <v>937</v>
      </c>
      <c r="I409" s="350" t="s">
        <v>393</v>
      </c>
      <c r="J409" s="560">
        <f t="shared" si="22"/>
        <v>13094.2</v>
      </c>
      <c r="K409" s="350" t="s">
        <v>394</v>
      </c>
      <c r="L409" s="354">
        <v>2803.6597999999999</v>
      </c>
      <c r="M409" s="560">
        <f t="shared" si="20"/>
        <v>4.6703954595347126</v>
      </c>
      <c r="N409" s="354" t="s">
        <v>395</v>
      </c>
      <c r="O409" s="354">
        <v>0</v>
      </c>
      <c r="P409" s="355" t="s">
        <v>396</v>
      </c>
      <c r="Q409" s="354" t="s">
        <v>346</v>
      </c>
      <c r="R409" s="353">
        <v>0</v>
      </c>
      <c r="S409" s="353">
        <v>0</v>
      </c>
      <c r="T409" s="353">
        <v>0</v>
      </c>
      <c r="U409" s="353">
        <v>0</v>
      </c>
      <c r="V409" s="353">
        <v>0</v>
      </c>
      <c r="W409" s="353">
        <v>0</v>
      </c>
    </row>
    <row r="410" spans="1:23" x14ac:dyDescent="0.25">
      <c r="A410" s="348" t="s">
        <v>928</v>
      </c>
      <c r="B410" s="349">
        <v>19</v>
      </c>
      <c r="C410" s="607">
        <v>45108</v>
      </c>
      <c r="D410" s="351">
        <v>45138</v>
      </c>
      <c r="E410" s="352"/>
      <c r="F410" s="352">
        <v>6</v>
      </c>
      <c r="G410" s="429" t="s">
        <v>308</v>
      </c>
      <c r="H410" s="353" t="s">
        <v>938</v>
      </c>
      <c r="I410" s="350" t="s">
        <v>393</v>
      </c>
      <c r="J410" s="560">
        <f t="shared" si="22"/>
        <v>13094.2</v>
      </c>
      <c r="K410" s="350" t="s">
        <v>394</v>
      </c>
      <c r="L410" s="354">
        <v>2803.6597999999999</v>
      </c>
      <c r="M410" s="560">
        <f t="shared" si="20"/>
        <v>4.6703954595347126</v>
      </c>
      <c r="N410" s="354" t="s">
        <v>395</v>
      </c>
      <c r="O410" s="354">
        <v>0</v>
      </c>
      <c r="P410" s="355" t="s">
        <v>396</v>
      </c>
      <c r="Q410" s="354" t="s">
        <v>346</v>
      </c>
      <c r="R410" s="353">
        <v>0</v>
      </c>
      <c r="S410" s="353">
        <v>0</v>
      </c>
      <c r="T410" s="353">
        <v>0</v>
      </c>
      <c r="U410" s="353">
        <v>0</v>
      </c>
      <c r="V410" s="353">
        <v>0</v>
      </c>
      <c r="W410" s="353">
        <v>0</v>
      </c>
    </row>
    <row r="411" spans="1:23" x14ac:dyDescent="0.25">
      <c r="A411" s="348" t="s">
        <v>928</v>
      </c>
      <c r="B411" s="349">
        <v>19</v>
      </c>
      <c r="C411" s="607">
        <v>45108</v>
      </c>
      <c r="D411" s="351">
        <v>45138</v>
      </c>
      <c r="E411" s="352"/>
      <c r="F411" s="352">
        <v>6</v>
      </c>
      <c r="G411" s="429" t="s">
        <v>309</v>
      </c>
      <c r="H411" s="353" t="s">
        <v>939</v>
      </c>
      <c r="I411" s="350" t="s">
        <v>393</v>
      </c>
      <c r="J411" s="560">
        <f>314285/5</f>
        <v>62857</v>
      </c>
      <c r="K411" s="350" t="s">
        <v>394</v>
      </c>
      <c r="L411" s="354">
        <v>2803.6597999999999</v>
      </c>
      <c r="M411" s="560">
        <f t="shared" si="20"/>
        <v>22.419624520778164</v>
      </c>
      <c r="N411" s="354" t="s">
        <v>395</v>
      </c>
      <c r="O411" s="354">
        <v>0</v>
      </c>
      <c r="P411" s="355" t="s">
        <v>396</v>
      </c>
      <c r="Q411" s="354" t="s">
        <v>346</v>
      </c>
      <c r="R411" s="353">
        <v>0</v>
      </c>
      <c r="S411" s="353">
        <v>0</v>
      </c>
      <c r="T411" s="353">
        <v>0</v>
      </c>
      <c r="U411" s="353">
        <v>0</v>
      </c>
      <c r="V411" s="353">
        <v>0</v>
      </c>
      <c r="W411" s="353">
        <v>0</v>
      </c>
    </row>
    <row r="412" spans="1:23" x14ac:dyDescent="0.25">
      <c r="A412" s="348" t="s">
        <v>928</v>
      </c>
      <c r="B412" s="349">
        <v>19</v>
      </c>
      <c r="C412" s="607">
        <v>45108</v>
      </c>
      <c r="D412" s="351">
        <v>45138</v>
      </c>
      <c r="E412" s="352"/>
      <c r="F412" s="352">
        <v>6</v>
      </c>
      <c r="G412" s="429" t="s">
        <v>309</v>
      </c>
      <c r="H412" s="353" t="s">
        <v>940</v>
      </c>
      <c r="I412" s="350" t="s">
        <v>393</v>
      </c>
      <c r="J412" s="560">
        <f t="shared" ref="J412:J415" si="23">314285/5</f>
        <v>62857</v>
      </c>
      <c r="K412" s="350" t="s">
        <v>394</v>
      </c>
      <c r="L412" s="354">
        <v>2803.6597999999999</v>
      </c>
      <c r="M412" s="560">
        <f t="shared" si="20"/>
        <v>22.419624520778164</v>
      </c>
      <c r="N412" s="354" t="s">
        <v>395</v>
      </c>
      <c r="O412" s="354">
        <v>0</v>
      </c>
      <c r="P412" s="355" t="s">
        <v>396</v>
      </c>
      <c r="Q412" s="354" t="s">
        <v>346</v>
      </c>
      <c r="R412" s="353">
        <v>0</v>
      </c>
      <c r="S412" s="353">
        <v>0</v>
      </c>
      <c r="T412" s="353">
        <v>0</v>
      </c>
      <c r="U412" s="353">
        <v>0</v>
      </c>
      <c r="V412" s="353">
        <v>0</v>
      </c>
      <c r="W412" s="353">
        <v>0</v>
      </c>
    </row>
    <row r="413" spans="1:23" x14ac:dyDescent="0.25">
      <c r="A413" s="348" t="s">
        <v>928</v>
      </c>
      <c r="B413" s="349">
        <v>19</v>
      </c>
      <c r="C413" s="607">
        <v>45108</v>
      </c>
      <c r="D413" s="351">
        <v>45138</v>
      </c>
      <c r="E413" s="352"/>
      <c r="F413" s="352">
        <v>6</v>
      </c>
      <c r="G413" s="429" t="s">
        <v>309</v>
      </c>
      <c r="H413" s="353" t="s">
        <v>941</v>
      </c>
      <c r="I413" s="350" t="s">
        <v>393</v>
      </c>
      <c r="J413" s="560">
        <f t="shared" si="23"/>
        <v>62857</v>
      </c>
      <c r="K413" s="350" t="s">
        <v>394</v>
      </c>
      <c r="L413" s="354">
        <v>2803.6597999999999</v>
      </c>
      <c r="M413" s="560">
        <f t="shared" si="20"/>
        <v>22.419624520778164</v>
      </c>
      <c r="N413" s="354" t="s">
        <v>395</v>
      </c>
      <c r="O413" s="354">
        <v>0</v>
      </c>
      <c r="P413" s="355" t="s">
        <v>396</v>
      </c>
      <c r="Q413" s="354" t="s">
        <v>346</v>
      </c>
      <c r="R413" s="353">
        <v>0</v>
      </c>
      <c r="S413" s="353">
        <v>0</v>
      </c>
      <c r="T413" s="353">
        <v>0</v>
      </c>
      <c r="U413" s="353">
        <v>0</v>
      </c>
      <c r="V413" s="353">
        <v>0</v>
      </c>
      <c r="W413" s="353">
        <v>0</v>
      </c>
    </row>
    <row r="414" spans="1:23" x14ac:dyDescent="0.25">
      <c r="A414" s="348" t="s">
        <v>928</v>
      </c>
      <c r="B414" s="349">
        <v>19</v>
      </c>
      <c r="C414" s="607">
        <v>45108</v>
      </c>
      <c r="D414" s="351">
        <v>45138</v>
      </c>
      <c r="E414" s="352"/>
      <c r="F414" s="352">
        <v>6</v>
      </c>
      <c r="G414" s="429" t="s">
        <v>309</v>
      </c>
      <c r="H414" s="353" t="s">
        <v>942</v>
      </c>
      <c r="I414" s="350" t="s">
        <v>393</v>
      </c>
      <c r="J414" s="560">
        <f t="shared" si="23"/>
        <v>62857</v>
      </c>
      <c r="K414" s="350" t="s">
        <v>394</v>
      </c>
      <c r="L414" s="354">
        <v>2803.6597999999999</v>
      </c>
      <c r="M414" s="560">
        <f t="shared" si="20"/>
        <v>22.419624520778164</v>
      </c>
      <c r="N414" s="354" t="s">
        <v>395</v>
      </c>
      <c r="O414" s="354">
        <v>0</v>
      </c>
      <c r="P414" s="355" t="s">
        <v>396</v>
      </c>
      <c r="Q414" s="354" t="s">
        <v>346</v>
      </c>
      <c r="R414" s="353">
        <v>0</v>
      </c>
      <c r="S414" s="353">
        <v>0</v>
      </c>
      <c r="T414" s="353">
        <v>0</v>
      </c>
      <c r="U414" s="353">
        <v>0</v>
      </c>
      <c r="V414" s="353">
        <v>0</v>
      </c>
      <c r="W414" s="353">
        <v>0</v>
      </c>
    </row>
    <row r="415" spans="1:23" x14ac:dyDescent="0.25">
      <c r="A415" s="348" t="s">
        <v>928</v>
      </c>
      <c r="B415" s="349">
        <v>19</v>
      </c>
      <c r="C415" s="607">
        <v>45108</v>
      </c>
      <c r="D415" s="351">
        <v>45138</v>
      </c>
      <c r="E415" s="352"/>
      <c r="F415" s="352">
        <v>6</v>
      </c>
      <c r="G415" s="429" t="s">
        <v>309</v>
      </c>
      <c r="H415" s="353" t="s">
        <v>943</v>
      </c>
      <c r="I415" s="350" t="s">
        <v>393</v>
      </c>
      <c r="J415" s="560">
        <f t="shared" si="23"/>
        <v>62857</v>
      </c>
      <c r="K415" s="350" t="s">
        <v>394</v>
      </c>
      <c r="L415" s="354">
        <v>2803.6597999999999</v>
      </c>
      <c r="M415" s="560">
        <f t="shared" si="20"/>
        <v>22.419624520778164</v>
      </c>
      <c r="N415" s="354" t="s">
        <v>395</v>
      </c>
      <c r="O415" s="354">
        <v>0</v>
      </c>
      <c r="P415" s="355" t="s">
        <v>396</v>
      </c>
      <c r="Q415" s="354" t="s">
        <v>346</v>
      </c>
      <c r="R415" s="353">
        <v>0</v>
      </c>
      <c r="S415" s="353">
        <v>0</v>
      </c>
      <c r="T415" s="353">
        <v>0</v>
      </c>
      <c r="U415" s="353">
        <v>0</v>
      </c>
      <c r="V415" s="353">
        <v>0</v>
      </c>
      <c r="W415" s="353">
        <v>0</v>
      </c>
    </row>
    <row r="416" spans="1:23" x14ac:dyDescent="0.25">
      <c r="A416" s="348" t="s">
        <v>928</v>
      </c>
      <c r="B416" s="349">
        <v>19</v>
      </c>
      <c r="C416" s="607">
        <v>45108</v>
      </c>
      <c r="D416" s="351">
        <v>45138</v>
      </c>
      <c r="E416" s="352"/>
      <c r="F416" s="352">
        <v>6</v>
      </c>
      <c r="G416" s="429" t="s">
        <v>310</v>
      </c>
      <c r="H416" s="353" t="s">
        <v>944</v>
      </c>
      <c r="I416" s="350" t="s">
        <v>393</v>
      </c>
      <c r="J416" s="560">
        <f>87300/5</f>
        <v>17460</v>
      </c>
      <c r="K416" s="350" t="s">
        <v>394</v>
      </c>
      <c r="L416" s="354">
        <v>2803.6597999999999</v>
      </c>
      <c r="M416" s="560">
        <f t="shared" si="20"/>
        <v>6.2275744011452465</v>
      </c>
      <c r="N416" s="354" t="s">
        <v>395</v>
      </c>
      <c r="O416" s="354">
        <v>0</v>
      </c>
      <c r="P416" s="355" t="s">
        <v>396</v>
      </c>
      <c r="Q416" s="354" t="s">
        <v>346</v>
      </c>
      <c r="R416" s="353">
        <v>0</v>
      </c>
      <c r="S416" s="353">
        <v>0</v>
      </c>
      <c r="T416" s="353">
        <v>0</v>
      </c>
      <c r="U416" s="353">
        <v>0</v>
      </c>
      <c r="V416" s="353">
        <v>0</v>
      </c>
      <c r="W416" s="353">
        <v>0</v>
      </c>
    </row>
    <row r="417" spans="1:23" x14ac:dyDescent="0.25">
      <c r="A417" s="348" t="s">
        <v>928</v>
      </c>
      <c r="B417" s="349">
        <v>19</v>
      </c>
      <c r="C417" s="607">
        <v>45108</v>
      </c>
      <c r="D417" s="351">
        <v>45138</v>
      </c>
      <c r="E417" s="352"/>
      <c r="F417" s="352">
        <v>6</v>
      </c>
      <c r="G417" s="429" t="s">
        <v>310</v>
      </c>
      <c r="H417" s="353" t="s">
        <v>945</v>
      </c>
      <c r="I417" s="350" t="s">
        <v>393</v>
      </c>
      <c r="J417" s="560">
        <f t="shared" ref="J417:J420" si="24">87300/5</f>
        <v>17460</v>
      </c>
      <c r="K417" s="350" t="s">
        <v>394</v>
      </c>
      <c r="L417" s="354">
        <v>2803.6597999999999</v>
      </c>
      <c r="M417" s="560">
        <f t="shared" si="20"/>
        <v>6.2275744011452465</v>
      </c>
      <c r="N417" s="354" t="s">
        <v>395</v>
      </c>
      <c r="O417" s="354">
        <v>0</v>
      </c>
      <c r="P417" s="355" t="s">
        <v>396</v>
      </c>
      <c r="Q417" s="354" t="s">
        <v>346</v>
      </c>
      <c r="R417" s="353">
        <v>0</v>
      </c>
      <c r="S417" s="353">
        <v>0</v>
      </c>
      <c r="T417" s="353">
        <v>0</v>
      </c>
      <c r="U417" s="353">
        <v>0</v>
      </c>
      <c r="V417" s="353">
        <v>0</v>
      </c>
      <c r="W417" s="353">
        <v>0</v>
      </c>
    </row>
    <row r="418" spans="1:23" x14ac:dyDescent="0.25">
      <c r="A418" s="348" t="s">
        <v>928</v>
      </c>
      <c r="B418" s="349">
        <v>19</v>
      </c>
      <c r="C418" s="607">
        <v>45108</v>
      </c>
      <c r="D418" s="351">
        <v>45138</v>
      </c>
      <c r="E418" s="352"/>
      <c r="F418" s="352">
        <v>6</v>
      </c>
      <c r="G418" s="429" t="s">
        <v>310</v>
      </c>
      <c r="H418" s="353" t="s">
        <v>946</v>
      </c>
      <c r="I418" s="350" t="s">
        <v>393</v>
      </c>
      <c r="J418" s="560">
        <f t="shared" si="24"/>
        <v>17460</v>
      </c>
      <c r="K418" s="350" t="s">
        <v>394</v>
      </c>
      <c r="L418" s="354">
        <v>2803.6597999999999</v>
      </c>
      <c r="M418" s="560">
        <f t="shared" si="20"/>
        <v>6.2275744011452465</v>
      </c>
      <c r="N418" s="354" t="s">
        <v>395</v>
      </c>
      <c r="O418" s="354">
        <v>0</v>
      </c>
      <c r="P418" s="355" t="s">
        <v>396</v>
      </c>
      <c r="Q418" s="354" t="s">
        <v>346</v>
      </c>
      <c r="R418" s="353">
        <v>0</v>
      </c>
      <c r="S418" s="353">
        <v>0</v>
      </c>
      <c r="T418" s="353">
        <v>0</v>
      </c>
      <c r="U418" s="353">
        <v>0</v>
      </c>
      <c r="V418" s="353">
        <v>0</v>
      </c>
      <c r="W418" s="353">
        <v>0</v>
      </c>
    </row>
    <row r="419" spans="1:23" x14ac:dyDescent="0.25">
      <c r="A419" s="348" t="s">
        <v>928</v>
      </c>
      <c r="B419" s="349">
        <v>19</v>
      </c>
      <c r="C419" s="607">
        <v>45108</v>
      </c>
      <c r="D419" s="351">
        <v>45138</v>
      </c>
      <c r="E419" s="352"/>
      <c r="F419" s="352">
        <v>6</v>
      </c>
      <c r="G419" s="429" t="s">
        <v>310</v>
      </c>
      <c r="H419" s="353" t="s">
        <v>947</v>
      </c>
      <c r="I419" s="350" t="s">
        <v>393</v>
      </c>
      <c r="J419" s="560">
        <f t="shared" si="24"/>
        <v>17460</v>
      </c>
      <c r="K419" s="350" t="s">
        <v>394</v>
      </c>
      <c r="L419" s="354">
        <v>2803.6597999999999</v>
      </c>
      <c r="M419" s="560">
        <f t="shared" si="20"/>
        <v>6.2275744011452465</v>
      </c>
      <c r="N419" s="354" t="s">
        <v>395</v>
      </c>
      <c r="O419" s="354">
        <v>0</v>
      </c>
      <c r="P419" s="355" t="s">
        <v>396</v>
      </c>
      <c r="Q419" s="354" t="s">
        <v>346</v>
      </c>
      <c r="R419" s="353">
        <v>0</v>
      </c>
      <c r="S419" s="353">
        <v>0</v>
      </c>
      <c r="T419" s="353">
        <v>0</v>
      </c>
      <c r="U419" s="353">
        <v>0</v>
      </c>
      <c r="V419" s="353">
        <v>0</v>
      </c>
      <c r="W419" s="353">
        <v>0</v>
      </c>
    </row>
    <row r="420" spans="1:23" x14ac:dyDescent="0.25">
      <c r="A420" s="348" t="s">
        <v>928</v>
      </c>
      <c r="B420" s="349">
        <v>19</v>
      </c>
      <c r="C420" s="607">
        <v>45108</v>
      </c>
      <c r="D420" s="351">
        <v>45138</v>
      </c>
      <c r="E420" s="352"/>
      <c r="F420" s="352">
        <v>6</v>
      </c>
      <c r="G420" s="429" t="s">
        <v>310</v>
      </c>
      <c r="H420" s="353" t="s">
        <v>948</v>
      </c>
      <c r="I420" s="350" t="s">
        <v>393</v>
      </c>
      <c r="J420" s="560">
        <f t="shared" si="24"/>
        <v>17460</v>
      </c>
      <c r="K420" s="350" t="s">
        <v>394</v>
      </c>
      <c r="L420" s="354">
        <v>2803.6597999999999</v>
      </c>
      <c r="M420" s="560">
        <f t="shared" si="20"/>
        <v>6.2275744011452465</v>
      </c>
      <c r="N420" s="354" t="s">
        <v>395</v>
      </c>
      <c r="O420" s="354">
        <v>0</v>
      </c>
      <c r="P420" s="355" t="s">
        <v>396</v>
      </c>
      <c r="Q420" s="354" t="s">
        <v>346</v>
      </c>
      <c r="R420" s="353">
        <v>0</v>
      </c>
      <c r="S420" s="353">
        <v>0</v>
      </c>
      <c r="T420" s="353">
        <v>0</v>
      </c>
      <c r="U420" s="353">
        <v>0</v>
      </c>
      <c r="V420" s="353">
        <v>0</v>
      </c>
      <c r="W420" s="353">
        <v>0</v>
      </c>
    </row>
    <row r="421" spans="1:23" x14ac:dyDescent="0.25">
      <c r="A421" s="348" t="s">
        <v>949</v>
      </c>
      <c r="B421" s="349">
        <v>20</v>
      </c>
      <c r="C421" s="607">
        <v>45108</v>
      </c>
      <c r="D421" s="351">
        <v>45138</v>
      </c>
      <c r="E421" s="352"/>
      <c r="F421" s="352">
        <v>6</v>
      </c>
      <c r="G421" s="429" t="s">
        <v>306</v>
      </c>
      <c r="H421" s="353" t="s">
        <v>950</v>
      </c>
      <c r="I421" s="350" t="s">
        <v>393</v>
      </c>
      <c r="J421" s="560">
        <v>13094</v>
      </c>
      <c r="K421" s="350" t="s">
        <v>394</v>
      </c>
      <c r="L421" s="354">
        <v>2803.6597999999999</v>
      </c>
      <c r="M421" s="560">
        <f t="shared" si="20"/>
        <v>4.6703241242036571</v>
      </c>
      <c r="N421" s="354" t="s">
        <v>395</v>
      </c>
      <c r="O421" s="354">
        <v>0</v>
      </c>
      <c r="P421" s="355" t="s">
        <v>396</v>
      </c>
      <c r="Q421" s="354" t="s">
        <v>346</v>
      </c>
      <c r="R421" s="353">
        <v>0</v>
      </c>
      <c r="S421" s="353">
        <v>0</v>
      </c>
      <c r="T421" s="353">
        <v>0</v>
      </c>
      <c r="U421" s="353">
        <v>0</v>
      </c>
      <c r="V421" s="353">
        <v>0</v>
      </c>
      <c r="W421" s="353">
        <v>0</v>
      </c>
    </row>
    <row r="422" spans="1:23" x14ac:dyDescent="0.25">
      <c r="A422" s="348" t="s">
        <v>949</v>
      </c>
      <c r="B422" s="349">
        <v>20</v>
      </c>
      <c r="C422" s="607">
        <v>45108</v>
      </c>
      <c r="D422" s="351">
        <v>45138</v>
      </c>
      <c r="E422" s="352"/>
      <c r="F422" s="352">
        <v>6</v>
      </c>
      <c r="G422" s="429" t="s">
        <v>308</v>
      </c>
      <c r="H422" s="353" t="s">
        <v>951</v>
      </c>
      <c r="I422" s="350" t="s">
        <v>393</v>
      </c>
      <c r="J422" s="560">
        <v>13094</v>
      </c>
      <c r="K422" s="350" t="s">
        <v>394</v>
      </c>
      <c r="L422" s="354">
        <v>2803.6597999999999</v>
      </c>
      <c r="M422" s="560">
        <f t="shared" si="20"/>
        <v>4.6703241242036571</v>
      </c>
      <c r="N422" s="354" t="s">
        <v>395</v>
      </c>
      <c r="O422" s="354">
        <v>0</v>
      </c>
      <c r="P422" s="355" t="s">
        <v>396</v>
      </c>
      <c r="Q422" s="354" t="s">
        <v>346</v>
      </c>
      <c r="R422" s="353">
        <v>0</v>
      </c>
      <c r="S422" s="353">
        <v>0</v>
      </c>
      <c r="T422" s="353">
        <v>0</v>
      </c>
      <c r="U422" s="353">
        <v>0</v>
      </c>
      <c r="V422" s="353">
        <v>0</v>
      </c>
      <c r="W422" s="353">
        <v>0</v>
      </c>
    </row>
    <row r="423" spans="1:23" x14ac:dyDescent="0.25">
      <c r="A423" s="348" t="s">
        <v>949</v>
      </c>
      <c r="B423" s="349">
        <v>20</v>
      </c>
      <c r="C423" s="607">
        <v>45108</v>
      </c>
      <c r="D423" s="351">
        <v>45138</v>
      </c>
      <c r="E423" s="352"/>
      <c r="F423" s="352">
        <v>6</v>
      </c>
      <c r="G423" s="429" t="s">
        <v>309</v>
      </c>
      <c r="H423" s="353" t="s">
        <v>952</v>
      </c>
      <c r="I423" s="350" t="s">
        <v>393</v>
      </c>
      <c r="J423" s="560">
        <v>62857</v>
      </c>
      <c r="K423" s="350" t="s">
        <v>394</v>
      </c>
      <c r="L423" s="354">
        <v>2803.6597999999999</v>
      </c>
      <c r="M423" s="560">
        <f t="shared" si="20"/>
        <v>22.419624520778164</v>
      </c>
      <c r="N423" s="354" t="s">
        <v>395</v>
      </c>
      <c r="O423" s="354">
        <v>0</v>
      </c>
      <c r="P423" s="355" t="s">
        <v>396</v>
      </c>
      <c r="Q423" s="354" t="s">
        <v>346</v>
      </c>
      <c r="R423" s="353">
        <v>0</v>
      </c>
      <c r="S423" s="353">
        <v>0</v>
      </c>
      <c r="T423" s="353">
        <v>0</v>
      </c>
      <c r="U423" s="353">
        <v>0</v>
      </c>
      <c r="V423" s="353">
        <v>0</v>
      </c>
      <c r="W423" s="353">
        <v>0</v>
      </c>
    </row>
    <row r="424" spans="1:23" x14ac:dyDescent="0.25">
      <c r="A424" s="348" t="s">
        <v>949</v>
      </c>
      <c r="B424" s="349">
        <v>20</v>
      </c>
      <c r="C424" s="607">
        <v>45108</v>
      </c>
      <c r="D424" s="351">
        <v>45138</v>
      </c>
      <c r="E424" s="352"/>
      <c r="F424" s="352">
        <v>6</v>
      </c>
      <c r="G424" s="429" t="s">
        <v>310</v>
      </c>
      <c r="H424" s="353" t="s">
        <v>953</v>
      </c>
      <c r="I424" s="350" t="s">
        <v>393</v>
      </c>
      <c r="J424" s="560">
        <v>17460</v>
      </c>
      <c r="K424" s="350" t="s">
        <v>394</v>
      </c>
      <c r="L424" s="354">
        <v>2803.6597999999999</v>
      </c>
      <c r="M424" s="560">
        <f t="shared" si="20"/>
        <v>6.2275744011452465</v>
      </c>
      <c r="N424" s="354" t="s">
        <v>395</v>
      </c>
      <c r="O424" s="354">
        <v>0</v>
      </c>
      <c r="P424" s="355" t="s">
        <v>396</v>
      </c>
      <c r="Q424" s="354" t="s">
        <v>346</v>
      </c>
      <c r="R424" s="353">
        <v>0</v>
      </c>
      <c r="S424" s="353">
        <v>0</v>
      </c>
      <c r="T424" s="353">
        <v>0</v>
      </c>
      <c r="U424" s="353">
        <v>0</v>
      </c>
      <c r="V424" s="353">
        <v>0</v>
      </c>
      <c r="W424" s="353">
        <v>0</v>
      </c>
    </row>
    <row r="425" spans="1:23" x14ac:dyDescent="0.25">
      <c r="A425" s="348" t="s">
        <v>954</v>
      </c>
      <c r="B425" s="349">
        <v>21</v>
      </c>
      <c r="C425" s="423">
        <v>45139</v>
      </c>
      <c r="D425" s="351">
        <v>45164</v>
      </c>
      <c r="E425" s="352"/>
      <c r="F425" s="352">
        <v>6</v>
      </c>
      <c r="G425" s="429" t="s">
        <v>306</v>
      </c>
      <c r="H425" s="353" t="s">
        <v>956</v>
      </c>
      <c r="I425" s="350" t="s">
        <v>393</v>
      </c>
      <c r="J425" s="560">
        <v>382454</v>
      </c>
      <c r="K425" s="350" t="s">
        <v>394</v>
      </c>
      <c r="L425" s="354">
        <v>2803.6597999999999</v>
      </c>
      <c r="M425" s="560">
        <f t="shared" si="20"/>
        <v>136.4124135175031</v>
      </c>
      <c r="N425" s="354" t="s">
        <v>395</v>
      </c>
      <c r="O425" s="354">
        <v>0</v>
      </c>
      <c r="P425" s="355" t="s">
        <v>396</v>
      </c>
      <c r="Q425" s="354" t="s">
        <v>346</v>
      </c>
      <c r="R425" s="353">
        <v>0</v>
      </c>
      <c r="S425" s="353">
        <v>0</v>
      </c>
      <c r="T425" s="353">
        <v>0</v>
      </c>
      <c r="U425" s="353">
        <v>0</v>
      </c>
      <c r="V425" s="353">
        <v>0</v>
      </c>
      <c r="W425" s="353">
        <v>0</v>
      </c>
    </row>
    <row r="426" spans="1:23" x14ac:dyDescent="0.25">
      <c r="A426" s="348" t="s">
        <v>954</v>
      </c>
      <c r="B426" s="349">
        <v>21</v>
      </c>
      <c r="C426" s="423">
        <v>45139</v>
      </c>
      <c r="D426" s="351">
        <v>45164</v>
      </c>
      <c r="E426" s="352"/>
      <c r="F426" s="352">
        <v>6</v>
      </c>
      <c r="G426" s="429" t="s">
        <v>307</v>
      </c>
      <c r="H426" s="353" t="s">
        <v>957</v>
      </c>
      <c r="I426" s="350" t="s">
        <v>393</v>
      </c>
      <c r="J426" s="560">
        <v>216919</v>
      </c>
      <c r="K426" s="350" t="s">
        <v>394</v>
      </c>
      <c r="L426" s="354">
        <v>2803.6597999999999</v>
      </c>
      <c r="M426" s="560">
        <f t="shared" si="20"/>
        <v>77.369943386141216</v>
      </c>
      <c r="N426" s="354" t="s">
        <v>395</v>
      </c>
      <c r="O426" s="354">
        <v>0</v>
      </c>
      <c r="P426" s="355" t="s">
        <v>396</v>
      </c>
      <c r="Q426" s="354" t="s">
        <v>346</v>
      </c>
      <c r="R426" s="353">
        <v>0</v>
      </c>
      <c r="S426" s="353">
        <v>0</v>
      </c>
      <c r="T426" s="353">
        <v>0</v>
      </c>
      <c r="U426" s="353">
        <v>0</v>
      </c>
      <c r="V426" s="353">
        <v>0</v>
      </c>
      <c r="W426" s="353">
        <v>0</v>
      </c>
    </row>
    <row r="427" spans="1:23" x14ac:dyDescent="0.25">
      <c r="A427" s="348" t="s">
        <v>954</v>
      </c>
      <c r="B427" s="349">
        <v>21</v>
      </c>
      <c r="C427" s="423">
        <v>45139</v>
      </c>
      <c r="D427" s="351">
        <v>45164</v>
      </c>
      <c r="E427" s="352"/>
      <c r="F427" s="352">
        <v>6</v>
      </c>
      <c r="G427" s="429" t="s">
        <v>308</v>
      </c>
      <c r="H427" s="353" t="s">
        <v>958</v>
      </c>
      <c r="I427" s="350" t="s">
        <v>393</v>
      </c>
      <c r="J427" s="560">
        <v>382797</v>
      </c>
      <c r="K427" s="350" t="s">
        <v>394</v>
      </c>
      <c r="L427" s="354">
        <v>2803.6597999999999</v>
      </c>
      <c r="M427" s="560">
        <f t="shared" si="20"/>
        <v>136.53475361026327</v>
      </c>
      <c r="N427" s="354" t="s">
        <v>395</v>
      </c>
      <c r="O427" s="354">
        <v>0</v>
      </c>
      <c r="P427" s="355" t="s">
        <v>396</v>
      </c>
      <c r="Q427" s="354" t="s">
        <v>346</v>
      </c>
      <c r="R427" s="353">
        <v>0</v>
      </c>
      <c r="S427" s="353">
        <v>0</v>
      </c>
      <c r="T427" s="353">
        <v>0</v>
      </c>
      <c r="U427" s="353">
        <v>0</v>
      </c>
      <c r="V427" s="353">
        <v>0</v>
      </c>
      <c r="W427" s="353">
        <v>0</v>
      </c>
    </row>
    <row r="428" spans="1:23" x14ac:dyDescent="0.25">
      <c r="A428" s="348" t="s">
        <v>954</v>
      </c>
      <c r="B428" s="349">
        <v>21</v>
      </c>
      <c r="C428" s="423">
        <v>45139</v>
      </c>
      <c r="D428" s="351">
        <v>45164</v>
      </c>
      <c r="E428" s="352"/>
      <c r="F428" s="352">
        <v>6</v>
      </c>
      <c r="G428" s="429" t="s">
        <v>309</v>
      </c>
      <c r="H428" s="353" t="s">
        <v>959</v>
      </c>
      <c r="I428" s="350" t="s">
        <v>393</v>
      </c>
      <c r="J428" s="560">
        <v>1288541</v>
      </c>
      <c r="K428" s="350" t="s">
        <v>394</v>
      </c>
      <c r="L428" s="354">
        <v>2803.6597999999999</v>
      </c>
      <c r="M428" s="560">
        <f t="shared" si="20"/>
        <v>459.59249406793225</v>
      </c>
      <c r="N428" s="354" t="s">
        <v>395</v>
      </c>
      <c r="O428" s="354">
        <v>0</v>
      </c>
      <c r="P428" s="355" t="s">
        <v>396</v>
      </c>
      <c r="Q428" s="354" t="s">
        <v>346</v>
      </c>
      <c r="R428" s="353">
        <v>0</v>
      </c>
      <c r="S428" s="353">
        <v>0</v>
      </c>
      <c r="T428" s="353">
        <v>0</v>
      </c>
      <c r="U428" s="353">
        <v>0</v>
      </c>
      <c r="V428" s="353">
        <v>0</v>
      </c>
      <c r="W428" s="353">
        <v>0</v>
      </c>
    </row>
    <row r="429" spans="1:23" x14ac:dyDescent="0.25">
      <c r="A429" s="348" t="s">
        <v>954</v>
      </c>
      <c r="B429" s="349">
        <v>21</v>
      </c>
      <c r="C429" s="423">
        <v>45139</v>
      </c>
      <c r="D429" s="351">
        <v>45164</v>
      </c>
      <c r="E429" s="352"/>
      <c r="F429" s="352">
        <v>6</v>
      </c>
      <c r="G429" s="429" t="s">
        <v>310</v>
      </c>
      <c r="H429" s="353" t="s">
        <v>960</v>
      </c>
      <c r="I429" s="350" t="s">
        <v>393</v>
      </c>
      <c r="J429" s="560">
        <v>505196</v>
      </c>
      <c r="K429" s="350" t="s">
        <v>394</v>
      </c>
      <c r="L429" s="354">
        <v>2803.6597999999999</v>
      </c>
      <c r="M429" s="560">
        <f t="shared" si="20"/>
        <v>180.19161953957467</v>
      </c>
      <c r="N429" s="354" t="s">
        <v>395</v>
      </c>
      <c r="O429" s="354">
        <v>0</v>
      </c>
      <c r="P429" s="355" t="s">
        <v>396</v>
      </c>
      <c r="Q429" s="354" t="s">
        <v>346</v>
      </c>
      <c r="R429" s="353">
        <v>0</v>
      </c>
      <c r="S429" s="353">
        <v>0</v>
      </c>
      <c r="T429" s="353">
        <v>0</v>
      </c>
      <c r="U429" s="353">
        <v>0</v>
      </c>
      <c r="V429" s="353">
        <v>0</v>
      </c>
      <c r="W429" s="353">
        <v>0</v>
      </c>
    </row>
    <row r="430" spans="1:23" x14ac:dyDescent="0.25">
      <c r="A430" s="348" t="s">
        <v>954</v>
      </c>
      <c r="B430" s="349">
        <v>21</v>
      </c>
      <c r="C430" s="423">
        <v>45139</v>
      </c>
      <c r="D430" s="351">
        <v>45164</v>
      </c>
      <c r="E430" s="352"/>
      <c r="F430" s="352">
        <v>6</v>
      </c>
      <c r="G430" s="429" t="s">
        <v>311</v>
      </c>
      <c r="H430" s="353" t="s">
        <v>961</v>
      </c>
      <c r="I430" s="350" t="s">
        <v>393</v>
      </c>
      <c r="J430" s="560">
        <v>147836</v>
      </c>
      <c r="K430" s="350" t="s">
        <v>394</v>
      </c>
      <c r="L430" s="354">
        <v>2803.6597999999999</v>
      </c>
      <c r="M430" s="560">
        <f t="shared" si="20"/>
        <v>52.729650009605301</v>
      </c>
      <c r="N430" s="354" t="s">
        <v>395</v>
      </c>
      <c r="O430" s="354">
        <v>0</v>
      </c>
      <c r="P430" s="355" t="s">
        <v>396</v>
      </c>
      <c r="Q430" s="354" t="s">
        <v>346</v>
      </c>
      <c r="R430" s="353">
        <v>0</v>
      </c>
      <c r="S430" s="353">
        <v>0</v>
      </c>
      <c r="T430" s="353">
        <v>0</v>
      </c>
      <c r="U430" s="353">
        <v>0</v>
      </c>
      <c r="V430" s="353">
        <v>0</v>
      </c>
      <c r="W430" s="353">
        <v>0</v>
      </c>
    </row>
    <row r="431" spans="1:23" x14ac:dyDescent="0.25">
      <c r="A431" s="348" t="s">
        <v>962</v>
      </c>
      <c r="B431" s="349">
        <v>21</v>
      </c>
      <c r="C431" s="423">
        <v>45139</v>
      </c>
      <c r="D431" s="351">
        <v>45154</v>
      </c>
      <c r="E431" s="352"/>
      <c r="F431" s="352">
        <v>6</v>
      </c>
      <c r="G431" s="429" t="s">
        <v>306</v>
      </c>
      <c r="H431" s="353" t="s">
        <v>963</v>
      </c>
      <c r="I431" s="350" t="s">
        <v>393</v>
      </c>
      <c r="J431" s="560">
        <v>14123</v>
      </c>
      <c r="K431" s="350" t="s">
        <v>394</v>
      </c>
      <c r="L431" s="354">
        <v>2803.6597999999999</v>
      </c>
      <c r="M431" s="560">
        <f t="shared" si="20"/>
        <v>5.0373444024842104</v>
      </c>
      <c r="N431" s="354" t="s">
        <v>395</v>
      </c>
      <c r="O431" s="354">
        <v>0</v>
      </c>
      <c r="P431" s="355" t="s">
        <v>396</v>
      </c>
      <c r="Q431" s="354" t="s">
        <v>346</v>
      </c>
      <c r="R431" s="353">
        <v>0</v>
      </c>
      <c r="S431" s="353">
        <v>0</v>
      </c>
      <c r="T431" s="353">
        <v>0</v>
      </c>
      <c r="U431" s="353">
        <v>0</v>
      </c>
      <c r="V431" s="353">
        <v>0</v>
      </c>
      <c r="W431" s="353">
        <v>0</v>
      </c>
    </row>
    <row r="432" spans="1:23" x14ac:dyDescent="0.25">
      <c r="A432" s="348" t="s">
        <v>962</v>
      </c>
      <c r="B432" s="349">
        <v>21</v>
      </c>
      <c r="C432" s="423">
        <v>45139</v>
      </c>
      <c r="D432" s="351">
        <v>45154</v>
      </c>
      <c r="E432" s="352"/>
      <c r="F432" s="352">
        <v>6</v>
      </c>
      <c r="G432" s="429" t="s">
        <v>308</v>
      </c>
      <c r="H432" s="353" t="s">
        <v>964</v>
      </c>
      <c r="I432" s="350" t="s">
        <v>393</v>
      </c>
      <c r="J432" s="560">
        <v>13780</v>
      </c>
      <c r="K432" s="350" t="s">
        <v>394</v>
      </c>
      <c r="L432" s="354">
        <v>2803.6597999999999</v>
      </c>
      <c r="M432" s="560">
        <f t="shared" si="20"/>
        <v>4.9150043097240257</v>
      </c>
      <c r="N432" s="354" t="s">
        <v>395</v>
      </c>
      <c r="O432" s="354">
        <v>0</v>
      </c>
      <c r="P432" s="355" t="s">
        <v>396</v>
      </c>
      <c r="Q432" s="354" t="s">
        <v>346</v>
      </c>
      <c r="R432" s="353">
        <v>0</v>
      </c>
      <c r="S432" s="353">
        <v>0</v>
      </c>
      <c r="T432" s="353">
        <v>0</v>
      </c>
      <c r="U432" s="353">
        <v>0</v>
      </c>
      <c r="V432" s="353">
        <v>0</v>
      </c>
      <c r="W432" s="353">
        <v>0</v>
      </c>
    </row>
    <row r="433" spans="1:23" x14ac:dyDescent="0.25">
      <c r="A433" s="348" t="s">
        <v>962</v>
      </c>
      <c r="B433" s="349">
        <v>21</v>
      </c>
      <c r="C433" s="423">
        <v>45139</v>
      </c>
      <c r="D433" s="351">
        <v>45154</v>
      </c>
      <c r="E433" s="352"/>
      <c r="F433" s="352">
        <v>6</v>
      </c>
      <c r="G433" s="429" t="s">
        <v>309</v>
      </c>
      <c r="H433" s="353" t="s">
        <v>965</v>
      </c>
      <c r="I433" s="350" t="s">
        <v>393</v>
      </c>
      <c r="J433" s="560">
        <v>162843</v>
      </c>
      <c r="K433" s="350" t="s">
        <v>394</v>
      </c>
      <c r="L433" s="354">
        <v>2803.6597999999999</v>
      </c>
      <c r="M433" s="560">
        <f t="shared" si="20"/>
        <v>58.082296575354832</v>
      </c>
      <c r="N433" s="354" t="s">
        <v>395</v>
      </c>
      <c r="O433" s="354">
        <v>0</v>
      </c>
      <c r="P433" s="355" t="s">
        <v>396</v>
      </c>
      <c r="Q433" s="354" t="s">
        <v>346</v>
      </c>
      <c r="R433" s="353">
        <v>0</v>
      </c>
      <c r="S433" s="353">
        <v>0</v>
      </c>
      <c r="T433" s="353">
        <v>0</v>
      </c>
      <c r="U433" s="353">
        <v>0</v>
      </c>
      <c r="V433" s="353">
        <v>0</v>
      </c>
      <c r="W433" s="353">
        <v>0</v>
      </c>
    </row>
    <row r="434" spans="1:23" x14ac:dyDescent="0.25">
      <c r="A434" s="348" t="s">
        <v>962</v>
      </c>
      <c r="B434" s="349">
        <v>21</v>
      </c>
      <c r="C434" s="423">
        <v>45139</v>
      </c>
      <c r="D434" s="351">
        <v>45154</v>
      </c>
      <c r="E434" s="352"/>
      <c r="F434" s="352">
        <v>6</v>
      </c>
      <c r="G434" s="429" t="s">
        <v>310</v>
      </c>
      <c r="H434" s="353" t="s">
        <v>966</v>
      </c>
      <c r="I434" s="350" t="s">
        <v>393</v>
      </c>
      <c r="J434" s="560">
        <v>29574</v>
      </c>
      <c r="K434" s="350" t="s">
        <v>394</v>
      </c>
      <c r="L434" s="354">
        <v>2803.6597999999999</v>
      </c>
      <c r="M434" s="560">
        <f t="shared" si="20"/>
        <v>10.548355403176949</v>
      </c>
      <c r="N434" s="354" t="s">
        <v>395</v>
      </c>
      <c r="O434" s="354">
        <v>0</v>
      </c>
      <c r="P434" s="355" t="s">
        <v>396</v>
      </c>
      <c r="Q434" s="354" t="s">
        <v>346</v>
      </c>
      <c r="R434" s="353">
        <v>0</v>
      </c>
      <c r="S434" s="353">
        <v>0</v>
      </c>
      <c r="T434" s="353">
        <v>0</v>
      </c>
      <c r="U434" s="353">
        <v>0</v>
      </c>
      <c r="V434" s="353">
        <v>0</v>
      </c>
      <c r="W434" s="353">
        <v>0</v>
      </c>
    </row>
    <row r="435" spans="1:23" x14ac:dyDescent="0.25">
      <c r="A435" s="348" t="s">
        <v>967</v>
      </c>
      <c r="B435" s="349">
        <v>25</v>
      </c>
      <c r="C435" s="423">
        <v>45139</v>
      </c>
      <c r="D435" s="351">
        <v>45159</v>
      </c>
      <c r="E435" s="352"/>
      <c r="F435" s="352">
        <v>6</v>
      </c>
      <c r="G435" s="429" t="s">
        <v>331</v>
      </c>
      <c r="H435" s="353" t="s">
        <v>968</v>
      </c>
      <c r="I435" s="350" t="s">
        <v>393</v>
      </c>
      <c r="J435" s="560">
        <v>21311</v>
      </c>
      <c r="K435" s="350" t="s">
        <v>394</v>
      </c>
      <c r="L435" s="354">
        <v>2803.6597999999999</v>
      </c>
      <c r="M435" s="560">
        <f t="shared" si="20"/>
        <v>7.60113620061892</v>
      </c>
      <c r="N435" s="354" t="s">
        <v>395</v>
      </c>
      <c r="O435" s="354">
        <v>0</v>
      </c>
      <c r="P435" s="355" t="s">
        <v>396</v>
      </c>
      <c r="Q435" s="354" t="s">
        <v>346</v>
      </c>
      <c r="R435" s="353">
        <v>0</v>
      </c>
      <c r="S435" s="353">
        <v>0</v>
      </c>
      <c r="T435" s="353">
        <v>0</v>
      </c>
      <c r="U435" s="353">
        <v>0</v>
      </c>
      <c r="V435" s="353">
        <v>0</v>
      </c>
      <c r="W435" s="353">
        <v>0</v>
      </c>
    </row>
    <row r="436" spans="1:23" x14ac:dyDescent="0.25">
      <c r="A436" s="348" t="s">
        <v>969</v>
      </c>
      <c r="B436" s="349">
        <v>26</v>
      </c>
      <c r="C436" s="423">
        <v>45170</v>
      </c>
      <c r="D436" s="351">
        <v>45181</v>
      </c>
      <c r="E436" s="352"/>
      <c r="F436" s="352">
        <v>6</v>
      </c>
      <c r="G436" s="352" t="s">
        <v>971</v>
      </c>
      <c r="H436" s="424" t="s">
        <v>972</v>
      </c>
      <c r="I436" s="350" t="s">
        <v>393</v>
      </c>
      <c r="J436" s="560">
        <v>330000</v>
      </c>
      <c r="K436" s="350" t="s">
        <v>394</v>
      </c>
      <c r="L436" s="354">
        <v>2803.6597999999999</v>
      </c>
      <c r="M436" s="560">
        <f t="shared" si="20"/>
        <v>117.70329624157682</v>
      </c>
      <c r="N436" s="354" t="s">
        <v>395</v>
      </c>
      <c r="O436" s="354">
        <v>0</v>
      </c>
      <c r="P436" s="355" t="s">
        <v>396</v>
      </c>
      <c r="Q436" s="354" t="s">
        <v>346</v>
      </c>
      <c r="R436" s="353">
        <v>0</v>
      </c>
      <c r="S436" s="353">
        <v>0</v>
      </c>
      <c r="T436" s="353">
        <v>0</v>
      </c>
      <c r="U436" s="353">
        <v>0</v>
      </c>
      <c r="V436" s="353">
        <v>0</v>
      </c>
      <c r="W436" s="353">
        <v>0</v>
      </c>
    </row>
    <row r="437" spans="1:23" x14ac:dyDescent="0.25">
      <c r="A437" s="348" t="s">
        <v>973</v>
      </c>
      <c r="B437" s="349">
        <v>27</v>
      </c>
      <c r="C437" s="423">
        <v>45170</v>
      </c>
      <c r="D437" s="351">
        <v>45198</v>
      </c>
      <c r="E437" s="352"/>
      <c r="F437" s="352">
        <v>6</v>
      </c>
      <c r="G437" s="352" t="s">
        <v>331</v>
      </c>
      <c r="H437" s="424" t="s">
        <v>974</v>
      </c>
      <c r="I437" s="350" t="s">
        <v>393</v>
      </c>
      <c r="J437" s="560">
        <v>18337</v>
      </c>
      <c r="K437" s="350" t="s">
        <v>394</v>
      </c>
      <c r="L437" s="354">
        <v>2803.6597999999999</v>
      </c>
      <c r="M437" s="560">
        <f t="shared" si="20"/>
        <v>6.5403798278236183</v>
      </c>
      <c r="N437" s="354" t="s">
        <v>395</v>
      </c>
      <c r="O437" s="354">
        <v>0</v>
      </c>
      <c r="P437" s="355" t="s">
        <v>396</v>
      </c>
      <c r="Q437" s="354" t="s">
        <v>346</v>
      </c>
      <c r="R437" s="353">
        <v>0</v>
      </c>
      <c r="S437" s="353">
        <v>0</v>
      </c>
      <c r="T437" s="353">
        <v>0</v>
      </c>
      <c r="U437" s="353">
        <v>0</v>
      </c>
      <c r="V437" s="353">
        <v>0</v>
      </c>
      <c r="W437" s="353">
        <v>0</v>
      </c>
    </row>
    <row r="438" spans="1:23" x14ac:dyDescent="0.25">
      <c r="A438" s="348" t="s">
        <v>975</v>
      </c>
      <c r="B438" s="349">
        <v>28</v>
      </c>
      <c r="C438" s="423">
        <v>45170</v>
      </c>
      <c r="D438" s="351">
        <v>45198</v>
      </c>
      <c r="E438" s="352"/>
      <c r="F438" s="352">
        <v>6</v>
      </c>
      <c r="G438" s="352" t="s">
        <v>306</v>
      </c>
      <c r="H438" s="424" t="s">
        <v>976</v>
      </c>
      <c r="I438" s="350" t="s">
        <v>393</v>
      </c>
      <c r="J438" s="560">
        <v>382454</v>
      </c>
      <c r="K438" s="350" t="s">
        <v>394</v>
      </c>
      <c r="L438" s="354">
        <v>2803.6597999999999</v>
      </c>
      <c r="M438" s="560">
        <f t="shared" si="20"/>
        <v>136.4124135175031</v>
      </c>
      <c r="N438" s="354" t="s">
        <v>395</v>
      </c>
      <c r="O438" s="354">
        <v>0</v>
      </c>
      <c r="P438" s="355" t="s">
        <v>396</v>
      </c>
      <c r="Q438" s="354" t="s">
        <v>346</v>
      </c>
      <c r="R438" s="353">
        <v>0</v>
      </c>
      <c r="S438" s="353">
        <v>0</v>
      </c>
      <c r="T438" s="353">
        <v>0</v>
      </c>
      <c r="U438" s="353">
        <v>0</v>
      </c>
      <c r="V438" s="353">
        <v>0</v>
      </c>
      <c r="W438" s="353">
        <v>0</v>
      </c>
    </row>
    <row r="439" spans="1:23" ht="30" x14ac:dyDescent="0.25">
      <c r="A439" s="348" t="s">
        <v>975</v>
      </c>
      <c r="B439" s="349">
        <v>28</v>
      </c>
      <c r="C439" s="423">
        <v>45170</v>
      </c>
      <c r="D439" s="351">
        <v>45198</v>
      </c>
      <c r="E439" s="352"/>
      <c r="F439" s="352">
        <v>6</v>
      </c>
      <c r="G439" s="352" t="s">
        <v>307</v>
      </c>
      <c r="H439" s="424" t="s">
        <v>977</v>
      </c>
      <c r="I439" s="350" t="s">
        <v>393</v>
      </c>
      <c r="J439" s="560">
        <v>216919</v>
      </c>
      <c r="K439" s="350" t="s">
        <v>394</v>
      </c>
      <c r="L439" s="354">
        <v>2803.6597999999999</v>
      </c>
      <c r="M439" s="560">
        <f t="shared" si="20"/>
        <v>77.369943386141216</v>
      </c>
      <c r="N439" s="354" t="s">
        <v>395</v>
      </c>
      <c r="O439" s="354">
        <v>0</v>
      </c>
      <c r="P439" s="355" t="s">
        <v>396</v>
      </c>
      <c r="Q439" s="354" t="s">
        <v>346</v>
      </c>
      <c r="R439" s="353">
        <v>0</v>
      </c>
      <c r="S439" s="353">
        <v>0</v>
      </c>
      <c r="T439" s="353">
        <v>0</v>
      </c>
      <c r="U439" s="353">
        <v>0</v>
      </c>
      <c r="V439" s="353">
        <v>0</v>
      </c>
      <c r="W439" s="353">
        <v>0</v>
      </c>
    </row>
    <row r="440" spans="1:23" ht="30" x14ac:dyDescent="0.25">
      <c r="A440" s="348" t="s">
        <v>975</v>
      </c>
      <c r="B440" s="349">
        <v>28</v>
      </c>
      <c r="C440" s="423">
        <v>45170</v>
      </c>
      <c r="D440" s="351">
        <v>45198</v>
      </c>
      <c r="E440" s="352"/>
      <c r="F440" s="352">
        <v>6</v>
      </c>
      <c r="G440" s="352" t="s">
        <v>308</v>
      </c>
      <c r="H440" s="424" t="s">
        <v>978</v>
      </c>
      <c r="I440" s="350" t="s">
        <v>393</v>
      </c>
      <c r="J440" s="560">
        <v>344893</v>
      </c>
      <c r="K440" s="350" t="s">
        <v>394</v>
      </c>
      <c r="L440" s="354">
        <v>2803.6597999999999</v>
      </c>
      <c r="M440" s="560">
        <f t="shared" si="20"/>
        <v>123.01528166862471</v>
      </c>
      <c r="N440" s="354" t="s">
        <v>395</v>
      </c>
      <c r="O440" s="354">
        <v>0</v>
      </c>
      <c r="P440" s="355" t="s">
        <v>396</v>
      </c>
      <c r="Q440" s="354" t="s">
        <v>346</v>
      </c>
      <c r="R440" s="353">
        <v>0</v>
      </c>
      <c r="S440" s="353">
        <v>0</v>
      </c>
      <c r="T440" s="353">
        <v>0</v>
      </c>
      <c r="U440" s="353">
        <v>0</v>
      </c>
      <c r="V440" s="353">
        <v>0</v>
      </c>
      <c r="W440" s="353">
        <v>0</v>
      </c>
    </row>
    <row r="441" spans="1:23" x14ac:dyDescent="0.25">
      <c r="A441" s="348" t="s">
        <v>975</v>
      </c>
      <c r="B441" s="349">
        <v>28</v>
      </c>
      <c r="C441" s="423">
        <v>45170</v>
      </c>
      <c r="D441" s="351">
        <v>45198</v>
      </c>
      <c r="E441" s="352"/>
      <c r="F441" s="352">
        <v>6</v>
      </c>
      <c r="G441" s="352" t="s">
        <v>309</v>
      </c>
      <c r="H441" s="424" t="s">
        <v>979</v>
      </c>
      <c r="I441" s="350" t="s">
        <v>393</v>
      </c>
      <c r="J441" s="560">
        <v>1288541</v>
      </c>
      <c r="K441" s="350" t="s">
        <v>394</v>
      </c>
      <c r="L441" s="354">
        <v>2803.6597999999999</v>
      </c>
      <c r="M441" s="560">
        <f t="shared" si="20"/>
        <v>459.59249406793225</v>
      </c>
      <c r="N441" s="354" t="s">
        <v>395</v>
      </c>
      <c r="O441" s="354">
        <v>0</v>
      </c>
      <c r="P441" s="355" t="s">
        <v>396</v>
      </c>
      <c r="Q441" s="354" t="s">
        <v>346</v>
      </c>
      <c r="R441" s="353">
        <v>0</v>
      </c>
      <c r="S441" s="353">
        <v>0</v>
      </c>
      <c r="T441" s="353">
        <v>0</v>
      </c>
      <c r="U441" s="353">
        <v>0</v>
      </c>
      <c r="V441" s="353">
        <v>0</v>
      </c>
      <c r="W441" s="353">
        <v>0</v>
      </c>
    </row>
    <row r="442" spans="1:23" ht="30" x14ac:dyDescent="0.25">
      <c r="A442" s="348" t="s">
        <v>975</v>
      </c>
      <c r="B442" s="349">
        <v>28</v>
      </c>
      <c r="C442" s="423">
        <v>45170</v>
      </c>
      <c r="D442" s="351">
        <v>45198</v>
      </c>
      <c r="E442" s="352"/>
      <c r="F442" s="352">
        <v>6</v>
      </c>
      <c r="G442" s="352" t="s">
        <v>310</v>
      </c>
      <c r="H442" s="424" t="s">
        <v>980</v>
      </c>
      <c r="I442" s="350" t="s">
        <v>393</v>
      </c>
      <c r="J442" s="560">
        <v>454657</v>
      </c>
      <c r="K442" s="350" t="s">
        <v>394</v>
      </c>
      <c r="L442" s="354">
        <v>2803.6597999999999</v>
      </c>
      <c r="M442" s="560">
        <f t="shared" si="20"/>
        <v>162.16553805850481</v>
      </c>
      <c r="N442" s="354" t="s">
        <v>395</v>
      </c>
      <c r="O442" s="354">
        <v>0</v>
      </c>
      <c r="P442" s="355" t="s">
        <v>396</v>
      </c>
      <c r="Q442" s="354" t="s">
        <v>346</v>
      </c>
      <c r="R442" s="353">
        <v>0</v>
      </c>
      <c r="S442" s="353">
        <v>0</v>
      </c>
      <c r="T442" s="353">
        <v>0</v>
      </c>
      <c r="U442" s="353">
        <v>0</v>
      </c>
      <c r="V442" s="353">
        <v>0</v>
      </c>
      <c r="W442" s="353">
        <v>0</v>
      </c>
    </row>
    <row r="443" spans="1:23" x14ac:dyDescent="0.25">
      <c r="A443" s="348" t="s">
        <v>975</v>
      </c>
      <c r="B443" s="349">
        <v>28</v>
      </c>
      <c r="C443" s="423">
        <v>45170</v>
      </c>
      <c r="D443" s="351">
        <v>45198</v>
      </c>
      <c r="E443" s="352"/>
      <c r="F443" s="352">
        <v>6</v>
      </c>
      <c r="G443" s="352" t="s">
        <v>311</v>
      </c>
      <c r="H443" s="424" t="s">
        <v>981</v>
      </c>
      <c r="I443" s="350" t="s">
        <v>393</v>
      </c>
      <c r="J443" s="560">
        <v>147836</v>
      </c>
      <c r="K443" s="350" t="s">
        <v>394</v>
      </c>
      <c r="L443" s="354">
        <v>2803.6597999999999</v>
      </c>
      <c r="M443" s="560">
        <f t="shared" si="20"/>
        <v>52.729650009605301</v>
      </c>
      <c r="N443" s="354" t="s">
        <v>395</v>
      </c>
      <c r="O443" s="354">
        <v>0</v>
      </c>
      <c r="P443" s="355" t="s">
        <v>396</v>
      </c>
      <c r="Q443" s="354" t="s">
        <v>346</v>
      </c>
      <c r="R443" s="353">
        <v>0</v>
      </c>
      <c r="S443" s="353">
        <v>0</v>
      </c>
      <c r="T443" s="353">
        <v>0</v>
      </c>
      <c r="U443" s="353">
        <v>0</v>
      </c>
      <c r="V443" s="353">
        <v>0</v>
      </c>
      <c r="W443" s="353">
        <v>0</v>
      </c>
    </row>
    <row r="444" spans="1:23" x14ac:dyDescent="0.25">
      <c r="A444" s="348" t="s">
        <v>982</v>
      </c>
      <c r="B444" s="349">
        <v>29</v>
      </c>
      <c r="C444" s="423">
        <v>45170</v>
      </c>
      <c r="D444" s="427" t="s">
        <v>983</v>
      </c>
      <c r="E444" s="352"/>
      <c r="F444" s="352">
        <v>6</v>
      </c>
      <c r="G444" s="352" t="s">
        <v>306</v>
      </c>
      <c r="H444" s="424" t="s">
        <v>984</v>
      </c>
      <c r="I444" s="350" t="s">
        <v>393</v>
      </c>
      <c r="J444" s="560">
        <v>14123</v>
      </c>
      <c r="K444" s="350" t="s">
        <v>394</v>
      </c>
      <c r="L444" s="354">
        <v>2803.6597999999999</v>
      </c>
      <c r="M444" s="560">
        <f t="shared" si="20"/>
        <v>5.0373444024842104</v>
      </c>
      <c r="N444" s="354" t="s">
        <v>395</v>
      </c>
      <c r="O444" s="354">
        <v>0</v>
      </c>
      <c r="P444" s="355" t="s">
        <v>396</v>
      </c>
      <c r="Q444" s="354" t="s">
        <v>346</v>
      </c>
      <c r="R444" s="353">
        <v>0</v>
      </c>
      <c r="S444" s="353">
        <v>0</v>
      </c>
      <c r="T444" s="353">
        <v>0</v>
      </c>
      <c r="U444" s="353">
        <v>0</v>
      </c>
      <c r="V444" s="353">
        <v>0</v>
      </c>
      <c r="W444" s="353">
        <v>0</v>
      </c>
    </row>
    <row r="445" spans="1:23" x14ac:dyDescent="0.25">
      <c r="A445" s="348" t="s">
        <v>982</v>
      </c>
      <c r="B445" s="349">
        <v>29</v>
      </c>
      <c r="C445" s="423">
        <v>45170</v>
      </c>
      <c r="D445" s="427" t="s">
        <v>983</v>
      </c>
      <c r="E445" s="352"/>
      <c r="F445" s="352">
        <v>6</v>
      </c>
      <c r="G445" s="352" t="s">
        <v>308</v>
      </c>
      <c r="H445" s="424" t="s">
        <v>985</v>
      </c>
      <c r="I445" s="350" t="s">
        <v>393</v>
      </c>
      <c r="J445" s="560">
        <v>13780</v>
      </c>
      <c r="K445" s="350" t="s">
        <v>394</v>
      </c>
      <c r="L445" s="354">
        <v>2803.6597999999999</v>
      </c>
      <c r="M445" s="560">
        <f t="shared" si="20"/>
        <v>4.9150043097240257</v>
      </c>
      <c r="N445" s="354" t="s">
        <v>395</v>
      </c>
      <c r="O445" s="354">
        <v>0</v>
      </c>
      <c r="P445" s="355" t="s">
        <v>396</v>
      </c>
      <c r="Q445" s="354" t="s">
        <v>346</v>
      </c>
      <c r="R445" s="353">
        <v>0</v>
      </c>
      <c r="S445" s="353">
        <v>0</v>
      </c>
      <c r="T445" s="353">
        <v>0</v>
      </c>
      <c r="U445" s="353">
        <v>0</v>
      </c>
      <c r="V445" s="353">
        <v>0</v>
      </c>
      <c r="W445" s="353">
        <v>0</v>
      </c>
    </row>
    <row r="446" spans="1:23" x14ac:dyDescent="0.25">
      <c r="A446" s="348" t="s">
        <v>982</v>
      </c>
      <c r="B446" s="349">
        <v>29</v>
      </c>
      <c r="C446" s="423">
        <v>45170</v>
      </c>
      <c r="D446" s="427" t="s">
        <v>983</v>
      </c>
      <c r="E446" s="352"/>
      <c r="F446" s="352">
        <v>6</v>
      </c>
      <c r="G446" s="352" t="s">
        <v>309</v>
      </c>
      <c r="H446" s="424" t="s">
        <v>986</v>
      </c>
      <c r="I446" s="350" t="s">
        <v>393</v>
      </c>
      <c r="J446" s="560">
        <v>162843</v>
      </c>
      <c r="K446" s="350" t="s">
        <v>394</v>
      </c>
      <c r="L446" s="354">
        <v>2803.6597999999999</v>
      </c>
      <c r="M446" s="560">
        <f t="shared" si="20"/>
        <v>58.082296575354832</v>
      </c>
      <c r="N446" s="354" t="s">
        <v>395</v>
      </c>
      <c r="O446" s="354">
        <v>0</v>
      </c>
      <c r="P446" s="355" t="s">
        <v>396</v>
      </c>
      <c r="Q446" s="354" t="s">
        <v>346</v>
      </c>
      <c r="R446" s="353">
        <v>0</v>
      </c>
      <c r="S446" s="353">
        <v>0</v>
      </c>
      <c r="T446" s="353">
        <v>0</v>
      </c>
      <c r="U446" s="353">
        <v>0</v>
      </c>
      <c r="V446" s="353">
        <v>0</v>
      </c>
      <c r="W446" s="353">
        <v>0</v>
      </c>
    </row>
    <row r="447" spans="1:23" x14ac:dyDescent="0.25">
      <c r="A447" s="348" t="s">
        <v>982</v>
      </c>
      <c r="B447" s="349">
        <v>29</v>
      </c>
      <c r="C447" s="423">
        <v>45170</v>
      </c>
      <c r="D447" s="427" t="s">
        <v>983</v>
      </c>
      <c r="E447" s="352"/>
      <c r="F447" s="352">
        <v>6</v>
      </c>
      <c r="G447" s="352" t="s">
        <v>310</v>
      </c>
      <c r="H447" s="424" t="s">
        <v>987</v>
      </c>
      <c r="I447" s="350" t="s">
        <v>393</v>
      </c>
      <c r="J447" s="560">
        <v>29574</v>
      </c>
      <c r="K447" s="350" t="s">
        <v>394</v>
      </c>
      <c r="L447" s="354">
        <v>2803.6597999999999</v>
      </c>
      <c r="M447" s="560">
        <f t="shared" si="20"/>
        <v>10.548355403176949</v>
      </c>
      <c r="N447" s="354" t="s">
        <v>395</v>
      </c>
      <c r="O447" s="354">
        <v>0</v>
      </c>
      <c r="P447" s="355" t="s">
        <v>396</v>
      </c>
      <c r="Q447" s="354" t="s">
        <v>346</v>
      </c>
      <c r="R447" s="353">
        <v>0</v>
      </c>
      <c r="S447" s="353">
        <v>0</v>
      </c>
      <c r="T447" s="353">
        <v>0</v>
      </c>
      <c r="U447" s="353">
        <v>0</v>
      </c>
      <c r="V447" s="353">
        <v>0</v>
      </c>
      <c r="W447" s="353">
        <v>0</v>
      </c>
    </row>
    <row r="448" spans="1:23" x14ac:dyDescent="0.25">
      <c r="A448" s="348" t="s">
        <v>988</v>
      </c>
      <c r="B448" s="349">
        <v>32</v>
      </c>
      <c r="C448" s="423">
        <v>45170</v>
      </c>
      <c r="D448" s="427" t="s">
        <v>989</v>
      </c>
      <c r="E448" s="352"/>
      <c r="F448" s="352">
        <v>6</v>
      </c>
      <c r="G448" s="352" t="s">
        <v>306</v>
      </c>
      <c r="H448" s="424" t="s">
        <v>990</v>
      </c>
      <c r="I448" s="350" t="s">
        <v>476</v>
      </c>
      <c r="J448" s="556">
        <v>-134545.31818181821</v>
      </c>
      <c r="K448" s="350" t="s">
        <v>394</v>
      </c>
      <c r="L448" s="354">
        <v>2803.6597999999999</v>
      </c>
      <c r="M448" s="560">
        <f t="shared" si="20"/>
        <v>-47.989174072338663</v>
      </c>
      <c r="N448" s="354" t="s">
        <v>395</v>
      </c>
      <c r="O448" s="354">
        <v>0</v>
      </c>
      <c r="P448" s="355" t="s">
        <v>396</v>
      </c>
      <c r="Q448" s="354" t="s">
        <v>346</v>
      </c>
      <c r="R448" s="353">
        <v>0</v>
      </c>
      <c r="S448" s="353">
        <v>0</v>
      </c>
      <c r="T448" s="353">
        <v>0</v>
      </c>
      <c r="U448" s="353">
        <v>0</v>
      </c>
      <c r="V448" s="353">
        <v>0</v>
      </c>
      <c r="W448" s="353">
        <v>0</v>
      </c>
    </row>
    <row r="449" spans="1:23" ht="30" x14ac:dyDescent="0.25">
      <c r="A449" s="348" t="s">
        <v>988</v>
      </c>
      <c r="B449" s="349">
        <v>32</v>
      </c>
      <c r="C449" s="423">
        <v>45170</v>
      </c>
      <c r="D449" s="427" t="s">
        <v>989</v>
      </c>
      <c r="E449" s="352"/>
      <c r="F449" s="352">
        <v>6</v>
      </c>
      <c r="G449" s="352" t="s">
        <v>307</v>
      </c>
      <c r="H449" s="424" t="s">
        <v>991</v>
      </c>
      <c r="I449" s="350" t="s">
        <v>476</v>
      </c>
      <c r="J449" s="556">
        <v>-77272.590909090912</v>
      </c>
      <c r="K449" s="350" t="s">
        <v>394</v>
      </c>
      <c r="L449" s="354">
        <v>2803.6597999999999</v>
      </c>
      <c r="M449" s="560">
        <f t="shared" si="20"/>
        <v>-27.561329270081526</v>
      </c>
      <c r="N449" s="354" t="s">
        <v>395</v>
      </c>
      <c r="O449" s="354">
        <v>0</v>
      </c>
      <c r="P449" s="355" t="s">
        <v>396</v>
      </c>
      <c r="Q449" s="354" t="s">
        <v>346</v>
      </c>
      <c r="R449" s="353">
        <v>0</v>
      </c>
      <c r="S449" s="353">
        <v>0</v>
      </c>
      <c r="T449" s="353">
        <v>0</v>
      </c>
      <c r="U449" s="353">
        <v>0</v>
      </c>
      <c r="V449" s="353">
        <v>0</v>
      </c>
      <c r="W449" s="353">
        <v>0</v>
      </c>
    </row>
    <row r="450" spans="1:23" ht="30" x14ac:dyDescent="0.25">
      <c r="A450" s="348" t="s">
        <v>988</v>
      </c>
      <c r="B450" s="349">
        <v>32</v>
      </c>
      <c r="C450" s="423">
        <v>45170</v>
      </c>
      <c r="D450" s="427" t="s">
        <v>989</v>
      </c>
      <c r="E450" s="352"/>
      <c r="F450" s="352">
        <v>6</v>
      </c>
      <c r="G450" s="352" t="s">
        <v>308</v>
      </c>
      <c r="H450" s="424" t="s">
        <v>992</v>
      </c>
      <c r="I450" s="350" t="s">
        <v>476</v>
      </c>
      <c r="J450" s="556">
        <v>-136363.70454545456</v>
      </c>
      <c r="K450" s="350" t="s">
        <v>394</v>
      </c>
      <c r="L450" s="354">
        <v>2803.6597999999999</v>
      </c>
      <c r="M450" s="560">
        <f t="shared" si="20"/>
        <v>-48.637750038522704</v>
      </c>
      <c r="N450" s="354" t="s">
        <v>395</v>
      </c>
      <c r="O450" s="354">
        <v>0</v>
      </c>
      <c r="P450" s="355" t="s">
        <v>396</v>
      </c>
      <c r="Q450" s="354" t="s">
        <v>346</v>
      </c>
      <c r="R450" s="353">
        <v>0</v>
      </c>
      <c r="S450" s="353">
        <v>0</v>
      </c>
      <c r="T450" s="353">
        <v>0</v>
      </c>
      <c r="U450" s="353">
        <v>0</v>
      </c>
      <c r="V450" s="353">
        <v>0</v>
      </c>
      <c r="W450" s="353">
        <v>0</v>
      </c>
    </row>
    <row r="451" spans="1:23" x14ac:dyDescent="0.25">
      <c r="A451" s="348" t="s">
        <v>988</v>
      </c>
      <c r="B451" s="349">
        <v>32</v>
      </c>
      <c r="C451" s="423">
        <v>45170</v>
      </c>
      <c r="D451" s="427" t="s">
        <v>989</v>
      </c>
      <c r="E451" s="352"/>
      <c r="F451" s="352">
        <v>6</v>
      </c>
      <c r="G451" s="352" t="s">
        <v>309</v>
      </c>
      <c r="H451" s="424" t="s">
        <v>993</v>
      </c>
      <c r="I451" s="350" t="s">
        <v>476</v>
      </c>
      <c r="J451" s="556">
        <v>-597500.125</v>
      </c>
      <c r="K451" s="350" t="s">
        <v>394</v>
      </c>
      <c r="L451" s="354">
        <v>2803.6597999999999</v>
      </c>
      <c r="M451" s="560">
        <f t="shared" si="20"/>
        <v>-213.11434611289144</v>
      </c>
      <c r="N451" s="354" t="s">
        <v>395</v>
      </c>
      <c r="O451" s="354">
        <v>0</v>
      </c>
      <c r="P451" s="355" t="s">
        <v>396</v>
      </c>
      <c r="Q451" s="354" t="s">
        <v>346</v>
      </c>
      <c r="R451" s="353">
        <v>0</v>
      </c>
      <c r="S451" s="353">
        <v>0</v>
      </c>
      <c r="T451" s="353">
        <v>0</v>
      </c>
      <c r="U451" s="353">
        <v>0</v>
      </c>
      <c r="V451" s="353">
        <v>0</v>
      </c>
      <c r="W451" s="353">
        <v>0</v>
      </c>
    </row>
    <row r="452" spans="1:23" x14ac:dyDescent="0.25">
      <c r="A452" s="348" t="s">
        <v>988</v>
      </c>
      <c r="B452" s="349">
        <v>32</v>
      </c>
      <c r="C452" s="423">
        <v>45170</v>
      </c>
      <c r="D452" s="427" t="s">
        <v>989</v>
      </c>
      <c r="E452" s="352"/>
      <c r="F452" s="352">
        <v>6</v>
      </c>
      <c r="G452" s="352" t="s">
        <v>310</v>
      </c>
      <c r="H452" s="424" t="s">
        <v>994</v>
      </c>
      <c r="I452" s="350" t="s">
        <v>476</v>
      </c>
      <c r="J452" s="556">
        <v>-181818.11363636365</v>
      </c>
      <c r="K452" s="350" t="s">
        <v>394</v>
      </c>
      <c r="L452" s="354">
        <v>2803.6597999999999</v>
      </c>
      <c r="M452" s="560">
        <f t="shared" si="20"/>
        <v>-64.850276640683603</v>
      </c>
      <c r="N452" s="354" t="s">
        <v>395</v>
      </c>
      <c r="O452" s="354">
        <v>0</v>
      </c>
      <c r="P452" s="355" t="s">
        <v>396</v>
      </c>
      <c r="Q452" s="354" t="s">
        <v>346</v>
      </c>
      <c r="R452" s="353">
        <v>0</v>
      </c>
      <c r="S452" s="353">
        <v>0</v>
      </c>
      <c r="T452" s="353">
        <v>0</v>
      </c>
      <c r="U452" s="353">
        <v>0</v>
      </c>
      <c r="V452" s="353">
        <v>0</v>
      </c>
      <c r="W452" s="353">
        <v>0</v>
      </c>
    </row>
    <row r="453" spans="1:23" x14ac:dyDescent="0.25">
      <c r="A453" s="348" t="s">
        <v>988</v>
      </c>
      <c r="B453" s="349">
        <v>32</v>
      </c>
      <c r="C453" s="423">
        <v>45170</v>
      </c>
      <c r="D453" s="427" t="s">
        <v>989</v>
      </c>
      <c r="E453" s="352"/>
      <c r="F453" s="352">
        <v>6</v>
      </c>
      <c r="G453" s="352" t="s">
        <v>311</v>
      </c>
      <c r="H453" s="424" t="s">
        <v>995</v>
      </c>
      <c r="I453" s="350" t="s">
        <v>476</v>
      </c>
      <c r="J453" s="556">
        <v>-54545.511363636368</v>
      </c>
      <c r="K453" s="350" t="s">
        <v>394</v>
      </c>
      <c r="L453" s="354">
        <v>2803.6597999999999</v>
      </c>
      <c r="M453" s="560">
        <f t="shared" si="20"/>
        <v>-19.455110553582987</v>
      </c>
      <c r="N453" s="354" t="s">
        <v>395</v>
      </c>
      <c r="O453" s="354">
        <v>0</v>
      </c>
      <c r="P453" s="355" t="s">
        <v>396</v>
      </c>
      <c r="Q453" s="354" t="s">
        <v>346</v>
      </c>
      <c r="R453" s="353">
        <v>0</v>
      </c>
      <c r="S453" s="353">
        <v>0</v>
      </c>
      <c r="T453" s="353">
        <v>0</v>
      </c>
      <c r="U453" s="353">
        <v>0</v>
      </c>
      <c r="V453" s="353">
        <v>0</v>
      </c>
      <c r="W453" s="353">
        <v>0</v>
      </c>
    </row>
    <row r="454" spans="1:23" x14ac:dyDescent="0.25">
      <c r="A454" s="348" t="s">
        <v>706</v>
      </c>
      <c r="B454" s="436">
        <v>18</v>
      </c>
      <c r="C454" s="380">
        <v>45111</v>
      </c>
      <c r="D454" s="351">
        <v>45111</v>
      </c>
      <c r="E454" s="352"/>
      <c r="F454" s="352">
        <v>6</v>
      </c>
      <c r="G454" s="429" t="s">
        <v>321</v>
      </c>
      <c r="H454" s="350" t="s">
        <v>1059</v>
      </c>
      <c r="I454" s="350" t="s">
        <v>476</v>
      </c>
      <c r="J454" s="556">
        <f>-80000*10%</f>
        <v>-8000</v>
      </c>
      <c r="K454" s="350" t="s">
        <v>394</v>
      </c>
      <c r="L454" s="353">
        <v>2801.6</v>
      </c>
      <c r="M454" s="560">
        <f t="shared" ref="M454:M455" si="25">+J454/L454</f>
        <v>-2.8555111364934325</v>
      </c>
      <c r="N454" s="354" t="s">
        <v>395</v>
      </c>
      <c r="O454" s="354">
        <v>0</v>
      </c>
      <c r="P454" s="355" t="s">
        <v>396</v>
      </c>
      <c r="Q454" s="354" t="s">
        <v>345</v>
      </c>
      <c r="R454" s="353">
        <v>0</v>
      </c>
      <c r="S454" s="353">
        <v>0</v>
      </c>
      <c r="T454" s="353">
        <v>0</v>
      </c>
      <c r="U454" s="353">
        <v>0</v>
      </c>
      <c r="V454" s="353">
        <v>0</v>
      </c>
      <c r="W454" s="353">
        <v>0</v>
      </c>
    </row>
    <row r="455" spans="1:23" x14ac:dyDescent="0.25">
      <c r="A455" s="348" t="s">
        <v>706</v>
      </c>
      <c r="B455" s="436">
        <v>19</v>
      </c>
      <c r="C455" s="380">
        <v>45111</v>
      </c>
      <c r="D455" s="351">
        <v>45111</v>
      </c>
      <c r="E455" s="352"/>
      <c r="F455" s="352">
        <v>6</v>
      </c>
      <c r="G455" s="429" t="s">
        <v>321</v>
      </c>
      <c r="H455" s="350" t="s">
        <v>707</v>
      </c>
      <c r="I455" s="350" t="s">
        <v>393</v>
      </c>
      <c r="J455" s="556">
        <v>80000</v>
      </c>
      <c r="K455" s="350" t="s">
        <v>394</v>
      </c>
      <c r="L455" s="353">
        <v>2801.6</v>
      </c>
      <c r="M455" s="560">
        <f t="shared" si="25"/>
        <v>28.555111364934323</v>
      </c>
      <c r="N455" s="354" t="s">
        <v>395</v>
      </c>
      <c r="O455" s="354">
        <v>0</v>
      </c>
      <c r="P455" s="355" t="s">
        <v>396</v>
      </c>
      <c r="Q455" s="354" t="s">
        <v>345</v>
      </c>
      <c r="R455" s="353">
        <v>0</v>
      </c>
      <c r="S455" s="353">
        <v>0</v>
      </c>
      <c r="T455" s="353">
        <v>0</v>
      </c>
      <c r="U455" s="353">
        <v>0</v>
      </c>
      <c r="V455" s="353">
        <v>0</v>
      </c>
      <c r="W455" s="353">
        <v>0</v>
      </c>
    </row>
    <row r="456" spans="1:23" x14ac:dyDescent="0.25">
      <c r="A456" s="348" t="s">
        <v>638</v>
      </c>
      <c r="B456" s="436">
        <v>20</v>
      </c>
      <c r="C456" s="380">
        <v>45111</v>
      </c>
      <c r="D456" s="351">
        <v>45111</v>
      </c>
      <c r="E456" s="352"/>
      <c r="F456" s="352">
        <v>6</v>
      </c>
      <c r="G456" s="429" t="s">
        <v>321</v>
      </c>
      <c r="H456" s="350" t="s">
        <v>1060</v>
      </c>
      <c r="I456" s="350" t="s">
        <v>476</v>
      </c>
      <c r="J456" s="556">
        <f>-400000*10/100</f>
        <v>-40000</v>
      </c>
      <c r="K456" s="350" t="s">
        <v>394</v>
      </c>
      <c r="L456" s="353">
        <v>2801.6</v>
      </c>
      <c r="M456" s="560">
        <f>+J456/L456</f>
        <v>-14.277555682467161</v>
      </c>
      <c r="N456" s="354" t="s">
        <v>395</v>
      </c>
      <c r="O456" s="354">
        <v>0</v>
      </c>
      <c r="P456" s="355" t="s">
        <v>396</v>
      </c>
      <c r="Q456" s="354" t="s">
        <v>345</v>
      </c>
      <c r="R456" s="353">
        <v>0</v>
      </c>
      <c r="S456" s="353">
        <v>0</v>
      </c>
      <c r="T456" s="353">
        <v>0</v>
      </c>
      <c r="U456" s="353">
        <v>0</v>
      </c>
      <c r="V456" s="353">
        <v>0</v>
      </c>
      <c r="W456" s="353">
        <v>0</v>
      </c>
    </row>
    <row r="457" spans="1:23" x14ac:dyDescent="0.25">
      <c r="A457" s="348" t="s">
        <v>638</v>
      </c>
      <c r="B457" s="436">
        <v>21</v>
      </c>
      <c r="C457" s="380">
        <v>45111</v>
      </c>
      <c r="D457" s="351">
        <v>45111</v>
      </c>
      <c r="E457" s="352"/>
      <c r="F457" s="352">
        <v>6</v>
      </c>
      <c r="G457" s="429" t="s">
        <v>321</v>
      </c>
      <c r="H457" s="350" t="s">
        <v>1061</v>
      </c>
      <c r="I457" s="350" t="s">
        <v>393</v>
      </c>
      <c r="J457" s="556">
        <f>400000</f>
        <v>400000</v>
      </c>
      <c r="K457" s="350" t="s">
        <v>394</v>
      </c>
      <c r="L457" s="353">
        <v>2801.6</v>
      </c>
      <c r="M457" s="560">
        <f>+J457/L457</f>
        <v>142.77555682467161</v>
      </c>
      <c r="N457" s="354" t="s">
        <v>395</v>
      </c>
      <c r="O457" s="354">
        <v>0</v>
      </c>
      <c r="P457" s="355" t="s">
        <v>396</v>
      </c>
      <c r="Q457" s="354" t="s">
        <v>345</v>
      </c>
      <c r="R457" s="353">
        <v>0</v>
      </c>
      <c r="S457" s="353">
        <v>0</v>
      </c>
      <c r="T457" s="353">
        <v>0</v>
      </c>
      <c r="U457" s="353">
        <v>0</v>
      </c>
      <c r="V457" s="353">
        <v>0</v>
      </c>
      <c r="W457" s="353">
        <v>0</v>
      </c>
    </row>
    <row r="458" spans="1:23" x14ac:dyDescent="0.25">
      <c r="A458" s="564" t="s">
        <v>1062</v>
      </c>
      <c r="B458" s="565">
        <v>24</v>
      </c>
      <c r="C458" s="380">
        <v>45111</v>
      </c>
      <c r="D458" s="566" t="s">
        <v>1064</v>
      </c>
      <c r="E458" s="567">
        <v>421</v>
      </c>
      <c r="F458" s="567">
        <v>6</v>
      </c>
      <c r="G458" s="429" t="s">
        <v>301</v>
      </c>
      <c r="H458" s="381" t="s">
        <v>1065</v>
      </c>
      <c r="I458" s="381" t="s">
        <v>393</v>
      </c>
      <c r="J458" s="568">
        <v>1265383</v>
      </c>
      <c r="K458" s="353" t="s">
        <v>394</v>
      </c>
      <c r="L458" s="353">
        <v>2801.6</v>
      </c>
      <c r="M458" s="560">
        <f t="shared" ref="M458:M521" si="26">+J458/L458</f>
        <v>451.66440605368365</v>
      </c>
      <c r="N458" s="354" t="s">
        <v>395</v>
      </c>
      <c r="O458" s="354">
        <v>0</v>
      </c>
      <c r="P458" s="355" t="s">
        <v>396</v>
      </c>
      <c r="Q458" s="354" t="s">
        <v>345</v>
      </c>
      <c r="R458" s="353">
        <v>0</v>
      </c>
      <c r="S458" s="353">
        <v>0</v>
      </c>
      <c r="T458" s="353">
        <v>0</v>
      </c>
      <c r="U458" s="353">
        <v>0</v>
      </c>
      <c r="V458" s="353">
        <v>0</v>
      </c>
      <c r="W458" s="353">
        <v>0</v>
      </c>
    </row>
    <row r="459" spans="1:23" x14ac:dyDescent="0.25">
      <c r="A459" s="564" t="s">
        <v>1062</v>
      </c>
      <c r="B459" s="565">
        <v>24</v>
      </c>
      <c r="C459" s="380">
        <v>45111</v>
      </c>
      <c r="D459" s="566" t="s">
        <v>1064</v>
      </c>
      <c r="E459" s="567">
        <v>421</v>
      </c>
      <c r="F459" s="567">
        <v>6</v>
      </c>
      <c r="G459" s="429" t="s">
        <v>323</v>
      </c>
      <c r="H459" s="381" t="s">
        <v>1066</v>
      </c>
      <c r="I459" s="381" t="s">
        <v>393</v>
      </c>
      <c r="J459" s="568">
        <v>133677</v>
      </c>
      <c r="K459" s="353" t="s">
        <v>394</v>
      </c>
      <c r="L459" s="353">
        <v>2801.6</v>
      </c>
      <c r="M459" s="560">
        <f t="shared" si="26"/>
        <v>47.714520274129072</v>
      </c>
      <c r="N459" s="354" t="s">
        <v>395</v>
      </c>
      <c r="O459" s="354">
        <v>0</v>
      </c>
      <c r="P459" s="355" t="s">
        <v>396</v>
      </c>
      <c r="Q459" s="354" t="s">
        <v>345</v>
      </c>
      <c r="R459" s="353">
        <v>0</v>
      </c>
      <c r="S459" s="353">
        <v>0</v>
      </c>
      <c r="T459" s="353">
        <v>0</v>
      </c>
      <c r="U459" s="353">
        <v>0</v>
      </c>
      <c r="V459" s="353">
        <v>0</v>
      </c>
      <c r="W459" s="353">
        <v>0</v>
      </c>
    </row>
    <row r="460" spans="1:23" x14ac:dyDescent="0.25">
      <c r="A460" s="564" t="s">
        <v>1062</v>
      </c>
      <c r="B460" s="565">
        <v>24</v>
      </c>
      <c r="C460" s="380">
        <v>45111</v>
      </c>
      <c r="D460" s="566" t="s">
        <v>1064</v>
      </c>
      <c r="E460" s="567">
        <v>421</v>
      </c>
      <c r="F460" s="567">
        <v>6</v>
      </c>
      <c r="G460" s="429" t="s">
        <v>300</v>
      </c>
      <c r="H460" s="381" t="s">
        <v>1067</v>
      </c>
      <c r="I460" s="381" t="s">
        <v>393</v>
      </c>
      <c r="J460" s="568">
        <v>295714</v>
      </c>
      <c r="K460" s="353" t="s">
        <v>394</v>
      </c>
      <c r="L460" s="353">
        <v>2801.6</v>
      </c>
      <c r="M460" s="560">
        <f t="shared" si="26"/>
        <v>105.55182752712736</v>
      </c>
      <c r="N460" s="354" t="s">
        <v>395</v>
      </c>
      <c r="O460" s="354">
        <v>0</v>
      </c>
      <c r="P460" s="355" t="s">
        <v>396</v>
      </c>
      <c r="Q460" s="354" t="s">
        <v>345</v>
      </c>
      <c r="R460" s="353">
        <v>0</v>
      </c>
      <c r="S460" s="353">
        <v>0</v>
      </c>
      <c r="T460" s="353">
        <v>0</v>
      </c>
      <c r="U460" s="353">
        <v>0</v>
      </c>
      <c r="V460" s="353">
        <v>0</v>
      </c>
      <c r="W460" s="353">
        <v>0</v>
      </c>
    </row>
    <row r="461" spans="1:23" x14ac:dyDescent="0.25">
      <c r="A461" s="564" t="s">
        <v>1062</v>
      </c>
      <c r="B461" s="565">
        <v>24</v>
      </c>
      <c r="C461" s="380">
        <v>45111</v>
      </c>
      <c r="D461" s="566" t="s">
        <v>1064</v>
      </c>
      <c r="E461" s="567">
        <v>421</v>
      </c>
      <c r="F461" s="567">
        <v>6</v>
      </c>
      <c r="G461" s="429" t="s">
        <v>305</v>
      </c>
      <c r="H461" s="381" t="s">
        <v>1068</v>
      </c>
      <c r="I461" s="381" t="s">
        <v>393</v>
      </c>
      <c r="J461" s="568">
        <v>26424</v>
      </c>
      <c r="K461" s="353" t="s">
        <v>394</v>
      </c>
      <c r="L461" s="353">
        <v>2801.6</v>
      </c>
      <c r="M461" s="560">
        <f t="shared" si="26"/>
        <v>9.4317532838378071</v>
      </c>
      <c r="N461" s="354" t="s">
        <v>395</v>
      </c>
      <c r="O461" s="354">
        <v>0</v>
      </c>
      <c r="P461" s="355" t="s">
        <v>396</v>
      </c>
      <c r="Q461" s="354" t="s">
        <v>345</v>
      </c>
      <c r="R461" s="353">
        <v>0</v>
      </c>
      <c r="S461" s="353">
        <v>0</v>
      </c>
      <c r="T461" s="353">
        <v>0</v>
      </c>
      <c r="U461" s="353">
        <v>0</v>
      </c>
      <c r="V461" s="353">
        <v>0</v>
      </c>
      <c r="W461" s="353">
        <v>0</v>
      </c>
    </row>
    <row r="462" spans="1:23" x14ac:dyDescent="0.25">
      <c r="A462" s="564" t="s">
        <v>1062</v>
      </c>
      <c r="B462" s="565">
        <v>24</v>
      </c>
      <c r="C462" s="380">
        <v>45111</v>
      </c>
      <c r="D462" s="566" t="s">
        <v>1064</v>
      </c>
      <c r="E462" s="567">
        <v>421</v>
      </c>
      <c r="F462" s="567">
        <v>6</v>
      </c>
      <c r="G462" s="429" t="s">
        <v>304</v>
      </c>
      <c r="H462" s="381" t="s">
        <v>1069</v>
      </c>
      <c r="I462" s="381" t="s">
        <v>393</v>
      </c>
      <c r="J462" s="568">
        <v>124619</v>
      </c>
      <c r="K462" s="353" t="s">
        <v>394</v>
      </c>
      <c r="L462" s="353">
        <v>2801.6</v>
      </c>
      <c r="M462" s="560">
        <f t="shared" si="26"/>
        <v>44.48136778983438</v>
      </c>
      <c r="N462" s="354" t="s">
        <v>395</v>
      </c>
      <c r="O462" s="354">
        <v>0</v>
      </c>
      <c r="P462" s="355" t="s">
        <v>396</v>
      </c>
      <c r="Q462" s="354" t="s">
        <v>345</v>
      </c>
      <c r="R462" s="353">
        <v>0</v>
      </c>
      <c r="S462" s="353">
        <v>0</v>
      </c>
      <c r="T462" s="353">
        <v>0</v>
      </c>
      <c r="U462" s="353">
        <v>0</v>
      </c>
      <c r="V462" s="353">
        <v>0</v>
      </c>
      <c r="W462" s="353">
        <v>0</v>
      </c>
    </row>
    <row r="463" spans="1:23" x14ac:dyDescent="0.25">
      <c r="A463" s="564" t="s">
        <v>1062</v>
      </c>
      <c r="B463" s="565">
        <v>24</v>
      </c>
      <c r="C463" s="380">
        <v>45111</v>
      </c>
      <c r="D463" s="566" t="s">
        <v>1064</v>
      </c>
      <c r="E463" s="567">
        <v>421</v>
      </c>
      <c r="F463" s="567">
        <v>6</v>
      </c>
      <c r="G463" s="429" t="s">
        <v>303</v>
      </c>
      <c r="H463" s="381" t="s">
        <v>1070</v>
      </c>
      <c r="I463" s="381" t="s">
        <v>393</v>
      </c>
      <c r="J463" s="568">
        <v>70816</v>
      </c>
      <c r="K463" s="353" t="s">
        <v>394</v>
      </c>
      <c r="L463" s="353">
        <v>2801.6</v>
      </c>
      <c r="M463" s="560">
        <f t="shared" si="26"/>
        <v>25.276984580239862</v>
      </c>
      <c r="N463" s="354" t="s">
        <v>395</v>
      </c>
      <c r="O463" s="354">
        <v>0</v>
      </c>
      <c r="P463" s="355" t="s">
        <v>396</v>
      </c>
      <c r="Q463" s="354" t="s">
        <v>345</v>
      </c>
      <c r="R463" s="353">
        <v>0</v>
      </c>
      <c r="S463" s="353">
        <v>0</v>
      </c>
      <c r="T463" s="353">
        <v>0</v>
      </c>
      <c r="U463" s="353">
        <v>0</v>
      </c>
      <c r="V463" s="353">
        <v>0</v>
      </c>
      <c r="W463" s="353">
        <v>0</v>
      </c>
    </row>
    <row r="464" spans="1:23" x14ac:dyDescent="0.25">
      <c r="A464" s="564" t="s">
        <v>1062</v>
      </c>
      <c r="B464" s="565">
        <v>24</v>
      </c>
      <c r="C464" s="380">
        <v>45111</v>
      </c>
      <c r="D464" s="566" t="s">
        <v>1064</v>
      </c>
      <c r="E464" s="567">
        <v>421</v>
      </c>
      <c r="F464" s="567">
        <v>6</v>
      </c>
      <c r="G464" s="429" t="s">
        <v>302</v>
      </c>
      <c r="H464" s="381" t="s">
        <v>1071</v>
      </c>
      <c r="I464" s="381" t="s">
        <v>393</v>
      </c>
      <c r="J464" s="568">
        <v>295714</v>
      </c>
      <c r="K464" s="353" t="s">
        <v>394</v>
      </c>
      <c r="L464" s="353">
        <v>2801.6</v>
      </c>
      <c r="M464" s="560">
        <f t="shared" si="26"/>
        <v>105.55182752712736</v>
      </c>
      <c r="N464" s="354" t="s">
        <v>395</v>
      </c>
      <c r="O464" s="354">
        <v>0</v>
      </c>
      <c r="P464" s="355" t="s">
        <v>396</v>
      </c>
      <c r="Q464" s="354" t="s">
        <v>345</v>
      </c>
      <c r="R464" s="353">
        <v>0</v>
      </c>
      <c r="S464" s="353">
        <v>0</v>
      </c>
      <c r="T464" s="353">
        <v>0</v>
      </c>
      <c r="U464" s="353">
        <v>0</v>
      </c>
      <c r="V464" s="353">
        <v>0</v>
      </c>
      <c r="W464" s="353">
        <v>0</v>
      </c>
    </row>
    <row r="465" spans="1:23" x14ac:dyDescent="0.25">
      <c r="A465" s="353" t="s">
        <v>1072</v>
      </c>
      <c r="B465" s="565">
        <v>25</v>
      </c>
      <c r="C465" s="380">
        <v>45111</v>
      </c>
      <c r="D465" s="429" t="s">
        <v>1073</v>
      </c>
      <c r="E465" s="353">
        <v>6176</v>
      </c>
      <c r="F465" s="353">
        <v>6</v>
      </c>
      <c r="G465" s="429" t="s">
        <v>325</v>
      </c>
      <c r="H465" s="353" t="s">
        <v>326</v>
      </c>
      <c r="I465" s="353" t="s">
        <v>393</v>
      </c>
      <c r="J465" s="563">
        <v>97000</v>
      </c>
      <c r="K465" s="353" t="s">
        <v>394</v>
      </c>
      <c r="L465" s="353">
        <v>2801.6</v>
      </c>
      <c r="M465" s="560">
        <f t="shared" si="26"/>
        <v>34.623072529982871</v>
      </c>
      <c r="N465" s="354" t="s">
        <v>395</v>
      </c>
      <c r="O465" s="354">
        <v>0</v>
      </c>
      <c r="P465" s="355" t="s">
        <v>396</v>
      </c>
      <c r="Q465" s="354" t="s">
        <v>345</v>
      </c>
      <c r="R465" s="353">
        <v>0</v>
      </c>
      <c r="S465" s="353">
        <v>0</v>
      </c>
      <c r="T465" s="353">
        <v>0</v>
      </c>
      <c r="U465" s="353">
        <v>0</v>
      </c>
      <c r="V465" s="353">
        <v>0</v>
      </c>
      <c r="W465" s="353">
        <v>0</v>
      </c>
    </row>
    <row r="466" spans="1:23" x14ac:dyDescent="0.25">
      <c r="A466" s="353" t="s">
        <v>1074</v>
      </c>
      <c r="B466" s="429">
        <v>26</v>
      </c>
      <c r="C466" s="380">
        <v>45111</v>
      </c>
      <c r="D466" s="429" t="s">
        <v>1073</v>
      </c>
      <c r="E466" s="353">
        <v>6324</v>
      </c>
      <c r="F466" s="353">
        <v>6</v>
      </c>
      <c r="G466" s="429" t="s">
        <v>1075</v>
      </c>
      <c r="H466" s="353" t="s">
        <v>1076</v>
      </c>
      <c r="I466" s="353" t="s">
        <v>393</v>
      </c>
      <c r="J466" s="563">
        <v>370000</v>
      </c>
      <c r="K466" s="353" t="s">
        <v>394</v>
      </c>
      <c r="L466" s="353">
        <v>2801.6</v>
      </c>
      <c r="M466" s="560">
        <f t="shared" si="26"/>
        <v>132.06739006282126</v>
      </c>
      <c r="N466" s="354" t="s">
        <v>395</v>
      </c>
      <c r="O466" s="354">
        <v>0</v>
      </c>
      <c r="P466" s="355" t="s">
        <v>396</v>
      </c>
      <c r="Q466" s="354" t="s">
        <v>345</v>
      </c>
      <c r="R466" s="353">
        <v>0</v>
      </c>
      <c r="S466" s="353">
        <v>0</v>
      </c>
      <c r="T466" s="353">
        <v>0</v>
      </c>
      <c r="U466" s="353">
        <v>0</v>
      </c>
      <c r="V466" s="353">
        <v>0</v>
      </c>
      <c r="W466" s="353">
        <v>0</v>
      </c>
    </row>
    <row r="467" spans="1:23" x14ac:dyDescent="0.25">
      <c r="A467" s="353" t="s">
        <v>1077</v>
      </c>
      <c r="B467" s="429">
        <v>33</v>
      </c>
      <c r="C467" s="380">
        <v>45111</v>
      </c>
      <c r="D467" s="429" t="s">
        <v>1078</v>
      </c>
      <c r="E467" s="353">
        <v>6324</v>
      </c>
      <c r="F467" s="353">
        <v>6</v>
      </c>
      <c r="G467" s="429" t="s">
        <v>301</v>
      </c>
      <c r="H467" s="353" t="s">
        <v>1079</v>
      </c>
      <c r="I467" s="353" t="s">
        <v>393</v>
      </c>
      <c r="J467" s="563">
        <v>134012</v>
      </c>
      <c r="K467" s="353" t="s">
        <v>394</v>
      </c>
      <c r="L467" s="353">
        <v>2801.6</v>
      </c>
      <c r="M467" s="560">
        <f t="shared" si="26"/>
        <v>47.83409480296973</v>
      </c>
      <c r="N467" s="354" t="s">
        <v>395</v>
      </c>
      <c r="O467" s="354">
        <v>0</v>
      </c>
      <c r="P467" s="355" t="s">
        <v>396</v>
      </c>
      <c r="Q467" s="354" t="s">
        <v>345</v>
      </c>
      <c r="R467" s="353">
        <v>0</v>
      </c>
      <c r="S467" s="353">
        <v>0</v>
      </c>
      <c r="T467" s="353">
        <v>0</v>
      </c>
      <c r="U467" s="353">
        <v>0</v>
      </c>
      <c r="V467" s="353">
        <v>0</v>
      </c>
      <c r="W467" s="353">
        <v>0</v>
      </c>
    </row>
    <row r="468" spans="1:23" x14ac:dyDescent="0.25">
      <c r="A468" s="353" t="s">
        <v>1077</v>
      </c>
      <c r="B468" s="429">
        <v>33</v>
      </c>
      <c r="C468" s="380">
        <v>45111</v>
      </c>
      <c r="D468" s="429" t="s">
        <v>1078</v>
      </c>
      <c r="E468" s="353">
        <v>6324</v>
      </c>
      <c r="F468" s="353">
        <v>6</v>
      </c>
      <c r="G468" s="429" t="s">
        <v>300</v>
      </c>
      <c r="H468" s="353" t="s">
        <v>1080</v>
      </c>
      <c r="I468" s="353" t="s">
        <v>393</v>
      </c>
      <c r="J468" s="563">
        <v>4286</v>
      </c>
      <c r="K468" s="353" t="s">
        <v>394</v>
      </c>
      <c r="L468" s="353">
        <v>2801.6</v>
      </c>
      <c r="M468" s="560">
        <f t="shared" si="26"/>
        <v>1.5298400913763563</v>
      </c>
      <c r="N468" s="354" t="s">
        <v>395</v>
      </c>
      <c r="O468" s="354">
        <v>0</v>
      </c>
      <c r="P468" s="355" t="s">
        <v>396</v>
      </c>
      <c r="Q468" s="354" t="s">
        <v>345</v>
      </c>
      <c r="R468" s="353">
        <v>0</v>
      </c>
      <c r="S468" s="353">
        <v>0</v>
      </c>
      <c r="T468" s="353">
        <v>0</v>
      </c>
      <c r="U468" s="353">
        <v>0</v>
      </c>
      <c r="V468" s="353">
        <v>0</v>
      </c>
      <c r="W468" s="353">
        <v>0</v>
      </c>
    </row>
    <row r="469" spans="1:23" x14ac:dyDescent="0.25">
      <c r="A469" s="353" t="s">
        <v>1077</v>
      </c>
      <c r="B469" s="429">
        <v>33</v>
      </c>
      <c r="C469" s="380">
        <v>45111</v>
      </c>
      <c r="D469" s="429" t="s">
        <v>1078</v>
      </c>
      <c r="E469" s="353">
        <v>6324</v>
      </c>
      <c r="F469" s="353">
        <v>6</v>
      </c>
      <c r="G469" s="429" t="s">
        <v>302</v>
      </c>
      <c r="H469" s="353" t="s">
        <v>1081</v>
      </c>
      <c r="I469" s="353" t="s">
        <v>393</v>
      </c>
      <c r="J469" s="563">
        <v>4286</v>
      </c>
      <c r="K469" s="353" t="s">
        <v>394</v>
      </c>
      <c r="L469" s="353">
        <v>2801.6</v>
      </c>
      <c r="M469" s="560">
        <f t="shared" si="26"/>
        <v>1.5298400913763563</v>
      </c>
      <c r="N469" s="354" t="s">
        <v>395</v>
      </c>
      <c r="O469" s="354">
        <v>0</v>
      </c>
      <c r="P469" s="355" t="s">
        <v>396</v>
      </c>
      <c r="Q469" s="354" t="s">
        <v>345</v>
      </c>
      <c r="R469" s="353">
        <v>0</v>
      </c>
      <c r="S469" s="353">
        <v>0</v>
      </c>
      <c r="T469" s="353">
        <v>0</v>
      </c>
      <c r="U469" s="353">
        <v>0</v>
      </c>
      <c r="V469" s="353">
        <v>0</v>
      </c>
      <c r="W469" s="353">
        <v>0</v>
      </c>
    </row>
    <row r="470" spans="1:23" x14ac:dyDescent="0.25">
      <c r="A470" s="353" t="s">
        <v>1077</v>
      </c>
      <c r="B470" s="429">
        <v>33</v>
      </c>
      <c r="C470" s="380">
        <v>45111</v>
      </c>
      <c r="D470" s="429" t="s">
        <v>1078</v>
      </c>
      <c r="E470" s="353">
        <v>6324</v>
      </c>
      <c r="F470" s="353">
        <v>6</v>
      </c>
      <c r="G470" s="429" t="s">
        <v>301</v>
      </c>
      <c r="H470" s="353" t="s">
        <v>1082</v>
      </c>
      <c r="I470" s="353" t="s">
        <v>393</v>
      </c>
      <c r="J470" s="563">
        <v>134012</v>
      </c>
      <c r="K470" s="353" t="s">
        <v>394</v>
      </c>
      <c r="L470" s="353">
        <v>2801.6</v>
      </c>
      <c r="M470" s="560">
        <f t="shared" si="26"/>
        <v>47.83409480296973</v>
      </c>
      <c r="N470" s="354" t="s">
        <v>395</v>
      </c>
      <c r="O470" s="354">
        <v>0</v>
      </c>
      <c r="P470" s="355" t="s">
        <v>396</v>
      </c>
      <c r="Q470" s="354" t="s">
        <v>345</v>
      </c>
      <c r="R470" s="353">
        <v>0</v>
      </c>
      <c r="S470" s="353">
        <v>0</v>
      </c>
      <c r="T470" s="353">
        <v>0</v>
      </c>
      <c r="U470" s="353">
        <v>0</v>
      </c>
      <c r="V470" s="353">
        <v>0</v>
      </c>
      <c r="W470" s="353">
        <v>0</v>
      </c>
    </row>
    <row r="471" spans="1:23" x14ac:dyDescent="0.25">
      <c r="A471" s="353" t="s">
        <v>1077</v>
      </c>
      <c r="B471" s="429">
        <v>33</v>
      </c>
      <c r="C471" s="380">
        <v>45111</v>
      </c>
      <c r="D471" s="429" t="s">
        <v>1078</v>
      </c>
      <c r="E471" s="353">
        <v>6324</v>
      </c>
      <c r="F471" s="353">
        <v>6</v>
      </c>
      <c r="G471" s="429" t="s">
        <v>300</v>
      </c>
      <c r="H471" s="353" t="s">
        <v>1083</v>
      </c>
      <c r="I471" s="353" t="s">
        <v>393</v>
      </c>
      <c r="J471" s="563">
        <v>4286</v>
      </c>
      <c r="K471" s="353" t="s">
        <v>394</v>
      </c>
      <c r="L471" s="353">
        <v>2801.6</v>
      </c>
      <c r="M471" s="560">
        <f t="shared" si="26"/>
        <v>1.5298400913763563</v>
      </c>
      <c r="N471" s="354" t="s">
        <v>395</v>
      </c>
      <c r="O471" s="354">
        <v>0</v>
      </c>
      <c r="P471" s="355" t="s">
        <v>396</v>
      </c>
      <c r="Q471" s="354" t="s">
        <v>345</v>
      </c>
      <c r="R471" s="353">
        <v>0</v>
      </c>
      <c r="S471" s="353">
        <v>0</v>
      </c>
      <c r="T471" s="353">
        <v>0</v>
      </c>
      <c r="U471" s="353">
        <v>0</v>
      </c>
      <c r="V471" s="353">
        <v>0</v>
      </c>
      <c r="W471" s="353">
        <v>0</v>
      </c>
    </row>
    <row r="472" spans="1:23" x14ac:dyDescent="0.25">
      <c r="A472" s="353" t="s">
        <v>1077</v>
      </c>
      <c r="B472" s="429">
        <v>33</v>
      </c>
      <c r="C472" s="380">
        <v>45111</v>
      </c>
      <c r="D472" s="429" t="s">
        <v>1078</v>
      </c>
      <c r="E472" s="353">
        <v>6324</v>
      </c>
      <c r="F472" s="353">
        <v>6</v>
      </c>
      <c r="G472" s="429" t="s">
        <v>302</v>
      </c>
      <c r="H472" s="353" t="s">
        <v>1084</v>
      </c>
      <c r="I472" s="353" t="s">
        <v>393</v>
      </c>
      <c r="J472" s="563">
        <v>4286</v>
      </c>
      <c r="K472" s="353" t="s">
        <v>394</v>
      </c>
      <c r="L472" s="353">
        <v>2801.6</v>
      </c>
      <c r="M472" s="560">
        <f t="shared" si="26"/>
        <v>1.5298400913763563</v>
      </c>
      <c r="N472" s="354" t="s">
        <v>395</v>
      </c>
      <c r="O472" s="354">
        <v>0</v>
      </c>
      <c r="P472" s="355" t="s">
        <v>396</v>
      </c>
      <c r="Q472" s="354" t="s">
        <v>345</v>
      </c>
      <c r="R472" s="353">
        <v>0</v>
      </c>
      <c r="S472" s="353">
        <v>0</v>
      </c>
      <c r="T472" s="353">
        <v>0</v>
      </c>
      <c r="U472" s="353">
        <v>0</v>
      </c>
      <c r="V472" s="353">
        <v>0</v>
      </c>
      <c r="W472" s="353">
        <v>0</v>
      </c>
    </row>
    <row r="473" spans="1:23" x14ac:dyDescent="0.25">
      <c r="A473" s="353" t="s">
        <v>1077</v>
      </c>
      <c r="B473" s="429">
        <v>33</v>
      </c>
      <c r="C473" s="380">
        <v>45111</v>
      </c>
      <c r="D473" s="429" t="s">
        <v>1078</v>
      </c>
      <c r="E473" s="353">
        <v>6324</v>
      </c>
      <c r="F473" s="353">
        <v>6</v>
      </c>
      <c r="G473" s="429" t="s">
        <v>301</v>
      </c>
      <c r="H473" s="353" t="s">
        <v>1085</v>
      </c>
      <c r="I473" s="353" t="s">
        <v>393</v>
      </c>
      <c r="J473" s="563">
        <v>134012</v>
      </c>
      <c r="K473" s="353" t="s">
        <v>394</v>
      </c>
      <c r="L473" s="353">
        <v>2801.6</v>
      </c>
      <c r="M473" s="560">
        <f t="shared" si="26"/>
        <v>47.83409480296973</v>
      </c>
      <c r="N473" s="354" t="s">
        <v>395</v>
      </c>
      <c r="O473" s="354">
        <v>0</v>
      </c>
      <c r="P473" s="355" t="s">
        <v>396</v>
      </c>
      <c r="Q473" s="354" t="s">
        <v>345</v>
      </c>
      <c r="R473" s="353">
        <v>0</v>
      </c>
      <c r="S473" s="353">
        <v>0</v>
      </c>
      <c r="T473" s="353">
        <v>0</v>
      </c>
      <c r="U473" s="353">
        <v>0</v>
      </c>
      <c r="V473" s="353">
        <v>0</v>
      </c>
      <c r="W473" s="353">
        <v>0</v>
      </c>
    </row>
    <row r="474" spans="1:23" x14ac:dyDescent="0.25">
      <c r="A474" s="353" t="s">
        <v>1077</v>
      </c>
      <c r="B474" s="429">
        <v>33</v>
      </c>
      <c r="C474" s="380">
        <v>45111</v>
      </c>
      <c r="D474" s="429" t="s">
        <v>1078</v>
      </c>
      <c r="E474" s="353">
        <v>6324</v>
      </c>
      <c r="F474" s="353">
        <v>6</v>
      </c>
      <c r="G474" s="429" t="s">
        <v>300</v>
      </c>
      <c r="H474" s="353" t="s">
        <v>1086</v>
      </c>
      <c r="I474" s="353" t="s">
        <v>393</v>
      </c>
      <c r="J474" s="563">
        <v>4286</v>
      </c>
      <c r="K474" s="353" t="s">
        <v>394</v>
      </c>
      <c r="L474" s="353">
        <v>2801.6</v>
      </c>
      <c r="M474" s="560">
        <f t="shared" si="26"/>
        <v>1.5298400913763563</v>
      </c>
      <c r="N474" s="354" t="s">
        <v>395</v>
      </c>
      <c r="O474" s="354">
        <v>0</v>
      </c>
      <c r="P474" s="355" t="s">
        <v>396</v>
      </c>
      <c r="Q474" s="354" t="s">
        <v>345</v>
      </c>
      <c r="R474" s="353">
        <v>0</v>
      </c>
      <c r="S474" s="353">
        <v>0</v>
      </c>
      <c r="T474" s="353">
        <v>0</v>
      </c>
      <c r="U474" s="353">
        <v>0</v>
      </c>
      <c r="V474" s="353">
        <v>0</v>
      </c>
      <c r="W474" s="353">
        <v>0</v>
      </c>
    </row>
    <row r="475" spans="1:23" x14ac:dyDescent="0.25">
      <c r="A475" s="353" t="s">
        <v>1077</v>
      </c>
      <c r="B475" s="429">
        <v>33</v>
      </c>
      <c r="C475" s="380">
        <v>45111</v>
      </c>
      <c r="D475" s="429" t="s">
        <v>1078</v>
      </c>
      <c r="E475" s="353">
        <v>6324</v>
      </c>
      <c r="F475" s="353">
        <v>6</v>
      </c>
      <c r="G475" s="429" t="s">
        <v>302</v>
      </c>
      <c r="H475" s="353" t="s">
        <v>1087</v>
      </c>
      <c r="I475" s="353" t="s">
        <v>393</v>
      </c>
      <c r="J475" s="563">
        <v>4286</v>
      </c>
      <c r="K475" s="353" t="s">
        <v>394</v>
      </c>
      <c r="L475" s="353">
        <v>2801.6</v>
      </c>
      <c r="M475" s="560">
        <f t="shared" si="26"/>
        <v>1.5298400913763563</v>
      </c>
      <c r="N475" s="354" t="s">
        <v>395</v>
      </c>
      <c r="O475" s="354">
        <v>0</v>
      </c>
      <c r="P475" s="355" t="s">
        <v>396</v>
      </c>
      <c r="Q475" s="354" t="s">
        <v>345</v>
      </c>
      <c r="R475" s="353">
        <v>0</v>
      </c>
      <c r="S475" s="353">
        <v>0</v>
      </c>
      <c r="T475" s="353">
        <v>0</v>
      </c>
      <c r="U475" s="353">
        <v>0</v>
      </c>
      <c r="V475" s="353">
        <v>0</v>
      </c>
      <c r="W475" s="353">
        <v>0</v>
      </c>
    </row>
    <row r="476" spans="1:23" x14ac:dyDescent="0.25">
      <c r="A476" s="353" t="s">
        <v>1077</v>
      </c>
      <c r="B476" s="429">
        <v>33</v>
      </c>
      <c r="C476" s="380">
        <v>45111</v>
      </c>
      <c r="D476" s="429" t="s">
        <v>1078</v>
      </c>
      <c r="E476" s="353">
        <v>6324</v>
      </c>
      <c r="F476" s="353">
        <v>6</v>
      </c>
      <c r="G476" s="429" t="s">
        <v>301</v>
      </c>
      <c r="H476" s="353" t="s">
        <v>1088</v>
      </c>
      <c r="I476" s="353" t="s">
        <v>393</v>
      </c>
      <c r="J476" s="563">
        <v>134012</v>
      </c>
      <c r="K476" s="353" t="s">
        <v>394</v>
      </c>
      <c r="L476" s="353">
        <v>2801.6</v>
      </c>
      <c r="M476" s="560">
        <f t="shared" si="26"/>
        <v>47.83409480296973</v>
      </c>
      <c r="N476" s="354" t="s">
        <v>395</v>
      </c>
      <c r="O476" s="354">
        <v>0</v>
      </c>
      <c r="P476" s="355" t="s">
        <v>396</v>
      </c>
      <c r="Q476" s="354" t="s">
        <v>345</v>
      </c>
      <c r="R476" s="353">
        <v>0</v>
      </c>
      <c r="S476" s="353">
        <v>0</v>
      </c>
      <c r="T476" s="353">
        <v>0</v>
      </c>
      <c r="U476" s="353">
        <v>0</v>
      </c>
      <c r="V476" s="353">
        <v>0</v>
      </c>
      <c r="W476" s="353">
        <v>0</v>
      </c>
    </row>
    <row r="477" spans="1:23" x14ac:dyDescent="0.25">
      <c r="A477" s="353" t="s">
        <v>1077</v>
      </c>
      <c r="B477" s="429">
        <v>33</v>
      </c>
      <c r="C477" s="380">
        <v>45111</v>
      </c>
      <c r="D477" s="429" t="s">
        <v>1078</v>
      </c>
      <c r="E477" s="353">
        <v>6324</v>
      </c>
      <c r="F477" s="353">
        <v>6</v>
      </c>
      <c r="G477" s="429" t="s">
        <v>300</v>
      </c>
      <c r="H477" s="353" t="s">
        <v>1089</v>
      </c>
      <c r="I477" s="353" t="s">
        <v>393</v>
      </c>
      <c r="J477" s="563">
        <v>4286</v>
      </c>
      <c r="K477" s="353" t="s">
        <v>394</v>
      </c>
      <c r="L477" s="353">
        <v>2801.6</v>
      </c>
      <c r="M477" s="560">
        <f t="shared" si="26"/>
        <v>1.5298400913763563</v>
      </c>
      <c r="N477" s="354" t="s">
        <v>395</v>
      </c>
      <c r="O477" s="354">
        <v>0</v>
      </c>
      <c r="P477" s="355" t="s">
        <v>396</v>
      </c>
      <c r="Q477" s="354" t="s">
        <v>345</v>
      </c>
      <c r="R477" s="353">
        <v>0</v>
      </c>
      <c r="S477" s="353">
        <v>0</v>
      </c>
      <c r="T477" s="353">
        <v>0</v>
      </c>
      <c r="U477" s="353">
        <v>0</v>
      </c>
      <c r="V477" s="353">
        <v>0</v>
      </c>
      <c r="W477" s="353">
        <v>0</v>
      </c>
    </row>
    <row r="478" spans="1:23" x14ac:dyDescent="0.25">
      <c r="A478" s="353" t="s">
        <v>1077</v>
      </c>
      <c r="B478" s="429">
        <v>33</v>
      </c>
      <c r="C478" s="380">
        <v>45111</v>
      </c>
      <c r="D478" s="429" t="s">
        <v>1078</v>
      </c>
      <c r="E478" s="353">
        <v>6324</v>
      </c>
      <c r="F478" s="353">
        <v>6</v>
      </c>
      <c r="G478" s="429" t="s">
        <v>302</v>
      </c>
      <c r="H478" s="353" t="s">
        <v>1090</v>
      </c>
      <c r="I478" s="353" t="s">
        <v>393</v>
      </c>
      <c r="J478" s="563">
        <v>4286</v>
      </c>
      <c r="K478" s="353" t="s">
        <v>394</v>
      </c>
      <c r="L478" s="353">
        <v>2801.6</v>
      </c>
      <c r="M478" s="560">
        <f t="shared" si="26"/>
        <v>1.5298400913763563</v>
      </c>
      <c r="N478" s="354" t="s">
        <v>395</v>
      </c>
      <c r="O478" s="354">
        <v>0</v>
      </c>
      <c r="P478" s="355" t="s">
        <v>396</v>
      </c>
      <c r="Q478" s="354" t="s">
        <v>345</v>
      </c>
      <c r="R478" s="353">
        <v>0</v>
      </c>
      <c r="S478" s="353">
        <v>0</v>
      </c>
      <c r="T478" s="353">
        <v>0</v>
      </c>
      <c r="U478" s="353">
        <v>0</v>
      </c>
      <c r="V478" s="353">
        <v>0</v>
      </c>
      <c r="W478" s="353">
        <v>0</v>
      </c>
    </row>
    <row r="479" spans="1:23" x14ac:dyDescent="0.25">
      <c r="A479" s="353" t="s">
        <v>1077</v>
      </c>
      <c r="B479" s="429">
        <v>33</v>
      </c>
      <c r="C479" s="380">
        <v>45111</v>
      </c>
      <c r="D479" s="429" t="s">
        <v>1078</v>
      </c>
      <c r="E479" s="353">
        <v>6324</v>
      </c>
      <c r="F479" s="353">
        <v>6</v>
      </c>
      <c r="G479" s="429" t="s">
        <v>301</v>
      </c>
      <c r="H479" s="353" t="s">
        <v>1091</v>
      </c>
      <c r="I479" s="353" t="s">
        <v>393</v>
      </c>
      <c r="J479" s="563">
        <v>134012</v>
      </c>
      <c r="K479" s="353" t="s">
        <v>394</v>
      </c>
      <c r="L479" s="353">
        <v>2801.6</v>
      </c>
      <c r="M479" s="560">
        <f t="shared" si="26"/>
        <v>47.83409480296973</v>
      </c>
      <c r="N479" s="354" t="s">
        <v>395</v>
      </c>
      <c r="O479" s="354">
        <v>0</v>
      </c>
      <c r="P479" s="355" t="s">
        <v>396</v>
      </c>
      <c r="Q479" s="354" t="s">
        <v>345</v>
      </c>
      <c r="R479" s="353">
        <v>0</v>
      </c>
      <c r="S479" s="353">
        <v>0</v>
      </c>
      <c r="T479" s="353">
        <v>0</v>
      </c>
      <c r="U479" s="353">
        <v>0</v>
      </c>
      <c r="V479" s="353">
        <v>0</v>
      </c>
      <c r="W479" s="353">
        <v>0</v>
      </c>
    </row>
    <row r="480" spans="1:23" x14ac:dyDescent="0.25">
      <c r="A480" s="353" t="s">
        <v>1077</v>
      </c>
      <c r="B480" s="429">
        <v>33</v>
      </c>
      <c r="C480" s="380">
        <v>45111</v>
      </c>
      <c r="D480" s="429" t="s">
        <v>1078</v>
      </c>
      <c r="E480" s="353">
        <v>6324</v>
      </c>
      <c r="F480" s="353">
        <v>6</v>
      </c>
      <c r="G480" s="429" t="s">
        <v>300</v>
      </c>
      <c r="H480" s="353" t="s">
        <v>1092</v>
      </c>
      <c r="I480" s="353" t="s">
        <v>393</v>
      </c>
      <c r="J480" s="563">
        <v>4286</v>
      </c>
      <c r="K480" s="353" t="s">
        <v>394</v>
      </c>
      <c r="L480" s="353">
        <v>2801.6</v>
      </c>
      <c r="M480" s="560">
        <f t="shared" si="26"/>
        <v>1.5298400913763563</v>
      </c>
      <c r="N480" s="354" t="s">
        <v>395</v>
      </c>
      <c r="O480" s="354">
        <v>0</v>
      </c>
      <c r="P480" s="355" t="s">
        <v>396</v>
      </c>
      <c r="Q480" s="354" t="s">
        <v>345</v>
      </c>
      <c r="R480" s="353">
        <v>0</v>
      </c>
      <c r="S480" s="353">
        <v>0</v>
      </c>
      <c r="T480" s="353">
        <v>0</v>
      </c>
      <c r="U480" s="353">
        <v>0</v>
      </c>
      <c r="V480" s="353">
        <v>0</v>
      </c>
      <c r="W480" s="353">
        <v>0</v>
      </c>
    </row>
    <row r="481" spans="1:23" x14ac:dyDescent="0.25">
      <c r="A481" s="353" t="s">
        <v>1077</v>
      </c>
      <c r="B481" s="429">
        <v>33</v>
      </c>
      <c r="C481" s="380">
        <v>45111</v>
      </c>
      <c r="D481" s="429" t="s">
        <v>1078</v>
      </c>
      <c r="E481" s="353">
        <v>6324</v>
      </c>
      <c r="F481" s="353">
        <v>6</v>
      </c>
      <c r="G481" s="429" t="s">
        <v>302</v>
      </c>
      <c r="H481" s="353" t="s">
        <v>1093</v>
      </c>
      <c r="I481" s="353" t="s">
        <v>393</v>
      </c>
      <c r="J481" s="563">
        <v>4286</v>
      </c>
      <c r="K481" s="353" t="s">
        <v>394</v>
      </c>
      <c r="L481" s="353">
        <v>2801.6</v>
      </c>
      <c r="M481" s="560">
        <f t="shared" si="26"/>
        <v>1.5298400913763563</v>
      </c>
      <c r="N481" s="354" t="s">
        <v>395</v>
      </c>
      <c r="O481" s="354">
        <v>0</v>
      </c>
      <c r="P481" s="355" t="s">
        <v>396</v>
      </c>
      <c r="Q481" s="354" t="s">
        <v>345</v>
      </c>
      <c r="R481" s="353">
        <v>0</v>
      </c>
      <c r="S481" s="353">
        <v>0</v>
      </c>
      <c r="T481" s="353">
        <v>0</v>
      </c>
      <c r="U481" s="353">
        <v>0</v>
      </c>
      <c r="V481" s="353">
        <v>0</v>
      </c>
      <c r="W481" s="353">
        <v>0</v>
      </c>
    </row>
    <row r="482" spans="1:23" x14ac:dyDescent="0.25">
      <c r="A482" s="353" t="s">
        <v>1077</v>
      </c>
      <c r="B482" s="429">
        <v>33</v>
      </c>
      <c r="C482" s="380">
        <v>45111</v>
      </c>
      <c r="D482" s="429" t="s">
        <v>1078</v>
      </c>
      <c r="E482" s="353">
        <v>6324</v>
      </c>
      <c r="F482" s="353">
        <v>6</v>
      </c>
      <c r="G482" s="429" t="s">
        <v>301</v>
      </c>
      <c r="H482" s="353" t="s">
        <v>1094</v>
      </c>
      <c r="I482" s="353" t="s">
        <v>393</v>
      </c>
      <c r="J482" s="563">
        <v>134012</v>
      </c>
      <c r="K482" s="353" t="s">
        <v>394</v>
      </c>
      <c r="L482" s="353">
        <v>2801.6</v>
      </c>
      <c r="M482" s="560">
        <f t="shared" si="26"/>
        <v>47.83409480296973</v>
      </c>
      <c r="N482" s="354" t="s">
        <v>395</v>
      </c>
      <c r="O482" s="354">
        <v>0</v>
      </c>
      <c r="P482" s="355" t="s">
        <v>396</v>
      </c>
      <c r="Q482" s="354" t="s">
        <v>345</v>
      </c>
      <c r="R482" s="353">
        <v>0</v>
      </c>
      <c r="S482" s="353">
        <v>0</v>
      </c>
      <c r="T482" s="353">
        <v>0</v>
      </c>
      <c r="U482" s="353">
        <v>0</v>
      </c>
      <c r="V482" s="353">
        <v>0</v>
      </c>
      <c r="W482" s="353">
        <v>0</v>
      </c>
    </row>
    <row r="483" spans="1:23" x14ac:dyDescent="0.25">
      <c r="A483" s="353" t="s">
        <v>1077</v>
      </c>
      <c r="B483" s="429">
        <v>33</v>
      </c>
      <c r="C483" s="380">
        <v>45111</v>
      </c>
      <c r="D483" s="429" t="s">
        <v>1078</v>
      </c>
      <c r="E483" s="353">
        <v>6324</v>
      </c>
      <c r="F483" s="353">
        <v>6</v>
      </c>
      <c r="G483" s="429" t="s">
        <v>300</v>
      </c>
      <c r="H483" s="353" t="s">
        <v>1095</v>
      </c>
      <c r="I483" s="353" t="s">
        <v>393</v>
      </c>
      <c r="J483" s="563">
        <v>4286</v>
      </c>
      <c r="K483" s="353" t="s">
        <v>394</v>
      </c>
      <c r="L483" s="353">
        <v>2801.6</v>
      </c>
      <c r="M483" s="560">
        <f t="shared" si="26"/>
        <v>1.5298400913763563</v>
      </c>
      <c r="N483" s="354" t="s">
        <v>395</v>
      </c>
      <c r="O483" s="354">
        <v>0</v>
      </c>
      <c r="P483" s="355" t="s">
        <v>396</v>
      </c>
      <c r="Q483" s="354" t="s">
        <v>345</v>
      </c>
      <c r="R483" s="353">
        <v>0</v>
      </c>
      <c r="S483" s="353">
        <v>0</v>
      </c>
      <c r="T483" s="353">
        <v>0</v>
      </c>
      <c r="U483" s="353">
        <v>0</v>
      </c>
      <c r="V483" s="353">
        <v>0</v>
      </c>
      <c r="W483" s="353">
        <v>0</v>
      </c>
    </row>
    <row r="484" spans="1:23" x14ac:dyDescent="0.25">
      <c r="A484" s="353" t="s">
        <v>1077</v>
      </c>
      <c r="B484" s="429">
        <v>33</v>
      </c>
      <c r="C484" s="380">
        <v>45111</v>
      </c>
      <c r="D484" s="429" t="s">
        <v>1078</v>
      </c>
      <c r="E484" s="353">
        <v>6324</v>
      </c>
      <c r="F484" s="353">
        <v>6</v>
      </c>
      <c r="G484" s="429" t="s">
        <v>302</v>
      </c>
      <c r="H484" s="353" t="s">
        <v>1096</v>
      </c>
      <c r="I484" s="353" t="s">
        <v>393</v>
      </c>
      <c r="J484" s="563">
        <v>4286</v>
      </c>
      <c r="K484" s="353" t="s">
        <v>394</v>
      </c>
      <c r="L484" s="353">
        <v>2801.6</v>
      </c>
      <c r="M484" s="560">
        <f t="shared" si="26"/>
        <v>1.5298400913763563</v>
      </c>
      <c r="N484" s="354" t="s">
        <v>395</v>
      </c>
      <c r="O484" s="354">
        <v>0</v>
      </c>
      <c r="P484" s="355" t="s">
        <v>396</v>
      </c>
      <c r="Q484" s="354" t="s">
        <v>345</v>
      </c>
      <c r="R484" s="353">
        <v>0</v>
      </c>
      <c r="S484" s="353">
        <v>0</v>
      </c>
      <c r="T484" s="353">
        <v>0</v>
      </c>
      <c r="U484" s="353">
        <v>0</v>
      </c>
      <c r="V484" s="353">
        <v>0</v>
      </c>
      <c r="W484" s="353">
        <v>0</v>
      </c>
    </row>
    <row r="485" spans="1:23" x14ac:dyDescent="0.25">
      <c r="A485" s="353" t="s">
        <v>1097</v>
      </c>
      <c r="B485" s="565" t="s">
        <v>1098</v>
      </c>
      <c r="C485" s="380">
        <v>45111</v>
      </c>
      <c r="D485" s="429" t="s">
        <v>1078</v>
      </c>
      <c r="E485" s="567">
        <v>6311</v>
      </c>
      <c r="F485" s="567">
        <v>6</v>
      </c>
      <c r="G485" s="429" t="s">
        <v>324</v>
      </c>
      <c r="H485" s="381" t="s">
        <v>1099</v>
      </c>
      <c r="I485" s="381" t="s">
        <v>393</v>
      </c>
      <c r="J485" s="568">
        <v>90000</v>
      </c>
      <c r="K485" s="353" t="s">
        <v>394</v>
      </c>
      <c r="L485" s="353">
        <v>2801.6</v>
      </c>
      <c r="M485" s="560">
        <f t="shared" si="26"/>
        <v>32.124500285551115</v>
      </c>
      <c r="N485" s="354" t="s">
        <v>395</v>
      </c>
      <c r="O485" s="354">
        <v>0</v>
      </c>
      <c r="P485" s="355" t="s">
        <v>396</v>
      </c>
      <c r="Q485" s="354" t="s">
        <v>345</v>
      </c>
      <c r="R485" s="353">
        <v>0</v>
      </c>
      <c r="S485" s="353">
        <v>0</v>
      </c>
      <c r="T485" s="353">
        <v>0</v>
      </c>
      <c r="U485" s="353">
        <v>0</v>
      </c>
      <c r="V485" s="353">
        <v>0</v>
      </c>
      <c r="W485" s="353">
        <v>0</v>
      </c>
    </row>
    <row r="486" spans="1:23" x14ac:dyDescent="0.25">
      <c r="A486" s="353" t="s">
        <v>1097</v>
      </c>
      <c r="B486" s="565" t="s">
        <v>1098</v>
      </c>
      <c r="C486" s="380">
        <v>45111</v>
      </c>
      <c r="D486" s="429" t="s">
        <v>1078</v>
      </c>
      <c r="E486" s="567">
        <v>6311</v>
      </c>
      <c r="F486" s="567">
        <v>6</v>
      </c>
      <c r="G486" s="429" t="s">
        <v>328</v>
      </c>
      <c r="H486" s="381" t="s">
        <v>1100</v>
      </c>
      <c r="I486" s="381" t="s">
        <v>393</v>
      </c>
      <c r="J486" s="568">
        <v>27000</v>
      </c>
      <c r="K486" s="353" t="s">
        <v>394</v>
      </c>
      <c r="L486" s="353">
        <v>2801.6</v>
      </c>
      <c r="M486" s="560">
        <f t="shared" si="26"/>
        <v>9.637350085665334</v>
      </c>
      <c r="N486" s="354" t="s">
        <v>395</v>
      </c>
      <c r="O486" s="354">
        <v>0</v>
      </c>
      <c r="P486" s="355" t="s">
        <v>396</v>
      </c>
      <c r="Q486" s="354" t="s">
        <v>345</v>
      </c>
      <c r="R486" s="353">
        <v>0</v>
      </c>
      <c r="S486" s="353">
        <v>0</v>
      </c>
      <c r="T486" s="353">
        <v>0</v>
      </c>
      <c r="U486" s="353">
        <v>0</v>
      </c>
      <c r="V486" s="353">
        <v>0</v>
      </c>
      <c r="W486" s="353">
        <v>0</v>
      </c>
    </row>
    <row r="487" spans="1:23" x14ac:dyDescent="0.25">
      <c r="A487" s="564" t="s">
        <v>1101</v>
      </c>
      <c r="B487" s="565">
        <v>35</v>
      </c>
      <c r="C487" s="569">
        <v>45161</v>
      </c>
      <c r="D487" s="566" t="s">
        <v>1103</v>
      </c>
      <c r="E487" s="567">
        <v>6311</v>
      </c>
      <c r="F487" s="567">
        <v>6</v>
      </c>
      <c r="G487" s="429" t="s">
        <v>322</v>
      </c>
      <c r="H487" s="381" t="s">
        <v>1104</v>
      </c>
      <c r="I487" s="381" t="s">
        <v>393</v>
      </c>
      <c r="J487" s="568">
        <v>150000</v>
      </c>
      <c r="K487" s="353" t="s">
        <v>394</v>
      </c>
      <c r="L487" s="353">
        <v>2801.6</v>
      </c>
      <c r="M487" s="560">
        <f t="shared" si="26"/>
        <v>53.540833809251858</v>
      </c>
      <c r="N487" s="354" t="s">
        <v>395</v>
      </c>
      <c r="O487" s="354">
        <v>0</v>
      </c>
      <c r="P487" s="355" t="s">
        <v>396</v>
      </c>
      <c r="Q487" s="354" t="s">
        <v>345</v>
      </c>
      <c r="R487" s="353">
        <v>0</v>
      </c>
      <c r="S487" s="353">
        <v>0</v>
      </c>
      <c r="T487" s="353">
        <v>0</v>
      </c>
      <c r="U487" s="353">
        <v>0</v>
      </c>
      <c r="V487" s="353">
        <v>0</v>
      </c>
      <c r="W487" s="353">
        <v>0</v>
      </c>
    </row>
    <row r="488" spans="1:23" x14ac:dyDescent="0.25">
      <c r="A488" s="564" t="s">
        <v>1105</v>
      </c>
      <c r="B488" s="567">
        <v>51</v>
      </c>
      <c r="C488" s="569">
        <v>45161</v>
      </c>
      <c r="D488" s="570" t="s">
        <v>1106</v>
      </c>
      <c r="E488" s="567">
        <v>6171</v>
      </c>
      <c r="F488" s="567">
        <v>6</v>
      </c>
      <c r="G488" s="570" t="s">
        <v>327</v>
      </c>
      <c r="H488" s="569" t="s">
        <v>333</v>
      </c>
      <c r="I488" s="569" t="s">
        <v>393</v>
      </c>
      <c r="J488" s="571">
        <v>45000</v>
      </c>
      <c r="K488" s="353" t="s">
        <v>394</v>
      </c>
      <c r="L488" s="353">
        <v>2801.6</v>
      </c>
      <c r="M488" s="560">
        <f t="shared" si="26"/>
        <v>16.062250142775557</v>
      </c>
      <c r="N488" s="354" t="s">
        <v>395</v>
      </c>
      <c r="O488" s="354">
        <v>0</v>
      </c>
      <c r="P488" s="355" t="s">
        <v>396</v>
      </c>
      <c r="Q488" s="354" t="s">
        <v>345</v>
      </c>
      <c r="R488" s="353">
        <v>0</v>
      </c>
      <c r="S488" s="353">
        <v>0</v>
      </c>
      <c r="T488" s="353">
        <v>0</v>
      </c>
      <c r="U488" s="353">
        <v>0</v>
      </c>
      <c r="V488" s="353">
        <v>0</v>
      </c>
      <c r="W488" s="353">
        <v>0</v>
      </c>
    </row>
    <row r="489" spans="1:23" x14ac:dyDescent="0.25">
      <c r="A489" s="564" t="s">
        <v>1107</v>
      </c>
      <c r="B489" s="567">
        <v>48</v>
      </c>
      <c r="C489" s="569">
        <v>45161</v>
      </c>
      <c r="D489" s="570" t="s">
        <v>1106</v>
      </c>
      <c r="E489" s="567">
        <v>6176</v>
      </c>
      <c r="F489" s="567">
        <v>6</v>
      </c>
      <c r="G489" s="567" t="s">
        <v>328</v>
      </c>
      <c r="H489" s="564" t="s">
        <v>1108</v>
      </c>
      <c r="I489" s="569" t="s">
        <v>393</v>
      </c>
      <c r="J489" s="571">
        <v>27000</v>
      </c>
      <c r="K489" s="353" t="s">
        <v>394</v>
      </c>
      <c r="L489" s="353">
        <v>2801.6</v>
      </c>
      <c r="M489" s="560">
        <f t="shared" si="26"/>
        <v>9.637350085665334</v>
      </c>
      <c r="N489" s="354" t="s">
        <v>395</v>
      </c>
      <c r="O489" s="354">
        <v>0</v>
      </c>
      <c r="P489" s="355" t="s">
        <v>396</v>
      </c>
      <c r="Q489" s="354" t="s">
        <v>345</v>
      </c>
      <c r="R489" s="353">
        <v>0</v>
      </c>
      <c r="S489" s="353">
        <v>0</v>
      </c>
      <c r="T489" s="353">
        <v>0</v>
      </c>
      <c r="U489" s="353">
        <v>0</v>
      </c>
      <c r="V489" s="353">
        <v>0</v>
      </c>
      <c r="W489" s="353">
        <v>0</v>
      </c>
    </row>
    <row r="490" spans="1:23" x14ac:dyDescent="0.25">
      <c r="A490" s="564" t="s">
        <v>1107</v>
      </c>
      <c r="B490" s="567">
        <v>48</v>
      </c>
      <c r="C490" s="569">
        <v>45161</v>
      </c>
      <c r="D490" s="570" t="s">
        <v>1106</v>
      </c>
      <c r="E490" s="567">
        <v>6176</v>
      </c>
      <c r="F490" s="567">
        <v>6</v>
      </c>
      <c r="G490" s="567" t="s">
        <v>324</v>
      </c>
      <c r="H490" s="564" t="s">
        <v>1109</v>
      </c>
      <c r="I490" s="564" t="s">
        <v>393</v>
      </c>
      <c r="J490" s="571">
        <v>90000</v>
      </c>
      <c r="K490" s="353" t="s">
        <v>394</v>
      </c>
      <c r="L490" s="353">
        <v>2801.6</v>
      </c>
      <c r="M490" s="560">
        <f t="shared" si="26"/>
        <v>32.124500285551115</v>
      </c>
      <c r="N490" s="354" t="s">
        <v>395</v>
      </c>
      <c r="O490" s="354">
        <v>0</v>
      </c>
      <c r="P490" s="355" t="s">
        <v>396</v>
      </c>
      <c r="Q490" s="354" t="s">
        <v>345</v>
      </c>
      <c r="R490" s="353">
        <v>0</v>
      </c>
      <c r="S490" s="353">
        <v>0</v>
      </c>
      <c r="T490" s="353">
        <v>0</v>
      </c>
      <c r="U490" s="353">
        <v>0</v>
      </c>
      <c r="V490" s="353">
        <v>0</v>
      </c>
      <c r="W490" s="353">
        <v>0</v>
      </c>
    </row>
    <row r="491" spans="1:23" x14ac:dyDescent="0.25">
      <c r="A491" s="564" t="s">
        <v>1110</v>
      </c>
      <c r="B491" s="567">
        <v>52</v>
      </c>
      <c r="C491" s="569">
        <v>45161</v>
      </c>
      <c r="D491" s="567" t="s">
        <v>1111</v>
      </c>
      <c r="E491" s="567">
        <v>6171</v>
      </c>
      <c r="F491" s="567">
        <v>6</v>
      </c>
      <c r="G491" s="567" t="s">
        <v>327</v>
      </c>
      <c r="H491" s="564" t="s">
        <v>333</v>
      </c>
      <c r="I491" s="564" t="s">
        <v>393</v>
      </c>
      <c r="J491" s="572">
        <v>45000</v>
      </c>
      <c r="K491" s="353" t="s">
        <v>394</v>
      </c>
      <c r="L491" s="353">
        <v>2801.6</v>
      </c>
      <c r="M491" s="560">
        <f t="shared" si="26"/>
        <v>16.062250142775557</v>
      </c>
      <c r="N491" s="354" t="s">
        <v>395</v>
      </c>
      <c r="O491" s="354">
        <v>0</v>
      </c>
      <c r="P491" s="355" t="s">
        <v>396</v>
      </c>
      <c r="Q491" s="354" t="s">
        <v>345</v>
      </c>
      <c r="R491" s="353">
        <v>0</v>
      </c>
      <c r="S491" s="353">
        <v>0</v>
      </c>
      <c r="T491" s="353">
        <v>0</v>
      </c>
      <c r="U491" s="353">
        <v>0</v>
      </c>
      <c r="V491" s="353">
        <v>0</v>
      </c>
      <c r="W491" s="353">
        <v>0</v>
      </c>
    </row>
    <row r="492" spans="1:23" x14ac:dyDescent="0.25">
      <c r="A492" s="564" t="s">
        <v>1112</v>
      </c>
      <c r="B492" s="567">
        <v>54</v>
      </c>
      <c r="C492" s="569">
        <v>45161</v>
      </c>
      <c r="D492" s="567" t="s">
        <v>1111</v>
      </c>
      <c r="E492" s="567">
        <v>6311</v>
      </c>
      <c r="F492" s="567">
        <v>6</v>
      </c>
      <c r="G492" s="567" t="s">
        <v>322</v>
      </c>
      <c r="H492" s="381" t="s">
        <v>1104</v>
      </c>
      <c r="I492" s="564" t="s">
        <v>393</v>
      </c>
      <c r="J492" s="568">
        <v>150000</v>
      </c>
      <c r="K492" s="353" t="s">
        <v>394</v>
      </c>
      <c r="L492" s="353">
        <v>2801.6</v>
      </c>
      <c r="M492" s="560">
        <f t="shared" si="26"/>
        <v>53.540833809251858</v>
      </c>
      <c r="N492" s="354" t="s">
        <v>395</v>
      </c>
      <c r="O492" s="354">
        <v>0</v>
      </c>
      <c r="P492" s="355" t="s">
        <v>396</v>
      </c>
      <c r="Q492" s="354" t="s">
        <v>345</v>
      </c>
      <c r="R492" s="353">
        <v>0</v>
      </c>
      <c r="S492" s="353">
        <v>0</v>
      </c>
      <c r="T492" s="353">
        <v>0</v>
      </c>
      <c r="U492" s="353">
        <v>0</v>
      </c>
      <c r="V492" s="353">
        <v>0</v>
      </c>
      <c r="W492" s="353">
        <v>0</v>
      </c>
    </row>
    <row r="493" spans="1:23" x14ac:dyDescent="0.25">
      <c r="A493" s="564" t="s">
        <v>1113</v>
      </c>
      <c r="B493" s="567">
        <v>59</v>
      </c>
      <c r="C493" s="569">
        <v>45161</v>
      </c>
      <c r="D493" s="570" t="s">
        <v>1114</v>
      </c>
      <c r="E493" s="567">
        <v>6341</v>
      </c>
      <c r="F493" s="567">
        <v>6</v>
      </c>
      <c r="G493" s="567" t="s">
        <v>325</v>
      </c>
      <c r="H493" s="564" t="s">
        <v>1115</v>
      </c>
      <c r="I493" s="564" t="s">
        <v>393</v>
      </c>
      <c r="J493" s="571">
        <v>31250</v>
      </c>
      <c r="K493" s="353" t="s">
        <v>394</v>
      </c>
      <c r="L493" s="353">
        <v>2801.6</v>
      </c>
      <c r="M493" s="560">
        <f t="shared" si="26"/>
        <v>11.15434037692747</v>
      </c>
      <c r="N493" s="354" t="s">
        <v>395</v>
      </c>
      <c r="O493" s="354">
        <v>0</v>
      </c>
      <c r="P493" s="355" t="s">
        <v>396</v>
      </c>
      <c r="Q493" s="354" t="s">
        <v>345</v>
      </c>
      <c r="R493" s="353">
        <v>0</v>
      </c>
      <c r="S493" s="353">
        <v>0</v>
      </c>
      <c r="T493" s="353">
        <v>0</v>
      </c>
      <c r="U493" s="353">
        <v>0</v>
      </c>
      <c r="V493" s="353">
        <v>0</v>
      </c>
      <c r="W493" s="353">
        <v>0</v>
      </c>
    </row>
    <row r="494" spans="1:23" x14ac:dyDescent="0.25">
      <c r="A494" s="564" t="s">
        <v>1116</v>
      </c>
      <c r="B494" s="567">
        <v>53</v>
      </c>
      <c r="C494" s="569">
        <v>45161</v>
      </c>
      <c r="D494" s="567" t="s">
        <v>1117</v>
      </c>
      <c r="E494" s="567">
        <v>421</v>
      </c>
      <c r="F494" s="567">
        <v>6</v>
      </c>
      <c r="G494" s="567" t="s">
        <v>300</v>
      </c>
      <c r="H494" s="564" t="s">
        <v>1118</v>
      </c>
      <c r="I494" s="564" t="s">
        <v>393</v>
      </c>
      <c r="J494" s="571">
        <v>295714</v>
      </c>
      <c r="K494" s="353" t="s">
        <v>394</v>
      </c>
      <c r="L494" s="353">
        <v>2801.6</v>
      </c>
      <c r="M494" s="560">
        <f t="shared" si="26"/>
        <v>105.55182752712736</v>
      </c>
      <c r="N494" s="354" t="s">
        <v>395</v>
      </c>
      <c r="O494" s="354">
        <v>0</v>
      </c>
      <c r="P494" s="355" t="s">
        <v>396</v>
      </c>
      <c r="Q494" s="354" t="s">
        <v>345</v>
      </c>
      <c r="R494" s="353">
        <v>0</v>
      </c>
      <c r="S494" s="353">
        <v>0</v>
      </c>
      <c r="T494" s="353">
        <v>0</v>
      </c>
      <c r="U494" s="353">
        <v>0</v>
      </c>
      <c r="V494" s="353">
        <v>0</v>
      </c>
      <c r="W494" s="353">
        <v>0</v>
      </c>
    </row>
    <row r="495" spans="1:23" x14ac:dyDescent="0.25">
      <c r="A495" s="564" t="s">
        <v>1119</v>
      </c>
      <c r="B495" s="567">
        <v>53</v>
      </c>
      <c r="C495" s="569">
        <v>45161</v>
      </c>
      <c r="D495" s="567" t="s">
        <v>1117</v>
      </c>
      <c r="E495" s="567">
        <v>421</v>
      </c>
      <c r="F495" s="567">
        <v>6</v>
      </c>
      <c r="G495" s="567" t="s">
        <v>301</v>
      </c>
      <c r="H495" s="564" t="s">
        <v>1120</v>
      </c>
      <c r="I495" s="564" t="s">
        <v>393</v>
      </c>
      <c r="J495" s="571">
        <v>1269897</v>
      </c>
      <c r="K495" s="353" t="s">
        <v>394</v>
      </c>
      <c r="L495" s="353">
        <v>2801.6</v>
      </c>
      <c r="M495" s="560">
        <f t="shared" si="26"/>
        <v>453.27562821245004</v>
      </c>
      <c r="N495" s="354" t="s">
        <v>395</v>
      </c>
      <c r="O495" s="354">
        <v>0</v>
      </c>
      <c r="P495" s="355" t="s">
        <v>396</v>
      </c>
      <c r="Q495" s="354" t="s">
        <v>345</v>
      </c>
      <c r="R495" s="353">
        <v>0</v>
      </c>
      <c r="S495" s="353">
        <v>0</v>
      </c>
      <c r="T495" s="353">
        <v>0</v>
      </c>
      <c r="U495" s="353">
        <v>0</v>
      </c>
      <c r="V495" s="353">
        <v>0</v>
      </c>
      <c r="W495" s="353">
        <v>0</v>
      </c>
    </row>
    <row r="496" spans="1:23" x14ac:dyDescent="0.25">
      <c r="A496" s="564" t="s">
        <v>1121</v>
      </c>
      <c r="B496" s="567">
        <v>53</v>
      </c>
      <c r="C496" s="569">
        <v>45161</v>
      </c>
      <c r="D496" s="567" t="s">
        <v>1117</v>
      </c>
      <c r="E496" s="567">
        <v>421</v>
      </c>
      <c r="F496" s="567">
        <v>6</v>
      </c>
      <c r="G496" s="567" t="s">
        <v>302</v>
      </c>
      <c r="H496" s="564" t="s">
        <v>1122</v>
      </c>
      <c r="I496" s="564" t="s">
        <v>393</v>
      </c>
      <c r="J496" s="571">
        <v>295714</v>
      </c>
      <c r="K496" s="353" t="s">
        <v>394</v>
      </c>
      <c r="L496" s="353">
        <v>2801.6</v>
      </c>
      <c r="M496" s="560">
        <f t="shared" si="26"/>
        <v>105.55182752712736</v>
      </c>
      <c r="N496" s="354" t="s">
        <v>395</v>
      </c>
      <c r="O496" s="354">
        <v>0</v>
      </c>
      <c r="P496" s="355" t="s">
        <v>396</v>
      </c>
      <c r="Q496" s="354" t="s">
        <v>345</v>
      </c>
      <c r="R496" s="353">
        <v>0</v>
      </c>
      <c r="S496" s="353">
        <v>0</v>
      </c>
      <c r="T496" s="353">
        <v>0</v>
      </c>
      <c r="U496" s="353">
        <v>0</v>
      </c>
      <c r="V496" s="353">
        <v>0</v>
      </c>
      <c r="W496" s="353">
        <v>0</v>
      </c>
    </row>
    <row r="497" spans="1:23" x14ac:dyDescent="0.25">
      <c r="A497" s="564" t="s">
        <v>1123</v>
      </c>
      <c r="B497" s="567">
        <v>53</v>
      </c>
      <c r="C497" s="569">
        <v>45161</v>
      </c>
      <c r="D497" s="567" t="s">
        <v>1117</v>
      </c>
      <c r="E497" s="567">
        <v>421</v>
      </c>
      <c r="F497" s="567">
        <v>6</v>
      </c>
      <c r="G497" s="567" t="s">
        <v>303</v>
      </c>
      <c r="H497" s="564" t="s">
        <v>1124</v>
      </c>
      <c r="I497" s="564" t="s">
        <v>393</v>
      </c>
      <c r="J497" s="571">
        <v>73458</v>
      </c>
      <c r="K497" s="353" t="s">
        <v>394</v>
      </c>
      <c r="L497" s="353">
        <v>2801.6</v>
      </c>
      <c r="M497" s="560">
        <f t="shared" si="26"/>
        <v>26.220017133066818</v>
      </c>
      <c r="N497" s="354" t="s">
        <v>395</v>
      </c>
      <c r="O497" s="354">
        <v>0</v>
      </c>
      <c r="P497" s="355" t="s">
        <v>396</v>
      </c>
      <c r="Q497" s="354" t="s">
        <v>345</v>
      </c>
      <c r="R497" s="353">
        <v>0</v>
      </c>
      <c r="S497" s="353">
        <v>0</v>
      </c>
      <c r="T497" s="353">
        <v>0</v>
      </c>
      <c r="U497" s="353">
        <v>0</v>
      </c>
      <c r="V497" s="353">
        <v>0</v>
      </c>
      <c r="W497" s="353">
        <v>0</v>
      </c>
    </row>
    <row r="498" spans="1:23" x14ac:dyDescent="0.25">
      <c r="A498" s="564" t="s">
        <v>1123</v>
      </c>
      <c r="B498" s="567">
        <v>53</v>
      </c>
      <c r="C498" s="569">
        <v>45161</v>
      </c>
      <c r="D498" s="567" t="s">
        <v>1117</v>
      </c>
      <c r="E498" s="567">
        <v>421</v>
      </c>
      <c r="F498" s="567">
        <v>6</v>
      </c>
      <c r="G498" s="567" t="s">
        <v>304</v>
      </c>
      <c r="H498" s="564" t="s">
        <v>1125</v>
      </c>
      <c r="I498" s="564" t="s">
        <v>393</v>
      </c>
      <c r="J498" s="571">
        <v>126698</v>
      </c>
      <c r="K498" s="353" t="s">
        <v>394</v>
      </c>
      <c r="L498" s="353">
        <v>2801.6</v>
      </c>
      <c r="M498" s="560">
        <f t="shared" si="26"/>
        <v>45.223443746430611</v>
      </c>
      <c r="N498" s="354" t="s">
        <v>395</v>
      </c>
      <c r="O498" s="354">
        <v>0</v>
      </c>
      <c r="P498" s="355" t="s">
        <v>396</v>
      </c>
      <c r="Q498" s="354" t="s">
        <v>345</v>
      </c>
      <c r="R498" s="353">
        <v>0</v>
      </c>
      <c r="S498" s="353">
        <v>0</v>
      </c>
      <c r="T498" s="353">
        <v>0</v>
      </c>
      <c r="U498" s="353">
        <v>0</v>
      </c>
      <c r="V498" s="353">
        <v>0</v>
      </c>
      <c r="W498" s="353">
        <v>0</v>
      </c>
    </row>
    <row r="499" spans="1:23" x14ac:dyDescent="0.25">
      <c r="A499" s="564" t="s">
        <v>1123</v>
      </c>
      <c r="B499" s="567">
        <v>53</v>
      </c>
      <c r="C499" s="569">
        <v>45161</v>
      </c>
      <c r="D499" s="567" t="s">
        <v>1117</v>
      </c>
      <c r="E499" s="567">
        <v>421</v>
      </c>
      <c r="F499" s="567">
        <v>6</v>
      </c>
      <c r="G499" s="567" t="s">
        <v>305</v>
      </c>
      <c r="H499" s="564" t="s">
        <v>1126</v>
      </c>
      <c r="I499" s="564" t="s">
        <v>393</v>
      </c>
      <c r="J499" s="571">
        <v>133769</v>
      </c>
      <c r="K499" s="353" t="s">
        <v>394</v>
      </c>
      <c r="L499" s="353">
        <v>2801.6</v>
      </c>
      <c r="M499" s="560">
        <f t="shared" si="26"/>
        <v>47.747358652198749</v>
      </c>
      <c r="N499" s="354" t="s">
        <v>395</v>
      </c>
      <c r="O499" s="354">
        <v>0</v>
      </c>
      <c r="P499" s="355" t="s">
        <v>396</v>
      </c>
      <c r="Q499" s="354" t="s">
        <v>345</v>
      </c>
      <c r="R499" s="353">
        <v>0</v>
      </c>
      <c r="S499" s="353">
        <v>0</v>
      </c>
      <c r="T499" s="353">
        <v>0</v>
      </c>
      <c r="U499" s="353">
        <v>0</v>
      </c>
      <c r="V499" s="353">
        <v>0</v>
      </c>
      <c r="W499" s="353">
        <v>0</v>
      </c>
    </row>
    <row r="500" spans="1:23" x14ac:dyDescent="0.25">
      <c r="A500" s="564" t="s">
        <v>1123</v>
      </c>
      <c r="B500" s="567">
        <v>53</v>
      </c>
      <c r="C500" s="569">
        <v>45161</v>
      </c>
      <c r="D500" s="567" t="s">
        <v>1117</v>
      </c>
      <c r="E500" s="567">
        <v>421</v>
      </c>
      <c r="F500" s="567">
        <v>6</v>
      </c>
      <c r="G500" s="567" t="s">
        <v>323</v>
      </c>
      <c r="H500" s="564" t="s">
        <v>1127</v>
      </c>
      <c r="I500" s="564" t="s">
        <v>393</v>
      </c>
      <c r="J500" s="571">
        <v>26422</v>
      </c>
      <c r="K500" s="353" t="s">
        <v>394</v>
      </c>
      <c r="L500" s="353">
        <v>2801.6</v>
      </c>
      <c r="M500" s="560">
        <f t="shared" si="26"/>
        <v>9.4310394060536833</v>
      </c>
      <c r="N500" s="354" t="s">
        <v>395</v>
      </c>
      <c r="O500" s="354">
        <v>0</v>
      </c>
      <c r="P500" s="355" t="s">
        <v>396</v>
      </c>
      <c r="Q500" s="354" t="s">
        <v>345</v>
      </c>
      <c r="R500" s="353">
        <v>0</v>
      </c>
      <c r="S500" s="353">
        <v>0</v>
      </c>
      <c r="T500" s="353">
        <v>0</v>
      </c>
      <c r="U500" s="353">
        <v>0</v>
      </c>
      <c r="V500" s="353">
        <v>0</v>
      </c>
      <c r="W500" s="353">
        <v>0</v>
      </c>
    </row>
    <row r="501" spans="1:23" x14ac:dyDescent="0.25">
      <c r="A501" s="564" t="s">
        <v>1123</v>
      </c>
      <c r="B501" s="567">
        <v>53</v>
      </c>
      <c r="C501" s="569">
        <v>45161</v>
      </c>
      <c r="D501" s="567" t="s">
        <v>1117</v>
      </c>
      <c r="E501" s="567">
        <v>421</v>
      </c>
      <c r="F501" s="567">
        <v>6</v>
      </c>
      <c r="G501" s="567" t="s">
        <v>1128</v>
      </c>
      <c r="H501" s="564" t="s">
        <v>1129</v>
      </c>
      <c r="I501" s="564" t="s">
        <v>393</v>
      </c>
      <c r="J501" s="571">
        <v>150000</v>
      </c>
      <c r="K501" s="353" t="s">
        <v>394</v>
      </c>
      <c r="L501" s="353">
        <v>2801.6</v>
      </c>
      <c r="M501" s="560">
        <f t="shared" si="26"/>
        <v>53.540833809251858</v>
      </c>
      <c r="N501" s="354" t="s">
        <v>395</v>
      </c>
      <c r="O501" s="354">
        <v>0</v>
      </c>
      <c r="P501" s="355" t="s">
        <v>396</v>
      </c>
      <c r="Q501" s="354" t="s">
        <v>345</v>
      </c>
      <c r="R501" s="353">
        <v>0</v>
      </c>
      <c r="S501" s="353">
        <v>0</v>
      </c>
      <c r="T501" s="353">
        <v>0</v>
      </c>
      <c r="U501" s="353">
        <v>0</v>
      </c>
      <c r="V501" s="353">
        <v>0</v>
      </c>
      <c r="W501" s="353">
        <v>0</v>
      </c>
    </row>
    <row r="502" spans="1:23" x14ac:dyDescent="0.25">
      <c r="A502" s="564" t="s">
        <v>1130</v>
      </c>
      <c r="B502" s="567">
        <v>57</v>
      </c>
      <c r="C502" s="569">
        <v>45161</v>
      </c>
      <c r="D502" s="567" t="s">
        <v>1114</v>
      </c>
      <c r="E502" s="567">
        <v>6176</v>
      </c>
      <c r="F502" s="567">
        <v>6</v>
      </c>
      <c r="G502" s="567" t="s">
        <v>325</v>
      </c>
      <c r="H502" s="564" t="s">
        <v>1131</v>
      </c>
      <c r="I502" s="564" t="s">
        <v>393</v>
      </c>
      <c r="J502" s="571">
        <v>96000</v>
      </c>
      <c r="K502" s="353" t="s">
        <v>394</v>
      </c>
      <c r="L502" s="353">
        <v>2801.6</v>
      </c>
      <c r="M502" s="560">
        <f t="shared" si="26"/>
        <v>34.266133637921186</v>
      </c>
      <c r="N502" s="354" t="s">
        <v>395</v>
      </c>
      <c r="O502" s="354">
        <v>0</v>
      </c>
      <c r="P502" s="355" t="s">
        <v>396</v>
      </c>
      <c r="Q502" s="354" t="s">
        <v>345</v>
      </c>
      <c r="R502" s="353">
        <v>0</v>
      </c>
      <c r="S502" s="353">
        <v>0</v>
      </c>
      <c r="T502" s="353">
        <v>0</v>
      </c>
      <c r="U502" s="353">
        <v>0</v>
      </c>
      <c r="V502" s="353">
        <v>0</v>
      </c>
      <c r="W502" s="353">
        <v>0</v>
      </c>
    </row>
    <row r="503" spans="1:23" x14ac:dyDescent="0.25">
      <c r="A503" s="348" t="s">
        <v>1132</v>
      </c>
      <c r="B503" s="436">
        <v>38</v>
      </c>
      <c r="C503" s="569">
        <v>45161</v>
      </c>
      <c r="D503" s="351" t="s">
        <v>1037</v>
      </c>
      <c r="E503" s="352">
        <v>4325</v>
      </c>
      <c r="F503" s="352">
        <v>6</v>
      </c>
      <c r="G503" s="429" t="s">
        <v>300</v>
      </c>
      <c r="H503" s="350" t="s">
        <v>1133</v>
      </c>
      <c r="I503" s="350" t="s">
        <v>393</v>
      </c>
      <c r="J503" s="556">
        <v>4285.5</v>
      </c>
      <c r="K503" s="353" t="s">
        <v>394</v>
      </c>
      <c r="L503" s="353">
        <v>2801.6</v>
      </c>
      <c r="M503" s="560">
        <f t="shared" si="26"/>
        <v>1.5296616219303256</v>
      </c>
      <c r="N503" s="354" t="s">
        <v>395</v>
      </c>
      <c r="O503" s="354">
        <v>0</v>
      </c>
      <c r="P503" s="355" t="s">
        <v>396</v>
      </c>
      <c r="Q503" s="354" t="s">
        <v>345</v>
      </c>
      <c r="R503" s="353">
        <v>0</v>
      </c>
      <c r="S503" s="353">
        <v>0</v>
      </c>
      <c r="T503" s="353">
        <v>0</v>
      </c>
      <c r="U503" s="353">
        <v>0</v>
      </c>
      <c r="V503" s="353">
        <v>0</v>
      </c>
      <c r="W503" s="353">
        <v>0</v>
      </c>
    </row>
    <row r="504" spans="1:23" x14ac:dyDescent="0.25">
      <c r="A504" s="348" t="s">
        <v>1132</v>
      </c>
      <c r="B504" s="436">
        <v>38</v>
      </c>
      <c r="C504" s="569">
        <v>45161</v>
      </c>
      <c r="D504" s="351" t="s">
        <v>1037</v>
      </c>
      <c r="E504" s="352">
        <v>4325</v>
      </c>
      <c r="F504" s="352">
        <v>6</v>
      </c>
      <c r="G504" s="429" t="s">
        <v>301</v>
      </c>
      <c r="H504" s="350" t="s">
        <v>1134</v>
      </c>
      <c r="I504" s="350" t="s">
        <v>393</v>
      </c>
      <c r="J504" s="556">
        <v>187012</v>
      </c>
      <c r="K504" s="353" t="s">
        <v>394</v>
      </c>
      <c r="L504" s="353">
        <v>2801.6</v>
      </c>
      <c r="M504" s="560">
        <f t="shared" si="26"/>
        <v>66.751856082238717</v>
      </c>
      <c r="N504" s="354" t="s">
        <v>395</v>
      </c>
      <c r="O504" s="354">
        <v>0</v>
      </c>
      <c r="P504" s="355" t="s">
        <v>396</v>
      </c>
      <c r="Q504" s="354" t="s">
        <v>345</v>
      </c>
      <c r="R504" s="353">
        <v>0</v>
      </c>
      <c r="S504" s="353">
        <v>0</v>
      </c>
      <c r="T504" s="353">
        <v>0</v>
      </c>
      <c r="U504" s="353">
        <v>0</v>
      </c>
      <c r="V504" s="353">
        <v>0</v>
      </c>
      <c r="W504" s="353">
        <v>0</v>
      </c>
    </row>
    <row r="505" spans="1:23" x14ac:dyDescent="0.25">
      <c r="A505" s="348" t="s">
        <v>1132</v>
      </c>
      <c r="B505" s="436">
        <v>38</v>
      </c>
      <c r="C505" s="569">
        <v>45161</v>
      </c>
      <c r="D505" s="351" t="s">
        <v>1037</v>
      </c>
      <c r="E505" s="352">
        <v>4325</v>
      </c>
      <c r="F505" s="352">
        <v>6</v>
      </c>
      <c r="G505" s="429" t="s">
        <v>302</v>
      </c>
      <c r="H505" s="350" t="s">
        <v>1135</v>
      </c>
      <c r="I505" s="350" t="s">
        <v>393</v>
      </c>
      <c r="J505" s="556">
        <v>4285.5</v>
      </c>
      <c r="K505" s="353" t="s">
        <v>394</v>
      </c>
      <c r="L505" s="353">
        <v>2801.6</v>
      </c>
      <c r="M505" s="560">
        <f t="shared" si="26"/>
        <v>1.5296616219303256</v>
      </c>
      <c r="N505" s="354" t="s">
        <v>395</v>
      </c>
      <c r="O505" s="354">
        <v>0</v>
      </c>
      <c r="P505" s="355" t="s">
        <v>396</v>
      </c>
      <c r="Q505" s="354" t="s">
        <v>345</v>
      </c>
      <c r="R505" s="353">
        <v>0</v>
      </c>
      <c r="S505" s="353">
        <v>0</v>
      </c>
      <c r="T505" s="353">
        <v>0</v>
      </c>
      <c r="U505" s="353">
        <v>0</v>
      </c>
      <c r="V505" s="353">
        <v>0</v>
      </c>
      <c r="W505" s="353">
        <v>0</v>
      </c>
    </row>
    <row r="506" spans="1:23" x14ac:dyDescent="0.25">
      <c r="A506" s="348" t="s">
        <v>1136</v>
      </c>
      <c r="B506" s="436">
        <v>77</v>
      </c>
      <c r="C506" s="380">
        <v>45192</v>
      </c>
      <c r="D506" s="351" t="s">
        <v>1138</v>
      </c>
      <c r="E506" s="352">
        <v>6311</v>
      </c>
      <c r="F506" s="352">
        <v>6</v>
      </c>
      <c r="G506" s="429" t="s">
        <v>322</v>
      </c>
      <c r="H506" s="350" t="s">
        <v>1139</v>
      </c>
      <c r="I506" s="350" t="s">
        <v>393</v>
      </c>
      <c r="J506" s="556">
        <v>150000</v>
      </c>
      <c r="K506" s="353" t="s">
        <v>394</v>
      </c>
      <c r="L506" s="353">
        <v>2801.6</v>
      </c>
      <c r="M506" s="560">
        <f t="shared" si="26"/>
        <v>53.540833809251858</v>
      </c>
      <c r="N506" s="354" t="s">
        <v>395</v>
      </c>
      <c r="O506" s="354">
        <v>0</v>
      </c>
      <c r="P506" s="355" t="s">
        <v>396</v>
      </c>
      <c r="Q506" s="354" t="s">
        <v>345</v>
      </c>
      <c r="R506" s="353">
        <v>0</v>
      </c>
      <c r="S506" s="353">
        <v>0</v>
      </c>
      <c r="T506" s="353">
        <v>0</v>
      </c>
      <c r="U506" s="353">
        <v>0</v>
      </c>
      <c r="V506" s="353">
        <v>0</v>
      </c>
      <c r="W506" s="353">
        <v>0</v>
      </c>
    </row>
    <row r="507" spans="1:23" x14ac:dyDescent="0.25">
      <c r="A507" s="353" t="s">
        <v>1140</v>
      </c>
      <c r="B507" s="436">
        <v>75</v>
      </c>
      <c r="C507" s="380">
        <v>45192</v>
      </c>
      <c r="D507" s="351" t="s">
        <v>1138</v>
      </c>
      <c r="E507" s="352">
        <v>6176</v>
      </c>
      <c r="F507" s="352">
        <v>6</v>
      </c>
      <c r="G507" s="429" t="s">
        <v>328</v>
      </c>
      <c r="H507" s="350" t="s">
        <v>1141</v>
      </c>
      <c r="I507" s="350" t="s">
        <v>393</v>
      </c>
      <c r="J507" s="556">
        <v>27000</v>
      </c>
      <c r="K507" s="353" t="s">
        <v>394</v>
      </c>
      <c r="L507" s="353">
        <v>2801.6</v>
      </c>
      <c r="M507" s="560">
        <f t="shared" si="26"/>
        <v>9.637350085665334</v>
      </c>
      <c r="N507" s="354" t="s">
        <v>395</v>
      </c>
      <c r="O507" s="354">
        <v>0</v>
      </c>
      <c r="P507" s="355" t="s">
        <v>396</v>
      </c>
      <c r="Q507" s="354" t="s">
        <v>345</v>
      </c>
      <c r="R507" s="353">
        <v>0</v>
      </c>
      <c r="S507" s="353">
        <v>0</v>
      </c>
      <c r="T507" s="353">
        <v>0</v>
      </c>
      <c r="U507" s="353">
        <v>0</v>
      </c>
      <c r="V507" s="353">
        <v>0</v>
      </c>
      <c r="W507" s="353">
        <v>0</v>
      </c>
    </row>
    <row r="508" spans="1:23" x14ac:dyDescent="0.25">
      <c r="A508" s="353" t="s">
        <v>1140</v>
      </c>
      <c r="B508" s="436">
        <v>75</v>
      </c>
      <c r="C508" s="380">
        <v>45192</v>
      </c>
      <c r="D508" s="351" t="s">
        <v>1138</v>
      </c>
      <c r="E508" s="352">
        <v>6176</v>
      </c>
      <c r="F508" s="352">
        <v>6</v>
      </c>
      <c r="G508" s="429" t="s">
        <v>324</v>
      </c>
      <c r="H508" s="350" t="s">
        <v>1142</v>
      </c>
      <c r="I508" s="350" t="s">
        <v>393</v>
      </c>
      <c r="J508" s="556">
        <v>90000</v>
      </c>
      <c r="K508" s="353" t="s">
        <v>394</v>
      </c>
      <c r="L508" s="353">
        <v>2801.6</v>
      </c>
      <c r="M508" s="560">
        <f t="shared" si="26"/>
        <v>32.124500285551115</v>
      </c>
      <c r="N508" s="354" t="s">
        <v>395</v>
      </c>
      <c r="O508" s="354">
        <v>0</v>
      </c>
      <c r="P508" s="355" t="s">
        <v>396</v>
      </c>
      <c r="Q508" s="354" t="s">
        <v>345</v>
      </c>
      <c r="R508" s="353">
        <v>0</v>
      </c>
      <c r="S508" s="353">
        <v>0</v>
      </c>
      <c r="T508" s="353">
        <v>0</v>
      </c>
      <c r="U508" s="353">
        <v>0</v>
      </c>
      <c r="V508" s="353">
        <v>0</v>
      </c>
      <c r="W508" s="353">
        <v>0</v>
      </c>
    </row>
    <row r="509" spans="1:23" x14ac:dyDescent="0.25">
      <c r="A509" s="353" t="s">
        <v>1143</v>
      </c>
      <c r="B509" s="436">
        <v>80</v>
      </c>
      <c r="C509" s="380">
        <v>45192</v>
      </c>
      <c r="D509" s="351" t="s">
        <v>1138</v>
      </c>
      <c r="E509" s="352">
        <v>6176</v>
      </c>
      <c r="F509" s="352">
        <v>6</v>
      </c>
      <c r="G509" s="429" t="s">
        <v>325</v>
      </c>
      <c r="H509" s="350" t="s">
        <v>326</v>
      </c>
      <c r="I509" s="350" t="s">
        <v>393</v>
      </c>
      <c r="J509" s="556">
        <v>98000</v>
      </c>
      <c r="K509" s="353" t="s">
        <v>394</v>
      </c>
      <c r="L509" s="353">
        <v>2801.6</v>
      </c>
      <c r="M509" s="560">
        <f t="shared" si="26"/>
        <v>34.980011422044548</v>
      </c>
      <c r="N509" s="354" t="s">
        <v>395</v>
      </c>
      <c r="O509" s="354">
        <v>0</v>
      </c>
      <c r="P509" s="355" t="s">
        <v>396</v>
      </c>
      <c r="Q509" s="354" t="s">
        <v>345</v>
      </c>
      <c r="R509" s="353">
        <v>0</v>
      </c>
      <c r="S509" s="353">
        <v>0</v>
      </c>
      <c r="T509" s="353">
        <v>0</v>
      </c>
      <c r="U509" s="353">
        <v>0</v>
      </c>
      <c r="V509" s="353">
        <v>0</v>
      </c>
      <c r="W509" s="353">
        <v>0</v>
      </c>
    </row>
    <row r="510" spans="1:23" x14ac:dyDescent="0.25">
      <c r="A510" s="348" t="s">
        <v>1144</v>
      </c>
      <c r="B510" s="436">
        <v>76</v>
      </c>
      <c r="C510" s="380">
        <v>45192</v>
      </c>
      <c r="D510" s="351" t="s">
        <v>1138</v>
      </c>
      <c r="E510" s="352">
        <v>6176</v>
      </c>
      <c r="F510" s="352">
        <v>6</v>
      </c>
      <c r="G510" s="429" t="s">
        <v>327</v>
      </c>
      <c r="H510" s="353" t="s">
        <v>333</v>
      </c>
      <c r="I510" s="350" t="s">
        <v>393</v>
      </c>
      <c r="J510" s="353">
        <v>45000</v>
      </c>
      <c r="K510" s="353" t="s">
        <v>394</v>
      </c>
      <c r="L510" s="353">
        <v>2801.6</v>
      </c>
      <c r="M510" s="560">
        <f t="shared" si="26"/>
        <v>16.062250142775557</v>
      </c>
      <c r="N510" s="354" t="s">
        <v>395</v>
      </c>
      <c r="O510" s="354">
        <v>0</v>
      </c>
      <c r="P510" s="355" t="s">
        <v>396</v>
      </c>
      <c r="Q510" s="354" t="s">
        <v>345</v>
      </c>
      <c r="R510" s="353">
        <v>0</v>
      </c>
      <c r="S510" s="353">
        <v>0</v>
      </c>
      <c r="T510" s="353">
        <v>0</v>
      </c>
      <c r="U510" s="353">
        <v>0</v>
      </c>
      <c r="V510" s="353">
        <v>0</v>
      </c>
      <c r="W510" s="353">
        <v>0</v>
      </c>
    </row>
    <row r="511" spans="1:23" x14ac:dyDescent="0.25">
      <c r="A511" s="348" t="s">
        <v>1145</v>
      </c>
      <c r="B511" s="436">
        <v>70</v>
      </c>
      <c r="C511" s="380">
        <v>45192</v>
      </c>
      <c r="D511" s="351" t="s">
        <v>1146</v>
      </c>
      <c r="E511" s="352">
        <v>421</v>
      </c>
      <c r="F511" s="352">
        <v>6</v>
      </c>
      <c r="G511" s="429" t="s">
        <v>300</v>
      </c>
      <c r="H511" s="564" t="s">
        <v>1147</v>
      </c>
      <c r="I511" s="350" t="s">
        <v>393</v>
      </c>
      <c r="J511" s="556">
        <v>295714</v>
      </c>
      <c r="K511" s="353" t="s">
        <v>394</v>
      </c>
      <c r="L511" s="353">
        <v>2801.6</v>
      </c>
      <c r="M511" s="560">
        <f t="shared" si="26"/>
        <v>105.55182752712736</v>
      </c>
      <c r="N511" s="354" t="s">
        <v>395</v>
      </c>
      <c r="O511" s="354">
        <v>0</v>
      </c>
      <c r="P511" s="355" t="s">
        <v>396</v>
      </c>
      <c r="Q511" s="354" t="s">
        <v>345</v>
      </c>
      <c r="R511" s="353">
        <v>0</v>
      </c>
      <c r="S511" s="353">
        <v>0</v>
      </c>
      <c r="T511" s="353">
        <v>0</v>
      </c>
      <c r="U511" s="353">
        <v>0</v>
      </c>
      <c r="V511" s="353">
        <v>0</v>
      </c>
      <c r="W511" s="353">
        <v>0</v>
      </c>
    </row>
    <row r="512" spans="1:23" x14ac:dyDescent="0.25">
      <c r="A512" s="348" t="s">
        <v>1145</v>
      </c>
      <c r="B512" s="436">
        <v>70</v>
      </c>
      <c r="C512" s="380">
        <v>45192</v>
      </c>
      <c r="D512" s="351" t="s">
        <v>1146</v>
      </c>
      <c r="E512" s="352">
        <v>421</v>
      </c>
      <c r="F512" s="352">
        <v>6</v>
      </c>
      <c r="G512" s="429" t="s">
        <v>301</v>
      </c>
      <c r="H512" s="564" t="s">
        <v>1148</v>
      </c>
      <c r="I512" s="350" t="s">
        <v>393</v>
      </c>
      <c r="J512" s="556">
        <v>1299897</v>
      </c>
      <c r="K512" s="353" t="s">
        <v>394</v>
      </c>
      <c r="L512" s="353">
        <v>2801.6</v>
      </c>
      <c r="M512" s="560">
        <f t="shared" si="26"/>
        <v>463.98379497430039</v>
      </c>
      <c r="N512" s="354" t="s">
        <v>395</v>
      </c>
      <c r="O512" s="354">
        <v>0</v>
      </c>
      <c r="P512" s="355" t="s">
        <v>396</v>
      </c>
      <c r="Q512" s="354" t="s">
        <v>345</v>
      </c>
      <c r="R512" s="353">
        <v>0</v>
      </c>
      <c r="S512" s="353">
        <v>0</v>
      </c>
      <c r="T512" s="353">
        <v>0</v>
      </c>
      <c r="U512" s="353">
        <v>0</v>
      </c>
      <c r="V512" s="353">
        <v>0</v>
      </c>
      <c r="W512" s="353">
        <v>0</v>
      </c>
    </row>
    <row r="513" spans="1:23" x14ac:dyDescent="0.25">
      <c r="A513" s="348" t="s">
        <v>1145</v>
      </c>
      <c r="B513" s="436">
        <v>70</v>
      </c>
      <c r="C513" s="380">
        <v>45192</v>
      </c>
      <c r="D513" s="351" t="s">
        <v>1146</v>
      </c>
      <c r="E513" s="352">
        <v>421</v>
      </c>
      <c r="F513" s="352">
        <v>6</v>
      </c>
      <c r="G513" s="429" t="s">
        <v>302</v>
      </c>
      <c r="H513" s="564" t="s">
        <v>1149</v>
      </c>
      <c r="I513" s="350" t="s">
        <v>393</v>
      </c>
      <c r="J513" s="556">
        <v>295714</v>
      </c>
      <c r="K513" s="353" t="s">
        <v>394</v>
      </c>
      <c r="L513" s="353">
        <v>2801.6</v>
      </c>
      <c r="M513" s="560">
        <f t="shared" si="26"/>
        <v>105.55182752712736</v>
      </c>
      <c r="N513" s="354" t="s">
        <v>395</v>
      </c>
      <c r="O513" s="354">
        <v>0</v>
      </c>
      <c r="P513" s="355" t="s">
        <v>396</v>
      </c>
      <c r="Q513" s="354" t="s">
        <v>345</v>
      </c>
      <c r="R513" s="353">
        <v>0</v>
      </c>
      <c r="S513" s="353">
        <v>0</v>
      </c>
      <c r="T513" s="353">
        <v>0</v>
      </c>
      <c r="U513" s="353">
        <v>0</v>
      </c>
      <c r="V513" s="353">
        <v>0</v>
      </c>
      <c r="W513" s="353">
        <v>0</v>
      </c>
    </row>
    <row r="514" spans="1:23" x14ac:dyDescent="0.25">
      <c r="A514" s="348" t="s">
        <v>1145</v>
      </c>
      <c r="B514" s="436">
        <v>70</v>
      </c>
      <c r="C514" s="380">
        <v>45192</v>
      </c>
      <c r="D514" s="351" t="s">
        <v>1146</v>
      </c>
      <c r="E514" s="352">
        <v>421</v>
      </c>
      <c r="F514" s="352">
        <v>6</v>
      </c>
      <c r="G514" s="429" t="s">
        <v>303</v>
      </c>
      <c r="H514" s="564" t="s">
        <v>1150</v>
      </c>
      <c r="I514" s="350" t="s">
        <v>393</v>
      </c>
      <c r="J514" s="556">
        <v>73458</v>
      </c>
      <c r="K514" s="353" t="s">
        <v>394</v>
      </c>
      <c r="L514" s="353">
        <v>2801.6</v>
      </c>
      <c r="M514" s="560">
        <f t="shared" si="26"/>
        <v>26.220017133066818</v>
      </c>
      <c r="N514" s="354" t="s">
        <v>395</v>
      </c>
      <c r="O514" s="354">
        <v>0</v>
      </c>
      <c r="P514" s="355" t="s">
        <v>396</v>
      </c>
      <c r="Q514" s="354" t="s">
        <v>345</v>
      </c>
      <c r="R514" s="353">
        <v>0</v>
      </c>
      <c r="S514" s="353">
        <v>0</v>
      </c>
      <c r="T514" s="353">
        <v>0</v>
      </c>
      <c r="U514" s="353">
        <v>0</v>
      </c>
      <c r="V514" s="353">
        <v>0</v>
      </c>
      <c r="W514" s="353">
        <v>0</v>
      </c>
    </row>
    <row r="515" spans="1:23" x14ac:dyDescent="0.25">
      <c r="A515" s="348" t="s">
        <v>1145</v>
      </c>
      <c r="B515" s="436">
        <v>70</v>
      </c>
      <c r="C515" s="380">
        <v>45192</v>
      </c>
      <c r="D515" s="351" t="s">
        <v>1146</v>
      </c>
      <c r="E515" s="352">
        <v>421</v>
      </c>
      <c r="F515" s="352">
        <v>6</v>
      </c>
      <c r="G515" s="429" t="s">
        <v>304</v>
      </c>
      <c r="H515" s="564" t="s">
        <v>1151</v>
      </c>
      <c r="I515" s="350" t="s">
        <v>393</v>
      </c>
      <c r="J515" s="556">
        <v>126698</v>
      </c>
      <c r="K515" s="353" t="s">
        <v>394</v>
      </c>
      <c r="L515" s="353">
        <v>2801.6</v>
      </c>
      <c r="M515" s="560">
        <f t="shared" si="26"/>
        <v>45.223443746430611</v>
      </c>
      <c r="N515" s="354" t="s">
        <v>395</v>
      </c>
      <c r="O515" s="354">
        <v>0</v>
      </c>
      <c r="P515" s="355" t="s">
        <v>396</v>
      </c>
      <c r="Q515" s="354" t="s">
        <v>345</v>
      </c>
      <c r="R515" s="353">
        <v>0</v>
      </c>
      <c r="S515" s="353">
        <v>0</v>
      </c>
      <c r="T515" s="353">
        <v>0</v>
      </c>
      <c r="U515" s="353">
        <v>0</v>
      </c>
      <c r="V515" s="353">
        <v>0</v>
      </c>
      <c r="W515" s="353">
        <v>0</v>
      </c>
    </row>
    <row r="516" spans="1:23" x14ac:dyDescent="0.25">
      <c r="A516" s="348" t="s">
        <v>1145</v>
      </c>
      <c r="B516" s="436">
        <v>70</v>
      </c>
      <c r="C516" s="380">
        <v>45192</v>
      </c>
      <c r="D516" s="351" t="s">
        <v>1146</v>
      </c>
      <c r="E516" s="352">
        <v>421</v>
      </c>
      <c r="F516" s="352">
        <v>6</v>
      </c>
      <c r="G516" s="429" t="s">
        <v>305</v>
      </c>
      <c r="H516" s="564" t="s">
        <v>1152</v>
      </c>
      <c r="I516" s="350" t="s">
        <v>393</v>
      </c>
      <c r="J516" s="556">
        <v>26422</v>
      </c>
      <c r="K516" s="353" t="s">
        <v>394</v>
      </c>
      <c r="L516" s="353">
        <v>2801.6</v>
      </c>
      <c r="M516" s="560">
        <f t="shared" si="26"/>
        <v>9.4310394060536833</v>
      </c>
      <c r="N516" s="354" t="s">
        <v>395</v>
      </c>
      <c r="O516" s="354">
        <v>0</v>
      </c>
      <c r="P516" s="355" t="s">
        <v>396</v>
      </c>
      <c r="Q516" s="354" t="s">
        <v>345</v>
      </c>
      <c r="R516" s="353">
        <v>0</v>
      </c>
      <c r="S516" s="353">
        <v>0</v>
      </c>
      <c r="T516" s="353">
        <v>0</v>
      </c>
      <c r="U516" s="353">
        <v>0</v>
      </c>
      <c r="V516" s="353">
        <v>0</v>
      </c>
      <c r="W516" s="353">
        <v>0</v>
      </c>
    </row>
    <row r="517" spans="1:23" x14ac:dyDescent="0.25">
      <c r="A517" s="348" t="s">
        <v>1145</v>
      </c>
      <c r="B517" s="436">
        <v>70</v>
      </c>
      <c r="C517" s="380">
        <v>45192</v>
      </c>
      <c r="D517" s="351" t="s">
        <v>1146</v>
      </c>
      <c r="E517" s="352">
        <v>421</v>
      </c>
      <c r="F517" s="352">
        <v>6</v>
      </c>
      <c r="G517" s="429" t="s">
        <v>323</v>
      </c>
      <c r="H517" s="564" t="s">
        <v>1153</v>
      </c>
      <c r="I517" s="350" t="s">
        <v>393</v>
      </c>
      <c r="J517" s="556">
        <v>133769</v>
      </c>
      <c r="K517" s="353" t="s">
        <v>394</v>
      </c>
      <c r="L517" s="353">
        <v>2801.6</v>
      </c>
      <c r="M517" s="560">
        <f t="shared" si="26"/>
        <v>47.747358652198749</v>
      </c>
      <c r="N517" s="354" t="s">
        <v>395</v>
      </c>
      <c r="O517" s="354">
        <v>0</v>
      </c>
      <c r="P517" s="355" t="s">
        <v>396</v>
      </c>
      <c r="Q517" s="354" t="s">
        <v>345</v>
      </c>
      <c r="R517" s="353">
        <v>0</v>
      </c>
      <c r="S517" s="353">
        <v>0</v>
      </c>
      <c r="T517" s="353">
        <v>0</v>
      </c>
      <c r="U517" s="353">
        <v>0</v>
      </c>
      <c r="V517" s="353">
        <v>0</v>
      </c>
      <c r="W517" s="353">
        <v>0</v>
      </c>
    </row>
    <row r="518" spans="1:23" x14ac:dyDescent="0.25">
      <c r="A518" s="348" t="s">
        <v>1145</v>
      </c>
      <c r="B518" s="436">
        <v>70</v>
      </c>
      <c r="C518" s="380">
        <v>45192</v>
      </c>
      <c r="D518" s="351" t="s">
        <v>1146</v>
      </c>
      <c r="E518" s="352">
        <v>421</v>
      </c>
      <c r="F518" s="352">
        <v>6</v>
      </c>
      <c r="G518" s="429" t="s">
        <v>323</v>
      </c>
      <c r="H518" s="564" t="s">
        <v>1154</v>
      </c>
      <c r="I518" s="350" t="s">
        <v>393</v>
      </c>
      <c r="J518" s="556">
        <v>150000</v>
      </c>
      <c r="K518" s="353" t="s">
        <v>394</v>
      </c>
      <c r="L518" s="353">
        <v>2801.6</v>
      </c>
      <c r="M518" s="560">
        <f t="shared" si="26"/>
        <v>53.540833809251858</v>
      </c>
      <c r="N518" s="354" t="s">
        <v>395</v>
      </c>
      <c r="O518" s="354">
        <v>0</v>
      </c>
      <c r="P518" s="355" t="s">
        <v>396</v>
      </c>
      <c r="Q518" s="354" t="s">
        <v>345</v>
      </c>
      <c r="R518" s="353">
        <v>0</v>
      </c>
      <c r="S518" s="353">
        <v>0</v>
      </c>
      <c r="T518" s="353">
        <v>0</v>
      </c>
      <c r="U518" s="353">
        <v>0</v>
      </c>
      <c r="V518" s="353">
        <v>0</v>
      </c>
      <c r="W518" s="353">
        <v>0</v>
      </c>
    </row>
    <row r="519" spans="1:23" x14ac:dyDescent="0.25">
      <c r="A519" s="348" t="s">
        <v>1132</v>
      </c>
      <c r="B519" s="436">
        <v>84</v>
      </c>
      <c r="C519" s="380">
        <v>45192</v>
      </c>
      <c r="D519" s="351" t="s">
        <v>1037</v>
      </c>
      <c r="E519" s="352">
        <v>4325</v>
      </c>
      <c r="F519" s="352">
        <v>6</v>
      </c>
      <c r="G519" s="429" t="s">
        <v>300</v>
      </c>
      <c r="H519" s="350" t="s">
        <v>1155</v>
      </c>
      <c r="I519" s="350" t="s">
        <v>393</v>
      </c>
      <c r="J519" s="556">
        <v>4285.5</v>
      </c>
      <c r="K519" s="353" t="s">
        <v>394</v>
      </c>
      <c r="L519" s="353">
        <v>2801.6</v>
      </c>
      <c r="M519" s="560">
        <f t="shared" si="26"/>
        <v>1.5296616219303256</v>
      </c>
      <c r="N519" s="354" t="s">
        <v>395</v>
      </c>
      <c r="O519" s="354">
        <v>0</v>
      </c>
      <c r="P519" s="355" t="s">
        <v>396</v>
      </c>
      <c r="Q519" s="354" t="s">
        <v>345</v>
      </c>
      <c r="R519" s="353">
        <v>0</v>
      </c>
      <c r="S519" s="353">
        <v>0</v>
      </c>
      <c r="T519" s="353">
        <v>0</v>
      </c>
      <c r="U519" s="353">
        <v>0</v>
      </c>
      <c r="V519" s="353">
        <v>0</v>
      </c>
      <c r="W519" s="353">
        <v>0</v>
      </c>
    </row>
    <row r="520" spans="1:23" x14ac:dyDescent="0.25">
      <c r="A520" s="348" t="s">
        <v>1132</v>
      </c>
      <c r="B520" s="436">
        <v>84</v>
      </c>
      <c r="C520" s="380">
        <v>45192</v>
      </c>
      <c r="D520" s="351" t="s">
        <v>1037</v>
      </c>
      <c r="E520" s="352">
        <v>4325</v>
      </c>
      <c r="F520" s="352">
        <v>6</v>
      </c>
      <c r="G520" s="429" t="s">
        <v>301</v>
      </c>
      <c r="H520" s="350" t="s">
        <v>1156</v>
      </c>
      <c r="I520" s="350" t="s">
        <v>393</v>
      </c>
      <c r="J520" s="556">
        <v>156703</v>
      </c>
      <c r="K520" s="353" t="s">
        <v>394</v>
      </c>
      <c r="L520" s="353">
        <v>2801.6</v>
      </c>
      <c r="M520" s="560">
        <f t="shared" si="26"/>
        <v>55.933395202741295</v>
      </c>
      <c r="N520" s="354" t="s">
        <v>395</v>
      </c>
      <c r="O520" s="354">
        <v>0</v>
      </c>
      <c r="P520" s="355" t="s">
        <v>396</v>
      </c>
      <c r="Q520" s="354" t="s">
        <v>345</v>
      </c>
      <c r="R520" s="353">
        <v>0</v>
      </c>
      <c r="S520" s="353">
        <v>0</v>
      </c>
      <c r="T520" s="353">
        <v>0</v>
      </c>
      <c r="U520" s="353">
        <v>0</v>
      </c>
      <c r="V520" s="353">
        <v>0</v>
      </c>
      <c r="W520" s="353">
        <v>0</v>
      </c>
    </row>
    <row r="521" spans="1:23" x14ac:dyDescent="0.25">
      <c r="A521" s="348" t="s">
        <v>1132</v>
      </c>
      <c r="B521" s="436">
        <v>84</v>
      </c>
      <c r="C521" s="380">
        <v>45192</v>
      </c>
      <c r="D521" s="351" t="s">
        <v>1037</v>
      </c>
      <c r="E521" s="352">
        <v>4325</v>
      </c>
      <c r="F521" s="352">
        <v>6</v>
      </c>
      <c r="G521" s="429" t="s">
        <v>302</v>
      </c>
      <c r="H521" s="350" t="s">
        <v>1157</v>
      </c>
      <c r="I521" s="350" t="s">
        <v>393</v>
      </c>
      <c r="J521" s="556">
        <v>4285.5</v>
      </c>
      <c r="K521" s="353" t="s">
        <v>394</v>
      </c>
      <c r="L521" s="353">
        <v>2801.6</v>
      </c>
      <c r="M521" s="560">
        <f t="shared" si="26"/>
        <v>1.5296616219303256</v>
      </c>
      <c r="N521" s="354" t="s">
        <v>395</v>
      </c>
      <c r="O521" s="354">
        <v>0</v>
      </c>
      <c r="P521" s="355" t="s">
        <v>396</v>
      </c>
      <c r="Q521" s="354" t="s">
        <v>345</v>
      </c>
      <c r="R521" s="353">
        <v>0</v>
      </c>
      <c r="S521" s="353">
        <v>0</v>
      </c>
      <c r="T521" s="353">
        <v>0</v>
      </c>
      <c r="U521" s="353">
        <v>0</v>
      </c>
      <c r="V521" s="353">
        <v>0</v>
      </c>
      <c r="W521" s="353">
        <v>0</v>
      </c>
    </row>
    <row r="522" spans="1:23" x14ac:dyDescent="0.25">
      <c r="A522" s="348" t="s">
        <v>1158</v>
      </c>
      <c r="B522" s="436">
        <v>85</v>
      </c>
      <c r="C522" s="380">
        <v>45192</v>
      </c>
      <c r="D522" s="351" t="s">
        <v>1028</v>
      </c>
      <c r="E522" s="352">
        <v>6341</v>
      </c>
      <c r="F522" s="352">
        <v>6</v>
      </c>
      <c r="G522" s="429" t="s">
        <v>325</v>
      </c>
      <c r="H522" s="350" t="s">
        <v>1159</v>
      </c>
      <c r="I522" s="350" t="s">
        <v>393</v>
      </c>
      <c r="J522" s="556">
        <v>36200</v>
      </c>
      <c r="K522" s="353" t="s">
        <v>394</v>
      </c>
      <c r="L522" s="353">
        <v>2801.6</v>
      </c>
      <c r="M522" s="560">
        <f t="shared" ref="M522" si="27">+J522/L522</f>
        <v>12.921187892632782</v>
      </c>
      <c r="N522" s="354" t="s">
        <v>395</v>
      </c>
      <c r="O522" s="354">
        <v>0</v>
      </c>
      <c r="P522" s="355" t="s">
        <v>396</v>
      </c>
      <c r="Q522" s="354" t="s">
        <v>345</v>
      </c>
      <c r="R522" s="353">
        <v>0</v>
      </c>
      <c r="S522" s="353">
        <v>0</v>
      </c>
      <c r="T522" s="353">
        <v>0</v>
      </c>
      <c r="U522" s="353">
        <v>0</v>
      </c>
      <c r="V522" s="353">
        <v>0</v>
      </c>
      <c r="W522" s="353">
        <v>0</v>
      </c>
    </row>
    <row r="523" spans="1:23" x14ac:dyDescent="0.25">
      <c r="A523" s="348" t="s">
        <v>1286</v>
      </c>
      <c r="B523" s="573">
        <v>46</v>
      </c>
      <c r="C523" s="423">
        <v>45108</v>
      </c>
      <c r="D523" s="351">
        <v>45138</v>
      </c>
      <c r="E523" s="352"/>
      <c r="F523" s="352">
        <v>6</v>
      </c>
      <c r="G523" s="352" t="s">
        <v>312</v>
      </c>
      <c r="H523" s="424" t="s">
        <v>1288</v>
      </c>
      <c r="I523" s="350" t="s">
        <v>393</v>
      </c>
      <c r="J523" s="375">
        <f>3827662*10%</f>
        <v>382766.2</v>
      </c>
      <c r="K523" s="350" t="s">
        <v>394</v>
      </c>
      <c r="L523" s="354">
        <v>2802.3999950000002</v>
      </c>
      <c r="M523" s="375">
        <f t="shared" ref="M523:M553" si="28">J523/L523</f>
        <v>136.58514155114392</v>
      </c>
      <c r="N523" s="354" t="s">
        <v>395</v>
      </c>
      <c r="O523" s="354">
        <v>0</v>
      </c>
      <c r="P523" s="355" t="s">
        <v>396</v>
      </c>
      <c r="Q523" s="354" t="s">
        <v>397</v>
      </c>
      <c r="R523" s="353">
        <v>0</v>
      </c>
      <c r="S523" s="353">
        <v>0</v>
      </c>
      <c r="T523" s="353">
        <v>0</v>
      </c>
      <c r="U523" s="353">
        <v>0</v>
      </c>
      <c r="V523" s="353">
        <v>0</v>
      </c>
      <c r="W523" s="353">
        <v>0</v>
      </c>
    </row>
    <row r="524" spans="1:23" ht="30" x14ac:dyDescent="0.25">
      <c r="A524" s="348" t="s">
        <v>1286</v>
      </c>
      <c r="B524" s="573">
        <v>46</v>
      </c>
      <c r="C524" s="423">
        <v>45108</v>
      </c>
      <c r="D524" s="351">
        <v>45138</v>
      </c>
      <c r="E524" s="352"/>
      <c r="F524" s="352">
        <v>6</v>
      </c>
      <c r="G524" s="352" t="s">
        <v>313</v>
      </c>
      <c r="H524" s="424" t="s">
        <v>1289</v>
      </c>
      <c r="I524" s="350" t="s">
        <v>393</v>
      </c>
      <c r="J524" s="375">
        <f>2279846*5%</f>
        <v>113992.3</v>
      </c>
      <c r="K524" s="350" t="s">
        <v>394</v>
      </c>
      <c r="L524" s="354">
        <v>2802.3999950000002</v>
      </c>
      <c r="M524" s="375">
        <f t="shared" si="28"/>
        <v>40.676670069720004</v>
      </c>
      <c r="N524" s="354" t="s">
        <v>395</v>
      </c>
      <c r="O524" s="354">
        <v>0</v>
      </c>
      <c r="P524" s="355" t="s">
        <v>396</v>
      </c>
      <c r="Q524" s="354" t="s">
        <v>397</v>
      </c>
      <c r="R524" s="353">
        <v>0</v>
      </c>
      <c r="S524" s="353">
        <v>0</v>
      </c>
      <c r="T524" s="353">
        <v>0</v>
      </c>
      <c r="U524" s="353">
        <v>0</v>
      </c>
      <c r="V524" s="353">
        <v>0</v>
      </c>
      <c r="W524" s="353">
        <v>0</v>
      </c>
    </row>
    <row r="525" spans="1:23" x14ac:dyDescent="0.25">
      <c r="A525" s="348" t="s">
        <v>1286</v>
      </c>
      <c r="B525" s="573">
        <v>46</v>
      </c>
      <c r="C525" s="423">
        <v>45108</v>
      </c>
      <c r="D525" s="351">
        <v>45138</v>
      </c>
      <c r="E525" s="352"/>
      <c r="F525" s="352">
        <v>6</v>
      </c>
      <c r="G525" s="352" t="s">
        <v>314</v>
      </c>
      <c r="H525" s="424" t="s">
        <v>1290</v>
      </c>
      <c r="I525" s="350" t="s">
        <v>393</v>
      </c>
      <c r="J525" s="375">
        <f>1831466*10%</f>
        <v>183146.6</v>
      </c>
      <c r="K525" s="350" t="s">
        <v>394</v>
      </c>
      <c r="L525" s="354">
        <v>2802.3999950000002</v>
      </c>
      <c r="M525" s="375">
        <f t="shared" si="28"/>
        <v>65.353482845692056</v>
      </c>
      <c r="N525" s="354" t="s">
        <v>395</v>
      </c>
      <c r="O525" s="354">
        <v>0</v>
      </c>
      <c r="P525" s="355" t="s">
        <v>396</v>
      </c>
      <c r="Q525" s="354" t="s">
        <v>397</v>
      </c>
      <c r="R525" s="353">
        <v>0</v>
      </c>
      <c r="S525" s="353">
        <v>0</v>
      </c>
      <c r="T525" s="353">
        <v>0</v>
      </c>
      <c r="U525" s="353">
        <v>0</v>
      </c>
      <c r="V525" s="353">
        <v>0</v>
      </c>
      <c r="W525" s="353">
        <v>0</v>
      </c>
    </row>
    <row r="526" spans="1:23" ht="30" x14ac:dyDescent="0.25">
      <c r="A526" s="348" t="s">
        <v>1286</v>
      </c>
      <c r="B526" s="573">
        <v>46</v>
      </c>
      <c r="C526" s="423">
        <v>45108</v>
      </c>
      <c r="D526" s="351">
        <v>45138</v>
      </c>
      <c r="E526" s="352"/>
      <c r="F526" s="352">
        <v>6</v>
      </c>
      <c r="G526" s="352" t="s">
        <v>315</v>
      </c>
      <c r="H526" s="424" t="s">
        <v>1291</v>
      </c>
      <c r="I526" s="350" t="s">
        <v>393</v>
      </c>
      <c r="J526" s="375">
        <f>1334036*10%</f>
        <v>133403.6</v>
      </c>
      <c r="K526" s="350" t="s">
        <v>394</v>
      </c>
      <c r="L526" s="354">
        <v>2802.3999950000002</v>
      </c>
      <c r="M526" s="375">
        <f t="shared" si="28"/>
        <v>47.60334007922377</v>
      </c>
      <c r="N526" s="354" t="s">
        <v>395</v>
      </c>
      <c r="O526" s="354">
        <v>0</v>
      </c>
      <c r="P526" s="355" t="s">
        <v>396</v>
      </c>
      <c r="Q526" s="354" t="s">
        <v>397</v>
      </c>
      <c r="R526" s="353">
        <v>0</v>
      </c>
      <c r="S526" s="353">
        <v>0</v>
      </c>
      <c r="T526" s="353">
        <v>0</v>
      </c>
      <c r="U526" s="353">
        <v>0</v>
      </c>
      <c r="V526" s="353">
        <v>0</v>
      </c>
      <c r="W526" s="353">
        <v>0</v>
      </c>
    </row>
    <row r="527" spans="1:23" x14ac:dyDescent="0.25">
      <c r="A527" s="348" t="s">
        <v>1286</v>
      </c>
      <c r="B527" s="573">
        <v>46</v>
      </c>
      <c r="C527" s="423">
        <v>45108</v>
      </c>
      <c r="D527" s="351">
        <v>45138</v>
      </c>
      <c r="E527" s="352"/>
      <c r="F527" s="352">
        <v>6</v>
      </c>
      <c r="G527" s="352" t="s">
        <v>316</v>
      </c>
      <c r="H527" s="424" t="s">
        <v>1292</v>
      </c>
      <c r="I527" s="350" t="s">
        <v>393</v>
      </c>
      <c r="J527" s="375">
        <f>690937*50%</f>
        <v>345468.5</v>
      </c>
      <c r="K527" s="350" t="s">
        <v>394</v>
      </c>
      <c r="L527" s="354">
        <v>2802.3999950000002</v>
      </c>
      <c r="M527" s="375">
        <f t="shared" si="28"/>
        <v>123.27594226961878</v>
      </c>
      <c r="N527" s="354" t="s">
        <v>395</v>
      </c>
      <c r="O527" s="354">
        <v>0</v>
      </c>
      <c r="P527" s="355" t="s">
        <v>396</v>
      </c>
      <c r="Q527" s="354" t="s">
        <v>397</v>
      </c>
      <c r="R527" s="353">
        <v>0</v>
      </c>
      <c r="S527" s="353">
        <v>0</v>
      </c>
      <c r="T527" s="353">
        <v>0</v>
      </c>
      <c r="U527" s="353">
        <v>0</v>
      </c>
      <c r="V527" s="353">
        <v>0</v>
      </c>
      <c r="W527" s="353">
        <v>0</v>
      </c>
    </row>
    <row r="528" spans="1:23" x14ac:dyDescent="0.25">
      <c r="A528" s="348" t="s">
        <v>1286</v>
      </c>
      <c r="B528" s="573">
        <v>46</v>
      </c>
      <c r="C528" s="423">
        <v>45108</v>
      </c>
      <c r="D528" s="351">
        <v>45138</v>
      </c>
      <c r="E528" s="352"/>
      <c r="F528" s="352">
        <v>6</v>
      </c>
      <c r="G528" s="352" t="s">
        <v>317</v>
      </c>
      <c r="H528" s="424" t="s">
        <v>1293</v>
      </c>
      <c r="I528" s="350" t="s">
        <v>393</v>
      </c>
      <c r="J528" s="375">
        <f>1251995+169809+29400+18000+40000</f>
        <v>1509204</v>
      </c>
      <c r="K528" s="350" t="s">
        <v>394</v>
      </c>
      <c r="L528" s="354">
        <v>2802.3999950000002</v>
      </c>
      <c r="M528" s="375">
        <f t="shared" si="28"/>
        <v>538.53982396970423</v>
      </c>
      <c r="N528" s="354" t="s">
        <v>395</v>
      </c>
      <c r="O528" s="354">
        <v>0</v>
      </c>
      <c r="P528" s="355" t="s">
        <v>396</v>
      </c>
      <c r="Q528" s="354" t="s">
        <v>397</v>
      </c>
      <c r="R528" s="353">
        <v>0</v>
      </c>
      <c r="S528" s="353">
        <v>0</v>
      </c>
      <c r="T528" s="353">
        <v>0</v>
      </c>
      <c r="U528" s="353">
        <v>0</v>
      </c>
      <c r="V528" s="353">
        <v>0</v>
      </c>
      <c r="W528" s="353">
        <v>0</v>
      </c>
    </row>
    <row r="529" spans="1:23" x14ac:dyDescent="0.25">
      <c r="A529" s="348" t="s">
        <v>1294</v>
      </c>
      <c r="B529" s="349">
        <v>47</v>
      </c>
      <c r="C529" s="423">
        <v>45108</v>
      </c>
      <c r="D529" s="351">
        <v>45138</v>
      </c>
      <c r="E529" s="352"/>
      <c r="F529" s="352">
        <v>6</v>
      </c>
      <c r="G529" s="352" t="s">
        <v>1295</v>
      </c>
      <c r="H529" s="424" t="s">
        <v>1296</v>
      </c>
      <c r="I529" s="350" t="s">
        <v>393</v>
      </c>
      <c r="J529" s="375">
        <v>2750000</v>
      </c>
      <c r="K529" s="350" t="s">
        <v>394</v>
      </c>
      <c r="L529" s="354">
        <v>2802.3999950000002</v>
      </c>
      <c r="M529" s="375">
        <f t="shared" si="28"/>
        <v>981.30174311536848</v>
      </c>
      <c r="N529" s="354" t="s">
        <v>395</v>
      </c>
      <c r="O529" s="354">
        <v>0</v>
      </c>
      <c r="P529" s="355" t="s">
        <v>396</v>
      </c>
      <c r="Q529" s="354" t="s">
        <v>397</v>
      </c>
      <c r="R529" s="353">
        <v>0</v>
      </c>
      <c r="S529" s="353">
        <v>0</v>
      </c>
      <c r="T529" s="353">
        <v>0</v>
      </c>
      <c r="U529" s="353">
        <v>0</v>
      </c>
      <c r="V529" s="353">
        <v>0</v>
      </c>
      <c r="W529" s="353">
        <v>0</v>
      </c>
    </row>
    <row r="530" spans="1:23" x14ac:dyDescent="0.25">
      <c r="A530" s="348" t="s">
        <v>1297</v>
      </c>
      <c r="B530" s="349">
        <v>48</v>
      </c>
      <c r="C530" s="423">
        <v>45108</v>
      </c>
      <c r="D530" s="351">
        <v>45138</v>
      </c>
      <c r="E530" s="352"/>
      <c r="F530" s="352">
        <v>6</v>
      </c>
      <c r="G530" s="352" t="s">
        <v>1298</v>
      </c>
      <c r="H530" s="424" t="s">
        <v>320</v>
      </c>
      <c r="I530" s="350" t="s">
        <v>393</v>
      </c>
      <c r="J530" s="375">
        <v>1100000</v>
      </c>
      <c r="K530" s="350" t="s">
        <v>394</v>
      </c>
      <c r="L530" s="354">
        <v>2802.3999950000002</v>
      </c>
      <c r="M530" s="375">
        <f t="shared" si="28"/>
        <v>392.52069724614739</v>
      </c>
      <c r="N530" s="354" t="s">
        <v>395</v>
      </c>
      <c r="O530" s="354">
        <v>0</v>
      </c>
      <c r="P530" s="355" t="s">
        <v>396</v>
      </c>
      <c r="Q530" s="354" t="s">
        <v>397</v>
      </c>
      <c r="R530" s="353">
        <v>0</v>
      </c>
      <c r="S530" s="353">
        <v>0</v>
      </c>
      <c r="T530" s="353">
        <v>0</v>
      </c>
      <c r="U530" s="353">
        <v>0</v>
      </c>
      <c r="V530" s="353">
        <v>0</v>
      </c>
      <c r="W530" s="353">
        <v>0</v>
      </c>
    </row>
    <row r="531" spans="1:23" x14ac:dyDescent="0.25">
      <c r="A531" s="348" t="s">
        <v>1299</v>
      </c>
      <c r="B531" s="349">
        <v>49</v>
      </c>
      <c r="C531" s="423">
        <v>45108</v>
      </c>
      <c r="D531" s="351">
        <v>45114</v>
      </c>
      <c r="E531" s="352"/>
      <c r="F531" s="352">
        <v>6</v>
      </c>
      <c r="G531" s="352" t="s">
        <v>335</v>
      </c>
      <c r="H531" s="424" t="s">
        <v>1300</v>
      </c>
      <c r="I531" s="350" t="s">
        <v>393</v>
      </c>
      <c r="J531" s="375">
        <v>200000</v>
      </c>
      <c r="K531" s="350" t="s">
        <v>394</v>
      </c>
      <c r="L531" s="354">
        <v>2802.3999950000002</v>
      </c>
      <c r="M531" s="375">
        <f t="shared" si="28"/>
        <v>71.367399499299523</v>
      </c>
      <c r="N531" s="354" t="s">
        <v>395</v>
      </c>
      <c r="O531" s="354">
        <v>0</v>
      </c>
      <c r="P531" s="355" t="s">
        <v>396</v>
      </c>
      <c r="Q531" s="354" t="s">
        <v>397</v>
      </c>
      <c r="R531" s="353">
        <v>0</v>
      </c>
      <c r="S531" s="353">
        <v>0</v>
      </c>
      <c r="T531" s="353">
        <v>0</v>
      </c>
      <c r="U531" s="353">
        <v>0</v>
      </c>
      <c r="V531" s="353">
        <v>0</v>
      </c>
      <c r="W531" s="353">
        <v>0</v>
      </c>
    </row>
    <row r="532" spans="1:23" x14ac:dyDescent="0.25">
      <c r="A532" s="348" t="s">
        <v>1299</v>
      </c>
      <c r="B532" s="349">
        <v>49</v>
      </c>
      <c r="C532" s="423">
        <v>45108</v>
      </c>
      <c r="D532" s="351">
        <v>45114</v>
      </c>
      <c r="E532" s="352"/>
      <c r="F532" s="352">
        <v>6</v>
      </c>
      <c r="G532" s="352" t="s">
        <v>337</v>
      </c>
      <c r="H532" s="424" t="s">
        <v>1301</v>
      </c>
      <c r="I532" s="350" t="s">
        <v>393</v>
      </c>
      <c r="J532" s="375">
        <f>100000*30%</f>
        <v>30000</v>
      </c>
      <c r="K532" s="350" t="s">
        <v>394</v>
      </c>
      <c r="L532" s="354">
        <v>2802.3999950000002</v>
      </c>
      <c r="M532" s="375">
        <f t="shared" si="28"/>
        <v>10.705109924894929</v>
      </c>
      <c r="N532" s="354" t="s">
        <v>395</v>
      </c>
      <c r="O532" s="354">
        <v>0</v>
      </c>
      <c r="P532" s="355" t="s">
        <v>396</v>
      </c>
      <c r="Q532" s="354" t="s">
        <v>397</v>
      </c>
      <c r="R532" s="353">
        <v>0</v>
      </c>
      <c r="S532" s="353">
        <v>0</v>
      </c>
      <c r="T532" s="353">
        <v>0</v>
      </c>
      <c r="U532" s="353">
        <v>0</v>
      </c>
      <c r="V532" s="353">
        <v>0</v>
      </c>
      <c r="W532" s="353">
        <v>0</v>
      </c>
    </row>
    <row r="533" spans="1:23" x14ac:dyDescent="0.25">
      <c r="A533" s="348" t="s">
        <v>1299</v>
      </c>
      <c r="B533" s="349">
        <v>49</v>
      </c>
      <c r="C533" s="423">
        <v>45108</v>
      </c>
      <c r="D533" s="351">
        <v>45114</v>
      </c>
      <c r="E533" s="352"/>
      <c r="F533" s="352">
        <v>6</v>
      </c>
      <c r="G533" s="352" t="s">
        <v>338</v>
      </c>
      <c r="H533" s="424" t="s">
        <v>1302</v>
      </c>
      <c r="I533" s="350" t="s">
        <v>393</v>
      </c>
      <c r="J533" s="375">
        <v>70000</v>
      </c>
      <c r="K533" s="350" t="s">
        <v>394</v>
      </c>
      <c r="L533" s="354">
        <v>2802.3999950000002</v>
      </c>
      <c r="M533" s="375">
        <f t="shared" si="28"/>
        <v>24.978589824754835</v>
      </c>
      <c r="N533" s="354" t="s">
        <v>395</v>
      </c>
      <c r="O533" s="354">
        <v>0</v>
      </c>
      <c r="P533" s="355" t="s">
        <v>396</v>
      </c>
      <c r="Q533" s="354" t="s">
        <v>397</v>
      </c>
      <c r="R533" s="353">
        <v>0</v>
      </c>
      <c r="S533" s="353">
        <v>0</v>
      </c>
      <c r="T533" s="353">
        <v>0</v>
      </c>
      <c r="U533" s="353">
        <v>0</v>
      </c>
      <c r="V533" s="353">
        <v>0</v>
      </c>
      <c r="W533" s="353">
        <v>0</v>
      </c>
    </row>
    <row r="534" spans="1:23" x14ac:dyDescent="0.25">
      <c r="A534" s="348" t="s">
        <v>1299</v>
      </c>
      <c r="B534" s="349">
        <v>49</v>
      </c>
      <c r="C534" s="423">
        <v>45108</v>
      </c>
      <c r="D534" s="351">
        <v>45114</v>
      </c>
      <c r="E534" s="352"/>
      <c r="F534" s="352">
        <v>6</v>
      </c>
      <c r="G534" s="352" t="s">
        <v>339</v>
      </c>
      <c r="H534" s="424" t="s">
        <v>1303</v>
      </c>
      <c r="I534" s="350" t="s">
        <v>393</v>
      </c>
      <c r="J534" s="375">
        <v>60000</v>
      </c>
      <c r="K534" s="350" t="s">
        <v>394</v>
      </c>
      <c r="L534" s="354">
        <v>2802.3999950000002</v>
      </c>
      <c r="M534" s="375">
        <f t="shared" si="28"/>
        <v>21.410219849789858</v>
      </c>
      <c r="N534" s="354" t="s">
        <v>395</v>
      </c>
      <c r="O534" s="354">
        <v>0</v>
      </c>
      <c r="P534" s="355" t="s">
        <v>396</v>
      </c>
      <c r="Q534" s="354" t="s">
        <v>397</v>
      </c>
      <c r="R534" s="353">
        <v>0</v>
      </c>
      <c r="S534" s="353">
        <v>0</v>
      </c>
      <c r="T534" s="353">
        <v>0</v>
      </c>
      <c r="U534" s="353">
        <v>0</v>
      </c>
      <c r="V534" s="353">
        <v>0</v>
      </c>
      <c r="W534" s="353">
        <v>0</v>
      </c>
    </row>
    <row r="535" spans="1:23" x14ac:dyDescent="0.25">
      <c r="A535" s="348" t="s">
        <v>1299</v>
      </c>
      <c r="B535" s="349">
        <v>49</v>
      </c>
      <c r="C535" s="423">
        <v>45108</v>
      </c>
      <c r="D535" s="351">
        <v>45114</v>
      </c>
      <c r="E535" s="352"/>
      <c r="F535" s="352">
        <v>6</v>
      </c>
      <c r="G535" s="352" t="s">
        <v>340</v>
      </c>
      <c r="H535" s="424" t="s">
        <v>1304</v>
      </c>
      <c r="I535" s="350" t="s">
        <v>393</v>
      </c>
      <c r="J535" s="375">
        <v>29495</v>
      </c>
      <c r="K535" s="350" t="s">
        <v>394</v>
      </c>
      <c r="L535" s="354">
        <v>2802.3999950000002</v>
      </c>
      <c r="M535" s="375">
        <f t="shared" si="28"/>
        <v>10.524907241159196</v>
      </c>
      <c r="N535" s="354" t="s">
        <v>395</v>
      </c>
      <c r="O535" s="354">
        <v>0</v>
      </c>
      <c r="P535" s="355" t="s">
        <v>396</v>
      </c>
      <c r="Q535" s="354" t="s">
        <v>397</v>
      </c>
      <c r="R535" s="353">
        <v>0</v>
      </c>
      <c r="S535" s="353">
        <v>0</v>
      </c>
      <c r="T535" s="353">
        <v>0</v>
      </c>
      <c r="U535" s="353">
        <v>0</v>
      </c>
      <c r="V535" s="353">
        <v>0</v>
      </c>
      <c r="W535" s="353">
        <v>0</v>
      </c>
    </row>
    <row r="536" spans="1:23" x14ac:dyDescent="0.25">
      <c r="A536" s="348" t="s">
        <v>1305</v>
      </c>
      <c r="B536" s="349">
        <v>50</v>
      </c>
      <c r="C536" s="423">
        <v>45108</v>
      </c>
      <c r="D536" s="351">
        <v>45113</v>
      </c>
      <c r="E536" s="352"/>
      <c r="F536" s="352">
        <v>6</v>
      </c>
      <c r="G536" s="352" t="s">
        <v>1306</v>
      </c>
      <c r="H536" s="424" t="s">
        <v>1307</v>
      </c>
      <c r="I536" s="350" t="s">
        <v>393</v>
      </c>
      <c r="J536" s="375">
        <f>19500+19500+26000+19500</f>
        <v>84500</v>
      </c>
      <c r="K536" s="350" t="s">
        <v>394</v>
      </c>
      <c r="L536" s="354">
        <v>2802.3999950000002</v>
      </c>
      <c r="M536" s="375">
        <f t="shared" si="28"/>
        <v>30.152726288454048</v>
      </c>
      <c r="N536" s="354" t="s">
        <v>395</v>
      </c>
      <c r="O536" s="354">
        <v>0</v>
      </c>
      <c r="P536" s="355" t="s">
        <v>396</v>
      </c>
      <c r="Q536" s="354" t="s">
        <v>397</v>
      </c>
      <c r="R536" s="353">
        <v>0</v>
      </c>
      <c r="S536" s="353">
        <v>0</v>
      </c>
      <c r="T536" s="353">
        <v>0</v>
      </c>
      <c r="U536" s="353">
        <v>0</v>
      </c>
      <c r="V536" s="353">
        <v>0</v>
      </c>
      <c r="W536" s="353">
        <v>0</v>
      </c>
    </row>
    <row r="537" spans="1:23" x14ac:dyDescent="0.25">
      <c r="A537" s="348" t="s">
        <v>1308</v>
      </c>
      <c r="B537" s="349">
        <v>51</v>
      </c>
      <c r="C537" s="423">
        <v>45108</v>
      </c>
      <c r="D537" s="351">
        <v>45135</v>
      </c>
      <c r="E537" s="352"/>
      <c r="F537" s="352">
        <v>6</v>
      </c>
      <c r="G537" s="352" t="s">
        <v>336</v>
      </c>
      <c r="H537" s="424" t="s">
        <v>1309</v>
      </c>
      <c r="I537" s="350" t="s">
        <v>393</v>
      </c>
      <c r="J537" s="375">
        <v>150000</v>
      </c>
      <c r="K537" s="350" t="s">
        <v>394</v>
      </c>
      <c r="L537" s="354">
        <v>2802.3999950000002</v>
      </c>
      <c r="M537" s="375">
        <f t="shared" si="28"/>
        <v>53.525549624474642</v>
      </c>
      <c r="N537" s="354" t="s">
        <v>395</v>
      </c>
      <c r="O537" s="354">
        <v>0</v>
      </c>
      <c r="P537" s="355" t="s">
        <v>396</v>
      </c>
      <c r="Q537" s="354" t="s">
        <v>397</v>
      </c>
      <c r="R537" s="353">
        <v>0</v>
      </c>
      <c r="S537" s="353">
        <v>0</v>
      </c>
      <c r="T537" s="353">
        <v>0</v>
      </c>
      <c r="U537" s="353">
        <v>0</v>
      </c>
      <c r="V537" s="353">
        <v>0</v>
      </c>
      <c r="W537" s="353">
        <v>0</v>
      </c>
    </row>
    <row r="538" spans="1:23" x14ac:dyDescent="0.25">
      <c r="A538" s="348" t="s">
        <v>737</v>
      </c>
      <c r="B538" s="349">
        <v>52</v>
      </c>
      <c r="C538" s="423">
        <v>45108</v>
      </c>
      <c r="D538" s="351">
        <v>45138</v>
      </c>
      <c r="E538" s="352"/>
      <c r="F538" s="352">
        <v>6</v>
      </c>
      <c r="G538" s="352" t="s">
        <v>342</v>
      </c>
      <c r="H538" s="424" t="s">
        <v>1310</v>
      </c>
      <c r="I538" s="350" t="s">
        <v>393</v>
      </c>
      <c r="J538" s="375">
        <v>3000</v>
      </c>
      <c r="K538" s="350" t="s">
        <v>394</v>
      </c>
      <c r="L538" s="354">
        <v>2802.3999950000002</v>
      </c>
      <c r="M538" s="375">
        <f t="shared" si="28"/>
        <v>1.0705109924894929</v>
      </c>
      <c r="N538" s="354" t="s">
        <v>395</v>
      </c>
      <c r="O538" s="354">
        <v>0</v>
      </c>
      <c r="P538" s="355" t="s">
        <v>396</v>
      </c>
      <c r="Q538" s="354" t="s">
        <v>397</v>
      </c>
      <c r="R538" s="353">
        <v>0</v>
      </c>
      <c r="S538" s="353">
        <v>0</v>
      </c>
      <c r="T538" s="353">
        <v>0</v>
      </c>
      <c r="U538" s="353">
        <v>0</v>
      </c>
      <c r="V538" s="353">
        <v>0</v>
      </c>
      <c r="W538" s="353">
        <v>0</v>
      </c>
    </row>
    <row r="539" spans="1:23" ht="30" x14ac:dyDescent="0.25">
      <c r="A539" s="348" t="s">
        <v>1311</v>
      </c>
      <c r="B539" s="349">
        <v>60</v>
      </c>
      <c r="C539" s="423">
        <v>45139</v>
      </c>
      <c r="D539" s="351">
        <v>45169</v>
      </c>
      <c r="E539" s="352"/>
      <c r="F539" s="352">
        <v>6</v>
      </c>
      <c r="G539" s="352" t="s">
        <v>312</v>
      </c>
      <c r="H539" s="424" t="s">
        <v>1312</v>
      </c>
      <c r="I539" s="350" t="s">
        <v>393</v>
      </c>
      <c r="J539" s="375">
        <f>3827662*10%</f>
        <v>382766.2</v>
      </c>
      <c r="K539" s="350" t="s">
        <v>394</v>
      </c>
      <c r="L539" s="354">
        <v>2802.3999950000002</v>
      </c>
      <c r="M539" s="375">
        <f t="shared" si="28"/>
        <v>136.58514155114392</v>
      </c>
      <c r="N539" s="354" t="s">
        <v>395</v>
      </c>
      <c r="O539" s="354">
        <v>0</v>
      </c>
      <c r="P539" s="355" t="s">
        <v>396</v>
      </c>
      <c r="Q539" s="354" t="s">
        <v>397</v>
      </c>
      <c r="R539" s="353">
        <v>0</v>
      </c>
      <c r="S539" s="353">
        <v>0</v>
      </c>
      <c r="T539" s="353">
        <v>0</v>
      </c>
      <c r="U539" s="353">
        <v>0</v>
      </c>
      <c r="V539" s="353">
        <v>0</v>
      </c>
      <c r="W539" s="353">
        <v>0</v>
      </c>
    </row>
    <row r="540" spans="1:23" ht="30" x14ac:dyDescent="0.25">
      <c r="A540" s="348" t="s">
        <v>1311</v>
      </c>
      <c r="B540" s="349">
        <v>60</v>
      </c>
      <c r="C540" s="423">
        <v>45139</v>
      </c>
      <c r="D540" s="351">
        <v>45169</v>
      </c>
      <c r="E540" s="352"/>
      <c r="F540" s="352">
        <v>6</v>
      </c>
      <c r="G540" s="352" t="s">
        <v>313</v>
      </c>
      <c r="H540" s="424" t="s">
        <v>1313</v>
      </c>
      <c r="I540" s="350" t="s">
        <v>393</v>
      </c>
      <c r="J540" s="375">
        <f>2279846*5%</f>
        <v>113992.3</v>
      </c>
      <c r="K540" s="350" t="s">
        <v>394</v>
      </c>
      <c r="L540" s="354">
        <v>2802.3999950000002</v>
      </c>
      <c r="M540" s="375">
        <f t="shared" si="28"/>
        <v>40.676670069720004</v>
      </c>
      <c r="N540" s="354" t="s">
        <v>395</v>
      </c>
      <c r="O540" s="354">
        <v>0</v>
      </c>
      <c r="P540" s="355" t="s">
        <v>396</v>
      </c>
      <c r="Q540" s="354" t="s">
        <v>397</v>
      </c>
      <c r="R540" s="353">
        <v>0</v>
      </c>
      <c r="S540" s="353">
        <v>0</v>
      </c>
      <c r="T540" s="353">
        <v>0</v>
      </c>
      <c r="U540" s="353">
        <v>0</v>
      </c>
      <c r="V540" s="353">
        <v>0</v>
      </c>
      <c r="W540" s="353">
        <v>0</v>
      </c>
    </row>
    <row r="541" spans="1:23" x14ac:dyDescent="0.25">
      <c r="A541" s="348" t="s">
        <v>1311</v>
      </c>
      <c r="B541" s="349">
        <v>60</v>
      </c>
      <c r="C541" s="423">
        <v>45139</v>
      </c>
      <c r="D541" s="351">
        <v>45169</v>
      </c>
      <c r="E541" s="352"/>
      <c r="F541" s="352">
        <v>6</v>
      </c>
      <c r="G541" s="352" t="s">
        <v>314</v>
      </c>
      <c r="H541" s="424" t="s">
        <v>1314</v>
      </c>
      <c r="I541" s="350" t="s">
        <v>393</v>
      </c>
      <c r="J541" s="375">
        <f>1831466*10%</f>
        <v>183146.6</v>
      </c>
      <c r="K541" s="350" t="s">
        <v>394</v>
      </c>
      <c r="L541" s="354">
        <v>2802.3999950000002</v>
      </c>
      <c r="M541" s="375">
        <f t="shared" si="28"/>
        <v>65.353482845692056</v>
      </c>
      <c r="N541" s="354" t="s">
        <v>395</v>
      </c>
      <c r="O541" s="354">
        <v>0</v>
      </c>
      <c r="P541" s="355" t="s">
        <v>396</v>
      </c>
      <c r="Q541" s="354" t="s">
        <v>397</v>
      </c>
      <c r="R541" s="353">
        <v>0</v>
      </c>
      <c r="S541" s="353">
        <v>0</v>
      </c>
      <c r="T541" s="353">
        <v>0</v>
      </c>
      <c r="U541" s="353">
        <v>0</v>
      </c>
      <c r="V541" s="353">
        <v>0</v>
      </c>
      <c r="W541" s="353">
        <v>0</v>
      </c>
    </row>
    <row r="542" spans="1:23" ht="30" x14ac:dyDescent="0.25">
      <c r="A542" s="348" t="s">
        <v>1311</v>
      </c>
      <c r="B542" s="349">
        <v>60</v>
      </c>
      <c r="C542" s="423">
        <v>45139</v>
      </c>
      <c r="D542" s="351">
        <v>45169</v>
      </c>
      <c r="E542" s="352"/>
      <c r="F542" s="352">
        <v>6</v>
      </c>
      <c r="G542" s="352" t="s">
        <v>315</v>
      </c>
      <c r="H542" s="424" t="s">
        <v>1315</v>
      </c>
      <c r="I542" s="350" t="s">
        <v>393</v>
      </c>
      <c r="J542" s="375">
        <f>1334036*10%</f>
        <v>133403.6</v>
      </c>
      <c r="K542" s="350" t="s">
        <v>394</v>
      </c>
      <c r="L542" s="354">
        <v>2802.3999950000002</v>
      </c>
      <c r="M542" s="375">
        <f t="shared" si="28"/>
        <v>47.60334007922377</v>
      </c>
      <c r="N542" s="354" t="s">
        <v>395</v>
      </c>
      <c r="O542" s="354">
        <v>0</v>
      </c>
      <c r="P542" s="355" t="s">
        <v>396</v>
      </c>
      <c r="Q542" s="354" t="s">
        <v>397</v>
      </c>
      <c r="R542" s="353">
        <v>0</v>
      </c>
      <c r="S542" s="353">
        <v>0</v>
      </c>
      <c r="T542" s="353">
        <v>0</v>
      </c>
      <c r="U542" s="353">
        <v>0</v>
      </c>
      <c r="V542" s="353">
        <v>0</v>
      </c>
      <c r="W542" s="353">
        <v>0</v>
      </c>
    </row>
    <row r="543" spans="1:23" x14ac:dyDescent="0.25">
      <c r="A543" s="348" t="s">
        <v>1311</v>
      </c>
      <c r="B543" s="349">
        <v>60</v>
      </c>
      <c r="C543" s="423">
        <v>45139</v>
      </c>
      <c r="D543" s="351">
        <v>45169</v>
      </c>
      <c r="E543" s="352"/>
      <c r="F543" s="352">
        <v>6</v>
      </c>
      <c r="G543" s="352" t="s">
        <v>316</v>
      </c>
      <c r="H543" s="424" t="s">
        <v>1316</v>
      </c>
      <c r="I543" s="350" t="s">
        <v>393</v>
      </c>
      <c r="J543" s="375">
        <f>690937*50%</f>
        <v>345468.5</v>
      </c>
      <c r="K543" s="350" t="s">
        <v>394</v>
      </c>
      <c r="L543" s="354">
        <v>2802.3999950000002</v>
      </c>
      <c r="M543" s="375">
        <f t="shared" si="28"/>
        <v>123.27594226961878</v>
      </c>
      <c r="N543" s="354" t="s">
        <v>395</v>
      </c>
      <c r="O543" s="354">
        <v>0</v>
      </c>
      <c r="P543" s="355" t="s">
        <v>396</v>
      </c>
      <c r="Q543" s="354" t="s">
        <v>397</v>
      </c>
      <c r="R543" s="353">
        <v>0</v>
      </c>
      <c r="S543" s="353">
        <v>0</v>
      </c>
      <c r="T543" s="353">
        <v>0</v>
      </c>
      <c r="U543" s="353">
        <v>0</v>
      </c>
      <c r="V543" s="353">
        <v>0</v>
      </c>
      <c r="W543" s="353">
        <v>0</v>
      </c>
    </row>
    <row r="544" spans="1:23" x14ac:dyDescent="0.25">
      <c r="A544" s="348" t="s">
        <v>1311</v>
      </c>
      <c r="B544" s="349">
        <v>60</v>
      </c>
      <c r="C544" s="423">
        <v>45139</v>
      </c>
      <c r="D544" s="351">
        <v>45169</v>
      </c>
      <c r="E544" s="352"/>
      <c r="F544" s="352">
        <v>6</v>
      </c>
      <c r="G544" s="352" t="s">
        <v>317</v>
      </c>
      <c r="H544" s="424" t="s">
        <v>1317</v>
      </c>
      <c r="I544" s="350" t="s">
        <v>393</v>
      </c>
      <c r="J544" s="375">
        <f>1251995+169809+29400+18000+40000</f>
        <v>1509204</v>
      </c>
      <c r="K544" s="350" t="s">
        <v>394</v>
      </c>
      <c r="L544" s="354">
        <v>2802.3999950000002</v>
      </c>
      <c r="M544" s="375">
        <f t="shared" si="28"/>
        <v>538.53982396970423</v>
      </c>
      <c r="N544" s="354" t="s">
        <v>395</v>
      </c>
      <c r="O544" s="354">
        <v>0</v>
      </c>
      <c r="P544" s="355" t="s">
        <v>396</v>
      </c>
      <c r="Q544" s="354" t="s">
        <v>397</v>
      </c>
      <c r="R544" s="353">
        <v>0</v>
      </c>
      <c r="S544" s="353">
        <v>0</v>
      </c>
      <c r="T544" s="353">
        <v>0</v>
      </c>
      <c r="U544" s="353">
        <v>0</v>
      </c>
      <c r="V544" s="353">
        <v>0</v>
      </c>
      <c r="W544" s="353">
        <v>0</v>
      </c>
    </row>
    <row r="545" spans="1:23" x14ac:dyDescent="0.25">
      <c r="A545" s="348" t="s">
        <v>1318</v>
      </c>
      <c r="B545" s="349">
        <v>61</v>
      </c>
      <c r="C545" s="423">
        <v>45139</v>
      </c>
      <c r="D545" s="351">
        <v>45169</v>
      </c>
      <c r="E545" s="352"/>
      <c r="F545" s="352">
        <v>6</v>
      </c>
      <c r="G545" s="352" t="s">
        <v>335</v>
      </c>
      <c r="H545" s="424" t="s">
        <v>1319</v>
      </c>
      <c r="I545" s="350" t="s">
        <v>393</v>
      </c>
      <c r="J545" s="375">
        <v>200000</v>
      </c>
      <c r="K545" s="350" t="s">
        <v>394</v>
      </c>
      <c r="L545" s="354">
        <v>2802.3999950000002</v>
      </c>
      <c r="M545" s="375">
        <f t="shared" si="28"/>
        <v>71.367399499299523</v>
      </c>
      <c r="N545" s="354" t="s">
        <v>395</v>
      </c>
      <c r="O545" s="354">
        <v>0</v>
      </c>
      <c r="P545" s="355" t="s">
        <v>396</v>
      </c>
      <c r="Q545" s="354" t="s">
        <v>397</v>
      </c>
      <c r="R545" s="353">
        <v>0</v>
      </c>
      <c r="S545" s="353">
        <v>0</v>
      </c>
      <c r="T545" s="353">
        <v>0</v>
      </c>
      <c r="U545" s="353">
        <v>0</v>
      </c>
      <c r="V545" s="353">
        <v>0</v>
      </c>
      <c r="W545" s="353">
        <v>0</v>
      </c>
    </row>
    <row r="546" spans="1:23" x14ac:dyDescent="0.25">
      <c r="A546" s="348" t="s">
        <v>1318</v>
      </c>
      <c r="B546" s="349">
        <v>61</v>
      </c>
      <c r="C546" s="423">
        <v>45139</v>
      </c>
      <c r="D546" s="351">
        <v>45169</v>
      </c>
      <c r="E546" s="352"/>
      <c r="F546" s="352">
        <v>6</v>
      </c>
      <c r="G546" s="352" t="s">
        <v>337</v>
      </c>
      <c r="H546" s="424" t="s">
        <v>1320</v>
      </c>
      <c r="I546" s="350" t="s">
        <v>393</v>
      </c>
      <c r="J546" s="375">
        <f>100000*30%</f>
        <v>30000</v>
      </c>
      <c r="K546" s="350" t="s">
        <v>394</v>
      </c>
      <c r="L546" s="354">
        <v>2802.3999950000002</v>
      </c>
      <c r="M546" s="375">
        <f t="shared" si="28"/>
        <v>10.705109924894929</v>
      </c>
      <c r="N546" s="354" t="s">
        <v>395</v>
      </c>
      <c r="O546" s="354">
        <v>0</v>
      </c>
      <c r="P546" s="355" t="s">
        <v>396</v>
      </c>
      <c r="Q546" s="354" t="s">
        <v>397</v>
      </c>
      <c r="R546" s="353">
        <v>0</v>
      </c>
      <c r="S546" s="353">
        <v>0</v>
      </c>
      <c r="T546" s="353">
        <v>0</v>
      </c>
      <c r="U546" s="353">
        <v>0</v>
      </c>
      <c r="V546" s="353">
        <v>0</v>
      </c>
      <c r="W546" s="353">
        <v>0</v>
      </c>
    </row>
    <row r="547" spans="1:23" x14ac:dyDescent="0.25">
      <c r="A547" s="348" t="s">
        <v>1318</v>
      </c>
      <c r="B547" s="349">
        <v>61</v>
      </c>
      <c r="C547" s="423">
        <v>45139</v>
      </c>
      <c r="D547" s="351">
        <v>45169</v>
      </c>
      <c r="E547" s="352"/>
      <c r="F547" s="352">
        <v>6</v>
      </c>
      <c r="G547" s="352" t="s">
        <v>338</v>
      </c>
      <c r="H547" s="424" t="s">
        <v>1321</v>
      </c>
      <c r="I547" s="350" t="s">
        <v>393</v>
      </c>
      <c r="J547" s="375">
        <v>70000</v>
      </c>
      <c r="K547" s="350" t="s">
        <v>394</v>
      </c>
      <c r="L547" s="354">
        <v>2802.3999950000002</v>
      </c>
      <c r="M547" s="375">
        <f t="shared" si="28"/>
        <v>24.978589824754835</v>
      </c>
      <c r="N547" s="354" t="s">
        <v>395</v>
      </c>
      <c r="O547" s="354">
        <v>0</v>
      </c>
      <c r="P547" s="355" t="s">
        <v>396</v>
      </c>
      <c r="Q547" s="354" t="s">
        <v>397</v>
      </c>
      <c r="R547" s="353">
        <v>0</v>
      </c>
      <c r="S547" s="353">
        <v>0</v>
      </c>
      <c r="T547" s="353">
        <v>0</v>
      </c>
      <c r="U547" s="353">
        <v>0</v>
      </c>
      <c r="V547" s="353">
        <v>0</v>
      </c>
      <c r="W547" s="353">
        <v>0</v>
      </c>
    </row>
    <row r="548" spans="1:23" x14ac:dyDescent="0.25">
      <c r="A548" s="348" t="s">
        <v>1318</v>
      </c>
      <c r="B548" s="349">
        <v>61</v>
      </c>
      <c r="C548" s="423">
        <v>45139</v>
      </c>
      <c r="D548" s="351">
        <v>45169</v>
      </c>
      <c r="E548" s="352"/>
      <c r="F548" s="352">
        <v>6</v>
      </c>
      <c r="G548" s="352" t="s">
        <v>339</v>
      </c>
      <c r="H548" s="424" t="s">
        <v>1322</v>
      </c>
      <c r="I548" s="350" t="s">
        <v>393</v>
      </c>
      <c r="J548" s="375">
        <v>60000</v>
      </c>
      <c r="K548" s="350" t="s">
        <v>394</v>
      </c>
      <c r="L548" s="354">
        <v>2802.3999950000002</v>
      </c>
      <c r="M548" s="375">
        <f t="shared" si="28"/>
        <v>21.410219849789858</v>
      </c>
      <c r="N548" s="354" t="s">
        <v>395</v>
      </c>
      <c r="O548" s="354">
        <v>0</v>
      </c>
      <c r="P548" s="355" t="s">
        <v>396</v>
      </c>
      <c r="Q548" s="354" t="s">
        <v>397</v>
      </c>
      <c r="R548" s="353">
        <v>0</v>
      </c>
      <c r="S548" s="353">
        <v>0</v>
      </c>
      <c r="T548" s="353">
        <v>0</v>
      </c>
      <c r="U548" s="353">
        <v>0</v>
      </c>
      <c r="V548" s="353">
        <v>0</v>
      </c>
      <c r="W548" s="353">
        <v>0</v>
      </c>
    </row>
    <row r="549" spans="1:23" x14ac:dyDescent="0.25">
      <c r="A549" s="348" t="s">
        <v>1318</v>
      </c>
      <c r="B549" s="349">
        <v>61</v>
      </c>
      <c r="C549" s="423">
        <v>45139</v>
      </c>
      <c r="D549" s="351">
        <v>45169</v>
      </c>
      <c r="E549" s="352"/>
      <c r="F549" s="352">
        <v>6</v>
      </c>
      <c r="G549" s="352" t="s">
        <v>340</v>
      </c>
      <c r="H549" s="424" t="s">
        <v>1323</v>
      </c>
      <c r="I549" s="350" t="s">
        <v>393</v>
      </c>
      <c r="J549" s="375">
        <v>29495</v>
      </c>
      <c r="K549" s="350" t="s">
        <v>394</v>
      </c>
      <c r="L549" s="354">
        <v>2802.3999950000002</v>
      </c>
      <c r="M549" s="375">
        <f t="shared" si="28"/>
        <v>10.524907241159196</v>
      </c>
      <c r="N549" s="354" t="s">
        <v>395</v>
      </c>
      <c r="O549" s="354">
        <v>0</v>
      </c>
      <c r="P549" s="355" t="s">
        <v>396</v>
      </c>
      <c r="Q549" s="354" t="s">
        <v>397</v>
      </c>
      <c r="R549" s="353">
        <v>0</v>
      </c>
      <c r="S549" s="353">
        <v>0</v>
      </c>
      <c r="T549" s="353">
        <v>0</v>
      </c>
      <c r="U549" s="353">
        <v>0</v>
      </c>
      <c r="V549" s="353">
        <v>0</v>
      </c>
      <c r="W549" s="353">
        <v>0</v>
      </c>
    </row>
    <row r="550" spans="1:23" x14ac:dyDescent="0.25">
      <c r="A550" s="348" t="s">
        <v>1324</v>
      </c>
      <c r="B550" s="349">
        <v>62</v>
      </c>
      <c r="C550" s="423">
        <v>45139</v>
      </c>
      <c r="D550" s="351">
        <v>45169</v>
      </c>
      <c r="E550" s="352"/>
      <c r="F550" s="352">
        <v>6</v>
      </c>
      <c r="G550" s="352" t="s">
        <v>336</v>
      </c>
      <c r="H550" s="424" t="s">
        <v>1309</v>
      </c>
      <c r="I550" s="350" t="s">
        <v>393</v>
      </c>
      <c r="J550" s="375">
        <v>150000</v>
      </c>
      <c r="K550" s="350" t="s">
        <v>394</v>
      </c>
      <c r="L550" s="354">
        <v>2802.3999950000002</v>
      </c>
      <c r="M550" s="375">
        <f t="shared" si="28"/>
        <v>53.525549624474642</v>
      </c>
      <c r="N550" s="354" t="s">
        <v>395</v>
      </c>
      <c r="O550" s="354">
        <v>0</v>
      </c>
      <c r="P550" s="355" t="s">
        <v>396</v>
      </c>
      <c r="Q550" s="354" t="s">
        <v>397</v>
      </c>
      <c r="R550" s="353">
        <v>0</v>
      </c>
      <c r="S550" s="353">
        <v>0</v>
      </c>
      <c r="T550" s="353">
        <v>0</v>
      </c>
      <c r="U550" s="353">
        <v>0</v>
      </c>
      <c r="V550" s="353">
        <v>0</v>
      </c>
      <c r="W550" s="353">
        <v>0</v>
      </c>
    </row>
    <row r="551" spans="1:23" x14ac:dyDescent="0.25">
      <c r="A551" s="348" t="s">
        <v>1325</v>
      </c>
      <c r="B551" s="349">
        <v>63</v>
      </c>
      <c r="C551" s="423">
        <v>45139</v>
      </c>
      <c r="D551" s="351">
        <v>45169</v>
      </c>
      <c r="E551" s="352"/>
      <c r="F551" s="352">
        <v>6</v>
      </c>
      <c r="G551" s="352" t="s">
        <v>1326</v>
      </c>
      <c r="H551" s="424" t="s">
        <v>1327</v>
      </c>
      <c r="I551" s="350" t="s">
        <v>393</v>
      </c>
      <c r="J551" s="375">
        <v>133958</v>
      </c>
      <c r="K551" s="350" t="s">
        <v>394</v>
      </c>
      <c r="L551" s="354">
        <v>2802.3999950000002</v>
      </c>
      <c r="M551" s="375">
        <f t="shared" si="28"/>
        <v>47.801170510635828</v>
      </c>
      <c r="N551" s="354" t="s">
        <v>395</v>
      </c>
      <c r="O551" s="354">
        <v>0</v>
      </c>
      <c r="P551" s="355" t="s">
        <v>396</v>
      </c>
      <c r="Q551" s="354" t="s">
        <v>397</v>
      </c>
      <c r="R551" s="353">
        <v>0</v>
      </c>
      <c r="S551" s="353">
        <v>0</v>
      </c>
      <c r="T551" s="353">
        <v>0</v>
      </c>
      <c r="U551" s="353">
        <v>0</v>
      </c>
      <c r="V551" s="353">
        <v>0</v>
      </c>
      <c r="W551" s="353">
        <v>0</v>
      </c>
    </row>
    <row r="552" spans="1:23" x14ac:dyDescent="0.25">
      <c r="A552" s="348" t="s">
        <v>1328</v>
      </c>
      <c r="B552" s="349">
        <v>64</v>
      </c>
      <c r="C552" s="423">
        <v>45139</v>
      </c>
      <c r="D552" s="351">
        <v>45169</v>
      </c>
      <c r="E552" s="352"/>
      <c r="F552" s="352">
        <v>6</v>
      </c>
      <c r="G552" s="352" t="s">
        <v>1326</v>
      </c>
      <c r="H552" s="424" t="s">
        <v>1327</v>
      </c>
      <c r="I552" s="350" t="s">
        <v>393</v>
      </c>
      <c r="J552" s="375">
        <v>16042</v>
      </c>
      <c r="K552" s="350" t="s">
        <v>394</v>
      </c>
      <c r="L552" s="354">
        <v>2802.3999950000002</v>
      </c>
      <c r="M552" s="375">
        <f t="shared" si="28"/>
        <v>5.7243791138388147</v>
      </c>
      <c r="N552" s="354" t="s">
        <v>395</v>
      </c>
      <c r="O552" s="354">
        <v>0</v>
      </c>
      <c r="P552" s="355" t="s">
        <v>396</v>
      </c>
      <c r="Q552" s="354" t="s">
        <v>397</v>
      </c>
      <c r="R552" s="353">
        <v>0</v>
      </c>
      <c r="S552" s="353">
        <v>0</v>
      </c>
      <c r="T552" s="353">
        <v>0</v>
      </c>
      <c r="U552" s="353">
        <v>0</v>
      </c>
      <c r="V552" s="353">
        <v>0</v>
      </c>
      <c r="W552" s="353">
        <v>0</v>
      </c>
    </row>
    <row r="553" spans="1:23" x14ac:dyDescent="0.25">
      <c r="A553" s="348" t="s">
        <v>1305</v>
      </c>
      <c r="B553" s="349">
        <v>65</v>
      </c>
      <c r="C553" s="423">
        <v>45139</v>
      </c>
      <c r="D553" s="351">
        <v>45113</v>
      </c>
      <c r="E553" s="352"/>
      <c r="F553" s="352">
        <v>6</v>
      </c>
      <c r="G553" s="352" t="s">
        <v>1306</v>
      </c>
      <c r="H553" s="424" t="s">
        <v>1307</v>
      </c>
      <c r="I553" s="350" t="s">
        <v>393</v>
      </c>
      <c r="J553" s="375">
        <v>91000</v>
      </c>
      <c r="K553" s="350" t="s">
        <v>394</v>
      </c>
      <c r="L553" s="354">
        <v>2802.3999950000002</v>
      </c>
      <c r="M553" s="375">
        <f t="shared" si="28"/>
        <v>32.472166772181282</v>
      </c>
      <c r="N553" s="354" t="s">
        <v>395</v>
      </c>
      <c r="O553" s="354">
        <v>0</v>
      </c>
      <c r="P553" s="355" t="s">
        <v>396</v>
      </c>
      <c r="Q553" s="354" t="s">
        <v>397</v>
      </c>
      <c r="R553" s="353">
        <v>0</v>
      </c>
      <c r="S553" s="353">
        <v>0</v>
      </c>
      <c r="T553" s="353">
        <v>0</v>
      </c>
      <c r="U553" s="353">
        <v>0</v>
      </c>
      <c r="V553" s="353">
        <v>0</v>
      </c>
      <c r="W553" s="353">
        <v>0</v>
      </c>
    </row>
    <row r="554" spans="1:23" x14ac:dyDescent="0.25">
      <c r="A554" s="348" t="s">
        <v>737</v>
      </c>
      <c r="B554" s="349">
        <v>67</v>
      </c>
      <c r="C554" s="423">
        <v>45139</v>
      </c>
      <c r="D554" s="351">
        <v>45169</v>
      </c>
      <c r="E554" s="352"/>
      <c r="F554" s="352">
        <v>6</v>
      </c>
      <c r="G554" s="352" t="s">
        <v>342</v>
      </c>
      <c r="H554" s="424" t="s">
        <v>1310</v>
      </c>
      <c r="I554" s="350" t="s">
        <v>393</v>
      </c>
      <c r="J554" s="375">
        <v>3000</v>
      </c>
      <c r="K554" s="350" t="s">
        <v>394</v>
      </c>
      <c r="L554" s="354">
        <v>2802.3999950000002</v>
      </c>
      <c r="M554" s="375">
        <f>J554/L554</f>
        <v>1.0705109924894929</v>
      </c>
      <c r="N554" s="354" t="s">
        <v>395</v>
      </c>
      <c r="O554" s="354">
        <v>0</v>
      </c>
      <c r="P554" s="355" t="s">
        <v>396</v>
      </c>
      <c r="Q554" s="354" t="s">
        <v>397</v>
      </c>
      <c r="R554" s="353">
        <v>0</v>
      </c>
      <c r="S554" s="353">
        <v>0</v>
      </c>
      <c r="T554" s="353">
        <v>0</v>
      </c>
      <c r="U554" s="353">
        <v>0</v>
      </c>
      <c r="V554" s="353">
        <v>0</v>
      </c>
      <c r="W554" s="353">
        <v>0</v>
      </c>
    </row>
    <row r="555" spans="1:23" ht="30" x14ac:dyDescent="0.25">
      <c r="A555" s="348" t="s">
        <v>1329</v>
      </c>
      <c r="B555" s="349">
        <v>86</v>
      </c>
      <c r="C555" s="423">
        <v>45170</v>
      </c>
      <c r="D555" s="351">
        <v>45204</v>
      </c>
      <c r="E555" s="352"/>
      <c r="F555" s="352">
        <v>6</v>
      </c>
      <c r="G555" s="352" t="s">
        <v>312</v>
      </c>
      <c r="H555" s="424" t="s">
        <v>1331</v>
      </c>
      <c r="I555" s="350" t="s">
        <v>393</v>
      </c>
      <c r="J555" s="375">
        <v>382766.2</v>
      </c>
      <c r="K555" s="350" t="s">
        <v>394</v>
      </c>
      <c r="L555" s="354">
        <v>2802.3999950000002</v>
      </c>
      <c r="M555" s="375">
        <f t="shared" ref="M555:M568" si="29">J555/L555</f>
        <v>136.58514155114392</v>
      </c>
      <c r="N555" s="354" t="s">
        <v>395</v>
      </c>
      <c r="O555" s="354">
        <v>0</v>
      </c>
      <c r="P555" s="355" t="s">
        <v>396</v>
      </c>
      <c r="Q555" s="354" t="s">
        <v>397</v>
      </c>
      <c r="R555" s="353">
        <v>0</v>
      </c>
      <c r="S555" s="353">
        <v>0</v>
      </c>
      <c r="T555" s="353">
        <v>0</v>
      </c>
      <c r="U555" s="353">
        <v>0</v>
      </c>
      <c r="V555" s="353">
        <v>0</v>
      </c>
      <c r="W555" s="353">
        <v>0</v>
      </c>
    </row>
    <row r="556" spans="1:23" ht="30" x14ac:dyDescent="0.25">
      <c r="A556" s="348" t="s">
        <v>1329</v>
      </c>
      <c r="B556" s="349">
        <v>86</v>
      </c>
      <c r="C556" s="423">
        <v>45170</v>
      </c>
      <c r="D556" s="351">
        <v>45204</v>
      </c>
      <c r="E556" s="352"/>
      <c r="F556" s="352">
        <v>6</v>
      </c>
      <c r="G556" s="352" t="s">
        <v>313</v>
      </c>
      <c r="H556" s="424" t="s">
        <v>1332</v>
      </c>
      <c r="I556" s="350" t="s">
        <v>393</v>
      </c>
      <c r="J556" s="375">
        <v>113992.3</v>
      </c>
      <c r="K556" s="350" t="s">
        <v>394</v>
      </c>
      <c r="L556" s="354">
        <v>2802.3999950000002</v>
      </c>
      <c r="M556" s="375">
        <f t="shared" si="29"/>
        <v>40.676670069720004</v>
      </c>
      <c r="N556" s="354" t="s">
        <v>395</v>
      </c>
      <c r="O556" s="354">
        <v>0</v>
      </c>
      <c r="P556" s="355" t="s">
        <v>396</v>
      </c>
      <c r="Q556" s="354" t="s">
        <v>397</v>
      </c>
      <c r="R556" s="353">
        <v>0</v>
      </c>
      <c r="S556" s="353">
        <v>0</v>
      </c>
      <c r="T556" s="353">
        <v>0</v>
      </c>
      <c r="U556" s="353">
        <v>0</v>
      </c>
      <c r="V556" s="353">
        <v>0</v>
      </c>
      <c r="W556" s="353">
        <v>0</v>
      </c>
    </row>
    <row r="557" spans="1:23" ht="30" x14ac:dyDescent="0.25">
      <c r="A557" s="348" t="s">
        <v>1329</v>
      </c>
      <c r="B557" s="349">
        <v>86</v>
      </c>
      <c r="C557" s="423">
        <v>45170</v>
      </c>
      <c r="D557" s="351">
        <v>45204</v>
      </c>
      <c r="E557" s="352"/>
      <c r="F557" s="352">
        <v>6</v>
      </c>
      <c r="G557" s="352" t="s">
        <v>314</v>
      </c>
      <c r="H557" s="424" t="s">
        <v>1333</v>
      </c>
      <c r="I557" s="350" t="s">
        <v>393</v>
      </c>
      <c r="J557" s="375">
        <v>183146.6</v>
      </c>
      <c r="K557" s="350" t="s">
        <v>394</v>
      </c>
      <c r="L557" s="354">
        <v>2802.3999950000002</v>
      </c>
      <c r="M557" s="375">
        <f t="shared" si="29"/>
        <v>65.353482845692056</v>
      </c>
      <c r="N557" s="354" t="s">
        <v>395</v>
      </c>
      <c r="O557" s="354">
        <v>0</v>
      </c>
      <c r="P557" s="355" t="s">
        <v>396</v>
      </c>
      <c r="Q557" s="354" t="s">
        <v>397</v>
      </c>
      <c r="R557" s="353">
        <v>0</v>
      </c>
      <c r="S557" s="353">
        <v>0</v>
      </c>
      <c r="T557" s="353">
        <v>0</v>
      </c>
      <c r="U557" s="353">
        <v>0</v>
      </c>
      <c r="V557" s="353">
        <v>0</v>
      </c>
      <c r="W557" s="353">
        <v>0</v>
      </c>
    </row>
    <row r="558" spans="1:23" ht="30" x14ac:dyDescent="0.25">
      <c r="A558" s="348" t="s">
        <v>1329</v>
      </c>
      <c r="B558" s="349">
        <v>86</v>
      </c>
      <c r="C558" s="423">
        <v>45170</v>
      </c>
      <c r="D558" s="351">
        <v>45204</v>
      </c>
      <c r="E558" s="352"/>
      <c r="F558" s="352">
        <v>6</v>
      </c>
      <c r="G558" s="352" t="s">
        <v>315</v>
      </c>
      <c r="H558" s="424" t="s">
        <v>1334</v>
      </c>
      <c r="I558" s="350" t="s">
        <v>393</v>
      </c>
      <c r="J558" s="375">
        <v>133403.6</v>
      </c>
      <c r="K558" s="350" t="s">
        <v>394</v>
      </c>
      <c r="L558" s="354">
        <v>2802.3999950000002</v>
      </c>
      <c r="M558" s="375">
        <f t="shared" si="29"/>
        <v>47.60334007922377</v>
      </c>
      <c r="N558" s="354" t="s">
        <v>395</v>
      </c>
      <c r="O558" s="354">
        <v>0</v>
      </c>
      <c r="P558" s="355" t="s">
        <v>396</v>
      </c>
      <c r="Q558" s="354" t="s">
        <v>397</v>
      </c>
      <c r="R558" s="353">
        <v>0</v>
      </c>
      <c r="S558" s="353">
        <v>0</v>
      </c>
      <c r="T558" s="353">
        <v>0</v>
      </c>
      <c r="U558" s="353">
        <v>0</v>
      </c>
      <c r="V558" s="353">
        <v>0</v>
      </c>
      <c r="W558" s="353">
        <v>0</v>
      </c>
    </row>
    <row r="559" spans="1:23" x14ac:dyDescent="0.25">
      <c r="A559" s="348" t="s">
        <v>1329</v>
      </c>
      <c r="B559" s="349">
        <v>86</v>
      </c>
      <c r="C559" s="423">
        <v>45170</v>
      </c>
      <c r="D559" s="351">
        <v>45204</v>
      </c>
      <c r="E559" s="352"/>
      <c r="F559" s="352">
        <v>6</v>
      </c>
      <c r="G559" s="352" t="s">
        <v>316</v>
      </c>
      <c r="H559" s="424" t="s">
        <v>1335</v>
      </c>
      <c r="I559" s="350" t="s">
        <v>393</v>
      </c>
      <c r="J559" s="375">
        <v>345468.5</v>
      </c>
      <c r="K559" s="350" t="s">
        <v>394</v>
      </c>
      <c r="L559" s="354">
        <v>2802.3999950000002</v>
      </c>
      <c r="M559" s="375">
        <f t="shared" si="29"/>
        <v>123.27594226961878</v>
      </c>
      <c r="N559" s="354" t="s">
        <v>395</v>
      </c>
      <c r="O559" s="354">
        <v>0</v>
      </c>
      <c r="P559" s="355" t="s">
        <v>396</v>
      </c>
      <c r="Q559" s="354" t="s">
        <v>397</v>
      </c>
      <c r="R559" s="353">
        <v>0</v>
      </c>
      <c r="S559" s="353">
        <v>0</v>
      </c>
      <c r="T559" s="353">
        <v>0</v>
      </c>
      <c r="U559" s="353">
        <v>0</v>
      </c>
      <c r="V559" s="353">
        <v>0</v>
      </c>
      <c r="W559" s="353">
        <v>0</v>
      </c>
    </row>
    <row r="560" spans="1:23" x14ac:dyDescent="0.25">
      <c r="A560" s="348" t="s">
        <v>1329</v>
      </c>
      <c r="B560" s="349">
        <v>86</v>
      </c>
      <c r="C560" s="423">
        <v>45170</v>
      </c>
      <c r="D560" s="351">
        <v>45204</v>
      </c>
      <c r="E560" s="352"/>
      <c r="F560" s="352">
        <v>6</v>
      </c>
      <c r="G560" s="352" t="s">
        <v>317</v>
      </c>
      <c r="H560" s="424" t="s">
        <v>1336</v>
      </c>
      <c r="I560" s="350" t="s">
        <v>393</v>
      </c>
      <c r="J560" s="375">
        <f>1251994+169809+29400+18000+40000</f>
        <v>1509203</v>
      </c>
      <c r="K560" s="350" t="s">
        <v>394</v>
      </c>
      <c r="L560" s="354">
        <v>2802.3999950000002</v>
      </c>
      <c r="M560" s="375">
        <f t="shared" si="29"/>
        <v>538.5394671327067</v>
      </c>
      <c r="N560" s="354" t="s">
        <v>395</v>
      </c>
      <c r="O560" s="354">
        <v>0</v>
      </c>
      <c r="P560" s="355" t="s">
        <v>396</v>
      </c>
      <c r="Q560" s="354" t="s">
        <v>397</v>
      </c>
      <c r="R560" s="353">
        <v>0</v>
      </c>
      <c r="S560" s="353">
        <v>0</v>
      </c>
      <c r="T560" s="353">
        <v>0</v>
      </c>
      <c r="U560" s="353">
        <v>0</v>
      </c>
      <c r="V560" s="353">
        <v>0</v>
      </c>
      <c r="W560" s="353">
        <v>0</v>
      </c>
    </row>
    <row r="561" spans="1:23" x14ac:dyDescent="0.25">
      <c r="A561" s="348" t="s">
        <v>1337</v>
      </c>
      <c r="B561" s="349">
        <v>87</v>
      </c>
      <c r="C561" s="423">
        <v>45170</v>
      </c>
      <c r="D561" s="351">
        <v>45188</v>
      </c>
      <c r="E561" s="352"/>
      <c r="F561" s="352">
        <v>6</v>
      </c>
      <c r="G561" s="352" t="s">
        <v>335</v>
      </c>
      <c r="H561" s="424" t="s">
        <v>1338</v>
      </c>
      <c r="I561" s="350" t="s">
        <v>393</v>
      </c>
      <c r="J561" s="375">
        <v>200000</v>
      </c>
      <c r="K561" s="350" t="s">
        <v>394</v>
      </c>
      <c r="L561" s="354">
        <v>2802.3999950000002</v>
      </c>
      <c r="M561" s="375">
        <f t="shared" si="29"/>
        <v>71.367399499299523</v>
      </c>
      <c r="N561" s="354" t="s">
        <v>395</v>
      </c>
      <c r="O561" s="354">
        <v>0</v>
      </c>
      <c r="P561" s="355" t="s">
        <v>396</v>
      </c>
      <c r="Q561" s="354" t="s">
        <v>397</v>
      </c>
      <c r="R561" s="353">
        <v>0</v>
      </c>
      <c r="S561" s="353">
        <v>0</v>
      </c>
      <c r="T561" s="353">
        <v>0</v>
      </c>
      <c r="U561" s="353">
        <v>0</v>
      </c>
      <c r="V561" s="353">
        <v>0</v>
      </c>
      <c r="W561" s="353">
        <v>0</v>
      </c>
    </row>
    <row r="562" spans="1:23" x14ac:dyDescent="0.25">
      <c r="A562" s="348" t="s">
        <v>1337</v>
      </c>
      <c r="B562" s="349">
        <v>88</v>
      </c>
      <c r="C562" s="423">
        <v>45170</v>
      </c>
      <c r="D562" s="351">
        <v>45188</v>
      </c>
      <c r="E562" s="352"/>
      <c r="F562" s="352">
        <v>6</v>
      </c>
      <c r="G562" s="352" t="s">
        <v>337</v>
      </c>
      <c r="H562" s="424" t="s">
        <v>1339</v>
      </c>
      <c r="I562" s="350" t="s">
        <v>393</v>
      </c>
      <c r="J562" s="375">
        <f>100000*30%</f>
        <v>30000</v>
      </c>
      <c r="K562" s="350" t="s">
        <v>394</v>
      </c>
      <c r="L562" s="354">
        <v>2802.3999950000002</v>
      </c>
      <c r="M562" s="375">
        <f t="shared" si="29"/>
        <v>10.705109924894929</v>
      </c>
      <c r="N562" s="354" t="s">
        <v>395</v>
      </c>
      <c r="O562" s="354">
        <v>0</v>
      </c>
      <c r="P562" s="355" t="s">
        <v>396</v>
      </c>
      <c r="Q562" s="354" t="s">
        <v>397</v>
      </c>
      <c r="R562" s="353">
        <v>0</v>
      </c>
      <c r="S562" s="353">
        <v>0</v>
      </c>
      <c r="T562" s="353">
        <v>0</v>
      </c>
      <c r="U562" s="353">
        <v>0</v>
      </c>
      <c r="V562" s="353">
        <v>0</v>
      </c>
      <c r="W562" s="353">
        <v>0</v>
      </c>
    </row>
    <row r="563" spans="1:23" x14ac:dyDescent="0.25">
      <c r="A563" s="348" t="s">
        <v>1337</v>
      </c>
      <c r="B563" s="349">
        <v>89</v>
      </c>
      <c r="C563" s="423">
        <v>45170</v>
      </c>
      <c r="D563" s="351">
        <v>45188</v>
      </c>
      <c r="E563" s="352"/>
      <c r="F563" s="352">
        <v>6</v>
      </c>
      <c r="G563" s="352" t="s">
        <v>338</v>
      </c>
      <c r="H563" s="424" t="s">
        <v>1340</v>
      </c>
      <c r="I563" s="350" t="s">
        <v>393</v>
      </c>
      <c r="J563" s="375">
        <v>90000</v>
      </c>
      <c r="K563" s="350" t="s">
        <v>394</v>
      </c>
      <c r="L563" s="354">
        <v>2802.3999950000002</v>
      </c>
      <c r="M563" s="375">
        <f t="shared" si="29"/>
        <v>32.115329774684788</v>
      </c>
      <c r="N563" s="354" t="s">
        <v>395</v>
      </c>
      <c r="O563" s="354">
        <v>0</v>
      </c>
      <c r="P563" s="355" t="s">
        <v>396</v>
      </c>
      <c r="Q563" s="354" t="s">
        <v>397</v>
      </c>
      <c r="R563" s="353">
        <v>0</v>
      </c>
      <c r="S563" s="353">
        <v>0</v>
      </c>
      <c r="T563" s="353">
        <v>0</v>
      </c>
      <c r="U563" s="353">
        <v>0</v>
      </c>
      <c r="V563" s="353">
        <v>0</v>
      </c>
      <c r="W563" s="353">
        <v>0</v>
      </c>
    </row>
    <row r="564" spans="1:23" x14ac:dyDescent="0.25">
      <c r="A564" s="348" t="s">
        <v>1337</v>
      </c>
      <c r="B564" s="349">
        <v>90</v>
      </c>
      <c r="C564" s="423">
        <v>45170</v>
      </c>
      <c r="D564" s="351">
        <v>45188</v>
      </c>
      <c r="E564" s="352"/>
      <c r="F564" s="352">
        <v>6</v>
      </c>
      <c r="G564" s="352" t="s">
        <v>339</v>
      </c>
      <c r="H564" s="424" t="s">
        <v>1341</v>
      </c>
      <c r="I564" s="350" t="s">
        <v>393</v>
      </c>
      <c r="J564" s="375">
        <v>60000</v>
      </c>
      <c r="K564" s="350" t="s">
        <v>394</v>
      </c>
      <c r="L564" s="354">
        <v>2802.3999950000002</v>
      </c>
      <c r="M564" s="375">
        <f t="shared" si="29"/>
        <v>21.410219849789858</v>
      </c>
      <c r="N564" s="354" t="s">
        <v>395</v>
      </c>
      <c r="O564" s="354">
        <v>0</v>
      </c>
      <c r="P564" s="355" t="s">
        <v>396</v>
      </c>
      <c r="Q564" s="354" t="s">
        <v>397</v>
      </c>
      <c r="R564" s="353">
        <v>0</v>
      </c>
      <c r="S564" s="353">
        <v>0</v>
      </c>
      <c r="T564" s="353">
        <v>0</v>
      </c>
      <c r="U564" s="353">
        <v>0</v>
      </c>
      <c r="V564" s="353">
        <v>0</v>
      </c>
      <c r="W564" s="353">
        <v>0</v>
      </c>
    </row>
    <row r="565" spans="1:23" x14ac:dyDescent="0.25">
      <c r="A565" s="348" t="s">
        <v>1337</v>
      </c>
      <c r="B565" s="349">
        <v>91</v>
      </c>
      <c r="C565" s="423">
        <v>45170</v>
      </c>
      <c r="D565" s="351">
        <v>45188</v>
      </c>
      <c r="E565" s="352"/>
      <c r="F565" s="352">
        <v>6</v>
      </c>
      <c r="G565" s="352" t="s">
        <v>340</v>
      </c>
      <c r="H565" s="424" t="s">
        <v>1342</v>
      </c>
      <c r="I565" s="350" t="s">
        <v>393</v>
      </c>
      <c r="J565" s="375">
        <v>29495</v>
      </c>
      <c r="K565" s="350" t="s">
        <v>394</v>
      </c>
      <c r="L565" s="354">
        <v>2802.3999950000002</v>
      </c>
      <c r="M565" s="375">
        <f t="shared" si="29"/>
        <v>10.524907241159196</v>
      </c>
      <c r="N565" s="354" t="s">
        <v>395</v>
      </c>
      <c r="O565" s="354">
        <v>0</v>
      </c>
      <c r="P565" s="355" t="s">
        <v>396</v>
      </c>
      <c r="Q565" s="354" t="s">
        <v>397</v>
      </c>
      <c r="R565" s="353">
        <v>0</v>
      </c>
      <c r="S565" s="353">
        <v>0</v>
      </c>
      <c r="T565" s="353">
        <v>0</v>
      </c>
      <c r="U565" s="353">
        <v>0</v>
      </c>
      <c r="V565" s="353">
        <v>0</v>
      </c>
      <c r="W565" s="353">
        <v>0</v>
      </c>
    </row>
    <row r="566" spans="1:23" x14ac:dyDescent="0.25">
      <c r="A566" s="348" t="s">
        <v>1343</v>
      </c>
      <c r="B566" s="349">
        <v>92</v>
      </c>
      <c r="C566" s="423">
        <v>45170</v>
      </c>
      <c r="D566" s="351">
        <v>45170</v>
      </c>
      <c r="E566" s="352"/>
      <c r="F566" s="352">
        <v>6</v>
      </c>
      <c r="G566" s="352" t="s">
        <v>1306</v>
      </c>
      <c r="H566" s="424" t="s">
        <v>1307</v>
      </c>
      <c r="I566" s="350" t="s">
        <v>393</v>
      </c>
      <c r="J566" s="375">
        <f>32500+48000</f>
        <v>80500</v>
      </c>
      <c r="K566" s="350" t="s">
        <v>394</v>
      </c>
      <c r="L566" s="354">
        <v>2802.3999950000002</v>
      </c>
      <c r="M566" s="375">
        <f>J566/L566</f>
        <v>28.725378298468058</v>
      </c>
      <c r="N566" s="354" t="s">
        <v>395</v>
      </c>
      <c r="O566" s="354">
        <v>0</v>
      </c>
      <c r="P566" s="355" t="s">
        <v>396</v>
      </c>
      <c r="Q566" s="354" t="s">
        <v>397</v>
      </c>
      <c r="R566" s="353">
        <v>0</v>
      </c>
      <c r="S566" s="353">
        <v>0</v>
      </c>
      <c r="T566" s="353">
        <v>0</v>
      </c>
      <c r="U566" s="353">
        <v>0</v>
      </c>
      <c r="V566" s="353">
        <v>0</v>
      </c>
      <c r="W566" s="353">
        <v>0</v>
      </c>
    </row>
    <row r="567" spans="1:23" x14ac:dyDescent="0.25">
      <c r="A567" s="348" t="s">
        <v>1344</v>
      </c>
      <c r="B567" s="349">
        <v>92</v>
      </c>
      <c r="C567" s="423">
        <v>45170</v>
      </c>
      <c r="D567" s="351">
        <v>45187</v>
      </c>
      <c r="E567" s="352"/>
      <c r="F567" s="352">
        <v>6</v>
      </c>
      <c r="G567" s="352" t="s">
        <v>1306</v>
      </c>
      <c r="H567" s="424" t="s">
        <v>1307</v>
      </c>
      <c r="I567" s="350" t="s">
        <v>393</v>
      </c>
      <c r="J567" s="375">
        <f>26000+44500</f>
        <v>70500</v>
      </c>
      <c r="K567" s="350" t="s">
        <v>394</v>
      </c>
      <c r="L567" s="354">
        <v>2802.3999950000002</v>
      </c>
      <c r="M567" s="375">
        <f>J567/L567</f>
        <v>25.157008323503081</v>
      </c>
      <c r="N567" s="354" t="s">
        <v>395</v>
      </c>
      <c r="O567" s="354">
        <v>0</v>
      </c>
      <c r="P567" s="355" t="s">
        <v>396</v>
      </c>
      <c r="Q567" s="354" t="s">
        <v>397</v>
      </c>
      <c r="R567" s="353">
        <v>0</v>
      </c>
      <c r="S567" s="353">
        <v>0</v>
      </c>
      <c r="T567" s="353">
        <v>0</v>
      </c>
      <c r="U567" s="353">
        <v>0</v>
      </c>
      <c r="V567" s="353">
        <v>0</v>
      </c>
      <c r="W567" s="353">
        <v>0</v>
      </c>
    </row>
    <row r="568" spans="1:23" x14ac:dyDescent="0.25">
      <c r="A568" s="348" t="s">
        <v>1345</v>
      </c>
      <c r="B568" s="349">
        <v>93</v>
      </c>
      <c r="C568" s="423">
        <v>45170</v>
      </c>
      <c r="D568" s="351">
        <v>45204</v>
      </c>
      <c r="E568" s="352"/>
      <c r="F568" s="352">
        <v>6</v>
      </c>
      <c r="G568" s="352" t="s">
        <v>336</v>
      </c>
      <c r="H568" s="424" t="s">
        <v>1346</v>
      </c>
      <c r="I568" s="350" t="s">
        <v>393</v>
      </c>
      <c r="J568" s="375">
        <v>150000</v>
      </c>
      <c r="K568" s="350" t="s">
        <v>394</v>
      </c>
      <c r="L568" s="354">
        <v>2802.3999950000002</v>
      </c>
      <c r="M568" s="375">
        <f t="shared" si="29"/>
        <v>53.525549624474642</v>
      </c>
      <c r="N568" s="354" t="s">
        <v>395</v>
      </c>
      <c r="O568" s="354">
        <v>0</v>
      </c>
      <c r="P568" s="355" t="s">
        <v>396</v>
      </c>
      <c r="Q568" s="354" t="s">
        <v>397</v>
      </c>
      <c r="R568" s="353">
        <v>0</v>
      </c>
      <c r="S568" s="353">
        <v>0</v>
      </c>
      <c r="T568" s="353">
        <v>0</v>
      </c>
      <c r="U568" s="353">
        <v>0</v>
      </c>
      <c r="V568" s="353">
        <v>0</v>
      </c>
      <c r="W568" s="353">
        <v>0</v>
      </c>
    </row>
    <row r="569" spans="1:23" x14ac:dyDescent="0.25">
      <c r="A569" s="348" t="s">
        <v>1347</v>
      </c>
      <c r="B569" s="349">
        <v>94</v>
      </c>
      <c r="C569" s="423">
        <v>45170</v>
      </c>
      <c r="D569" s="351">
        <v>45204</v>
      </c>
      <c r="E569" s="352"/>
      <c r="F569" s="352">
        <v>6</v>
      </c>
      <c r="G569" s="352" t="s">
        <v>1326</v>
      </c>
      <c r="H569" s="424" t="s">
        <v>1348</v>
      </c>
      <c r="I569" s="350" t="s">
        <v>393</v>
      </c>
      <c r="J569" s="375">
        <v>93958</v>
      </c>
      <c r="K569" s="350" t="s">
        <v>394</v>
      </c>
      <c r="L569" s="354">
        <v>2802.3999950000002</v>
      </c>
      <c r="M569" s="375">
        <f>J569/L569</f>
        <v>33.52769061077592</v>
      </c>
      <c r="N569" s="354" t="s">
        <v>395</v>
      </c>
      <c r="O569" s="354">
        <v>0</v>
      </c>
      <c r="P569" s="355" t="s">
        <v>396</v>
      </c>
      <c r="Q569" s="354" t="s">
        <v>397</v>
      </c>
      <c r="R569" s="353">
        <v>0</v>
      </c>
      <c r="S569" s="353">
        <v>0</v>
      </c>
      <c r="T569" s="353">
        <v>0</v>
      </c>
      <c r="U569" s="353">
        <v>0</v>
      </c>
      <c r="V569" s="353">
        <v>0</v>
      </c>
      <c r="W569" s="353">
        <v>0</v>
      </c>
    </row>
    <row r="570" spans="1:23" x14ac:dyDescent="0.25">
      <c r="A570" s="348" t="s">
        <v>1349</v>
      </c>
      <c r="B570" s="349">
        <v>95</v>
      </c>
      <c r="C570" s="423">
        <v>45170</v>
      </c>
      <c r="D570" s="351">
        <v>45204</v>
      </c>
      <c r="E570" s="352"/>
      <c r="F570" s="352">
        <v>6</v>
      </c>
      <c r="G570" s="352" t="s">
        <v>1326</v>
      </c>
      <c r="H570" s="424" t="s">
        <v>1348</v>
      </c>
      <c r="I570" s="350" t="s">
        <v>393</v>
      </c>
      <c r="J570" s="375">
        <v>16042</v>
      </c>
      <c r="K570" s="350" t="s">
        <v>394</v>
      </c>
      <c r="L570" s="354">
        <v>2802.3999950000002</v>
      </c>
      <c r="M570" s="375">
        <f>J570/L570</f>
        <v>5.7243791138388147</v>
      </c>
      <c r="N570" s="354" t="s">
        <v>395</v>
      </c>
      <c r="O570" s="354">
        <v>0</v>
      </c>
      <c r="P570" s="355" t="s">
        <v>396</v>
      </c>
      <c r="Q570" s="354" t="s">
        <v>397</v>
      </c>
      <c r="R570" s="353">
        <v>0</v>
      </c>
      <c r="S570" s="353">
        <v>0</v>
      </c>
      <c r="T570" s="353">
        <v>0</v>
      </c>
      <c r="U570" s="353">
        <v>0</v>
      </c>
      <c r="V570" s="353">
        <v>0</v>
      </c>
      <c r="W570" s="353">
        <v>0</v>
      </c>
    </row>
    <row r="571" spans="1:23" x14ac:dyDescent="0.25">
      <c r="A571" s="348" t="s">
        <v>1350</v>
      </c>
      <c r="B571" s="349">
        <v>96</v>
      </c>
      <c r="C571" s="423">
        <v>45170</v>
      </c>
      <c r="D571" s="351">
        <v>45204</v>
      </c>
      <c r="E571" s="352"/>
      <c r="F571" s="352">
        <v>6</v>
      </c>
      <c r="G571" s="352" t="s">
        <v>1326</v>
      </c>
      <c r="H571" s="424" t="s">
        <v>1348</v>
      </c>
      <c r="I571" s="350" t="s">
        <v>393</v>
      </c>
      <c r="J571" s="375">
        <v>40000</v>
      </c>
      <c r="K571" s="350" t="s">
        <v>394</v>
      </c>
      <c r="L571" s="354">
        <v>2802.3999950000002</v>
      </c>
      <c r="M571" s="375">
        <f>J571/L571</f>
        <v>14.273479899859904</v>
      </c>
      <c r="N571" s="354" t="s">
        <v>395</v>
      </c>
      <c r="O571" s="354">
        <v>0</v>
      </c>
      <c r="P571" s="355" t="s">
        <v>396</v>
      </c>
      <c r="Q571" s="354" t="s">
        <v>397</v>
      </c>
      <c r="R571" s="353">
        <v>0</v>
      </c>
      <c r="S571" s="353">
        <v>0</v>
      </c>
      <c r="T571" s="353">
        <v>0</v>
      </c>
      <c r="U571" s="353">
        <v>0</v>
      </c>
      <c r="V571" s="353">
        <v>0</v>
      </c>
      <c r="W571" s="353">
        <v>0</v>
      </c>
    </row>
    <row r="572" spans="1:23" x14ac:dyDescent="0.25">
      <c r="A572" s="348" t="s">
        <v>737</v>
      </c>
      <c r="B572" s="349">
        <v>97</v>
      </c>
      <c r="C572" s="423">
        <v>45170</v>
      </c>
      <c r="D572" s="351">
        <v>45199</v>
      </c>
      <c r="E572" s="352"/>
      <c r="F572" s="352">
        <v>6</v>
      </c>
      <c r="G572" s="352" t="s">
        <v>342</v>
      </c>
      <c r="H572" s="424" t="s">
        <v>1310</v>
      </c>
      <c r="I572" s="350" t="s">
        <v>393</v>
      </c>
      <c r="J572" s="375">
        <f>2000+4900+3000</f>
        <v>9900</v>
      </c>
      <c r="K572" s="350" t="s">
        <v>394</v>
      </c>
      <c r="L572" s="354">
        <v>2802.3999950000002</v>
      </c>
      <c r="M572" s="375">
        <f>J572/L572</f>
        <v>3.5326862752153265</v>
      </c>
      <c r="N572" s="354" t="s">
        <v>395</v>
      </c>
      <c r="O572" s="354">
        <v>0</v>
      </c>
      <c r="P572" s="355" t="s">
        <v>396</v>
      </c>
      <c r="Q572" s="354" t="s">
        <v>397</v>
      </c>
      <c r="R572" s="353">
        <v>0</v>
      </c>
      <c r="S572" s="353">
        <v>0</v>
      </c>
      <c r="T572" s="353">
        <v>0</v>
      </c>
      <c r="U572" s="353">
        <v>0</v>
      </c>
      <c r="V572" s="353">
        <v>0</v>
      </c>
      <c r="W572" s="353">
        <v>0</v>
      </c>
    </row>
    <row r="573" spans="1:23" x14ac:dyDescent="0.25">
      <c r="A573" s="348" t="s">
        <v>1428</v>
      </c>
      <c r="B573" s="349">
        <v>5197</v>
      </c>
      <c r="C573" s="350" t="s">
        <v>1429</v>
      </c>
      <c r="D573" s="351">
        <v>45127</v>
      </c>
      <c r="E573" s="352">
        <v>3420</v>
      </c>
      <c r="F573" s="352">
        <v>7</v>
      </c>
      <c r="G573" s="351"/>
      <c r="H573" s="350" t="s">
        <v>1430</v>
      </c>
      <c r="I573" s="350" t="s">
        <v>393</v>
      </c>
      <c r="J573" s="354">
        <v>145636</v>
      </c>
      <c r="K573" s="350" t="s">
        <v>394</v>
      </c>
      <c r="L573" s="354">
        <v>2.8078499999999998E-4</v>
      </c>
      <c r="M573" s="354">
        <v>51.91</v>
      </c>
      <c r="N573" s="350" t="s">
        <v>395</v>
      </c>
      <c r="O573" s="354">
        <v>40.89</v>
      </c>
      <c r="P573" s="355" t="s">
        <v>396</v>
      </c>
      <c r="Q573" s="354" t="s">
        <v>404</v>
      </c>
      <c r="R573" s="355" t="s">
        <v>405</v>
      </c>
      <c r="S573" s="355">
        <v>0</v>
      </c>
      <c r="T573" s="350" t="s">
        <v>410</v>
      </c>
      <c r="U573" s="351">
        <v>45142</v>
      </c>
      <c r="V573" s="351">
        <v>45145</v>
      </c>
      <c r="W573" s="350" t="s">
        <v>407</v>
      </c>
    </row>
    <row r="574" spans="1:23" x14ac:dyDescent="0.25">
      <c r="A574" s="348" t="s">
        <v>457</v>
      </c>
      <c r="B574" s="349">
        <v>5234</v>
      </c>
      <c r="C574" s="350" t="s">
        <v>1429</v>
      </c>
      <c r="D574" s="351">
        <v>45138</v>
      </c>
      <c r="E574" s="352">
        <v>3600</v>
      </c>
      <c r="F574" s="352">
        <v>7</v>
      </c>
      <c r="G574" s="351"/>
      <c r="H574" s="350" t="s">
        <v>1431</v>
      </c>
      <c r="I574" s="350" t="s">
        <v>393</v>
      </c>
      <c r="J574" s="354">
        <v>50500</v>
      </c>
      <c r="K574" s="350" t="s">
        <v>394</v>
      </c>
      <c r="L574" s="354">
        <v>2.8078499999999998E-4</v>
      </c>
      <c r="M574" s="354">
        <v>18</v>
      </c>
      <c r="N574" s="350" t="s">
        <v>395</v>
      </c>
      <c r="O574" s="354">
        <v>14.18</v>
      </c>
      <c r="P574" s="355" t="s">
        <v>396</v>
      </c>
      <c r="Q574" s="354" t="s">
        <v>404</v>
      </c>
      <c r="R574" s="355" t="s">
        <v>405</v>
      </c>
      <c r="S574" s="355">
        <v>0</v>
      </c>
      <c r="T574" s="350" t="s">
        <v>410</v>
      </c>
      <c r="U574" s="351">
        <v>45145</v>
      </c>
      <c r="V574" s="351">
        <v>45145</v>
      </c>
      <c r="W574" s="350" t="s">
        <v>407</v>
      </c>
    </row>
    <row r="575" spans="1:23" x14ac:dyDescent="0.25">
      <c r="A575" s="348" t="s">
        <v>1432</v>
      </c>
      <c r="B575" s="349">
        <v>5259</v>
      </c>
      <c r="C575" s="350" t="s">
        <v>1429</v>
      </c>
      <c r="D575" s="351">
        <v>45125</v>
      </c>
      <c r="E575" s="352">
        <v>3420</v>
      </c>
      <c r="F575" s="352">
        <v>7</v>
      </c>
      <c r="G575" s="351"/>
      <c r="H575" s="350" t="s">
        <v>1433</v>
      </c>
      <c r="I575" s="350" t="s">
        <v>393</v>
      </c>
      <c r="J575" s="354">
        <v>50000</v>
      </c>
      <c r="K575" s="350" t="s">
        <v>394</v>
      </c>
      <c r="L575" s="354">
        <v>2.8078499999999998E-4</v>
      </c>
      <c r="M575" s="354">
        <v>17.82</v>
      </c>
      <c r="N575" s="350" t="s">
        <v>395</v>
      </c>
      <c r="O575" s="354">
        <v>14.04</v>
      </c>
      <c r="P575" s="355" t="s">
        <v>396</v>
      </c>
      <c r="Q575" s="354" t="s">
        <v>404</v>
      </c>
      <c r="R575" s="355" t="s">
        <v>405</v>
      </c>
      <c r="S575" s="355">
        <v>0</v>
      </c>
      <c r="T575" s="350" t="s">
        <v>474</v>
      </c>
      <c r="U575" s="351">
        <v>45142</v>
      </c>
      <c r="V575" s="351">
        <v>45145</v>
      </c>
      <c r="W575" s="350" t="s">
        <v>407</v>
      </c>
    </row>
    <row r="576" spans="1:23" x14ac:dyDescent="0.25">
      <c r="A576" s="348" t="s">
        <v>1434</v>
      </c>
      <c r="B576" s="349">
        <v>5180</v>
      </c>
      <c r="C576" s="350" t="s">
        <v>1429</v>
      </c>
      <c r="D576" s="351">
        <v>45125</v>
      </c>
      <c r="E576" s="352">
        <v>3420</v>
      </c>
      <c r="F576" s="352">
        <v>7</v>
      </c>
      <c r="G576" s="351"/>
      <c r="H576" s="350" t="s">
        <v>1435</v>
      </c>
      <c r="I576" s="350" t="s">
        <v>393</v>
      </c>
      <c r="J576" s="354">
        <v>50000</v>
      </c>
      <c r="K576" s="350" t="s">
        <v>394</v>
      </c>
      <c r="L576" s="354">
        <v>2.8078499999999998E-4</v>
      </c>
      <c r="M576" s="354">
        <v>17.82</v>
      </c>
      <c r="N576" s="350" t="s">
        <v>395</v>
      </c>
      <c r="O576" s="354">
        <v>14.04</v>
      </c>
      <c r="P576" s="355" t="s">
        <v>396</v>
      </c>
      <c r="Q576" s="354" t="s">
        <v>404</v>
      </c>
      <c r="R576" s="355" t="s">
        <v>405</v>
      </c>
      <c r="S576" s="355">
        <v>0</v>
      </c>
      <c r="T576" s="350" t="s">
        <v>410</v>
      </c>
      <c r="U576" s="351">
        <v>45142</v>
      </c>
      <c r="V576" s="351">
        <v>45142</v>
      </c>
      <c r="W576" s="350" t="s">
        <v>407</v>
      </c>
    </row>
    <row r="577" spans="1:23" x14ac:dyDescent="0.25">
      <c r="A577" s="348" t="s">
        <v>1436</v>
      </c>
      <c r="B577" s="349">
        <v>5214</v>
      </c>
      <c r="C577" s="350" t="s">
        <v>1429</v>
      </c>
      <c r="D577" s="351">
        <v>45135</v>
      </c>
      <c r="E577" s="352">
        <v>3350</v>
      </c>
      <c r="F577" s="352">
        <v>5</v>
      </c>
      <c r="G577" s="351"/>
      <c r="H577" s="350" t="s">
        <v>1437</v>
      </c>
      <c r="I577" s="350" t="s">
        <v>393</v>
      </c>
      <c r="J577" s="354">
        <v>406700</v>
      </c>
      <c r="K577" s="350" t="s">
        <v>394</v>
      </c>
      <c r="L577" s="354">
        <v>2.8078499999999998E-4</v>
      </c>
      <c r="M577" s="354">
        <v>144.97</v>
      </c>
      <c r="N577" s="350" t="s">
        <v>395</v>
      </c>
      <c r="O577" s="354">
        <v>114.2</v>
      </c>
      <c r="P577" s="355" t="s">
        <v>396</v>
      </c>
      <c r="Q577" s="354" t="s">
        <v>404</v>
      </c>
      <c r="R577" s="355" t="s">
        <v>405</v>
      </c>
      <c r="S577" s="355">
        <v>0</v>
      </c>
      <c r="T577" s="350" t="s">
        <v>410</v>
      </c>
      <c r="U577" s="351">
        <v>45145</v>
      </c>
      <c r="V577" s="351">
        <v>45145</v>
      </c>
      <c r="W577" s="350" t="s">
        <v>407</v>
      </c>
    </row>
    <row r="578" spans="1:23" x14ac:dyDescent="0.25">
      <c r="A578" s="348" t="s">
        <v>1436</v>
      </c>
      <c r="B578" s="349">
        <v>5214</v>
      </c>
      <c r="C578" s="350" t="s">
        <v>1429</v>
      </c>
      <c r="D578" s="351">
        <v>45135</v>
      </c>
      <c r="E578" s="352">
        <v>3350</v>
      </c>
      <c r="F578" s="352">
        <v>5</v>
      </c>
      <c r="G578" s="351"/>
      <c r="H578" s="350" t="s">
        <v>1438</v>
      </c>
      <c r="I578" s="350" t="s">
        <v>393</v>
      </c>
      <c r="J578" s="354">
        <v>148000</v>
      </c>
      <c r="K578" s="350" t="s">
        <v>394</v>
      </c>
      <c r="L578" s="354">
        <v>2.8078499999999998E-4</v>
      </c>
      <c r="M578" s="354">
        <v>52.76</v>
      </c>
      <c r="N578" s="350" t="s">
        <v>395</v>
      </c>
      <c r="O578" s="354">
        <v>41.56</v>
      </c>
      <c r="P578" s="355" t="s">
        <v>396</v>
      </c>
      <c r="Q578" s="354" t="s">
        <v>404</v>
      </c>
      <c r="R578" s="355" t="s">
        <v>405</v>
      </c>
      <c r="S578" s="355">
        <v>0</v>
      </c>
      <c r="T578" s="350" t="s">
        <v>410</v>
      </c>
      <c r="U578" s="351">
        <v>45145</v>
      </c>
      <c r="V578" s="351">
        <v>45145</v>
      </c>
      <c r="W578" s="350" t="s">
        <v>407</v>
      </c>
    </row>
    <row r="579" spans="1:23" x14ac:dyDescent="0.25">
      <c r="A579" s="348" t="s">
        <v>1439</v>
      </c>
      <c r="B579" s="349">
        <v>5194</v>
      </c>
      <c r="C579" s="350" t="s">
        <v>1429</v>
      </c>
      <c r="D579" s="351">
        <v>45125</v>
      </c>
      <c r="E579" s="352">
        <v>3490</v>
      </c>
      <c r="F579" s="352">
        <v>7</v>
      </c>
      <c r="G579" s="351"/>
      <c r="H579" s="350" t="s">
        <v>1440</v>
      </c>
      <c r="I579" s="350" t="s">
        <v>393</v>
      </c>
      <c r="J579" s="354">
        <v>166400</v>
      </c>
      <c r="K579" s="350" t="s">
        <v>394</v>
      </c>
      <c r="L579" s="354">
        <v>2.8078499999999998E-4</v>
      </c>
      <c r="M579" s="354">
        <v>59.31</v>
      </c>
      <c r="N579" s="350" t="s">
        <v>395</v>
      </c>
      <c r="O579" s="354">
        <v>46.72</v>
      </c>
      <c r="P579" s="355" t="s">
        <v>396</v>
      </c>
      <c r="Q579" s="354" t="s">
        <v>404</v>
      </c>
      <c r="R579" s="355" t="s">
        <v>405</v>
      </c>
      <c r="S579" s="355">
        <v>0</v>
      </c>
      <c r="T579" s="350" t="s">
        <v>410</v>
      </c>
      <c r="U579" s="351">
        <v>45142</v>
      </c>
      <c r="V579" s="351">
        <v>45145</v>
      </c>
      <c r="W579" s="350" t="s">
        <v>407</v>
      </c>
    </row>
    <row r="580" spans="1:23" x14ac:dyDescent="0.25">
      <c r="A580" s="348" t="s">
        <v>1441</v>
      </c>
      <c r="B580" s="349">
        <v>5252</v>
      </c>
      <c r="C580" s="350" t="s">
        <v>1429</v>
      </c>
      <c r="D580" s="351">
        <v>45117</v>
      </c>
      <c r="E580" s="352">
        <v>3490</v>
      </c>
      <c r="F580" s="352">
        <v>7</v>
      </c>
      <c r="G580" s="351"/>
      <c r="H580" s="350" t="s">
        <v>1442</v>
      </c>
      <c r="I580" s="350" t="s">
        <v>393</v>
      </c>
      <c r="J580" s="354">
        <v>42000</v>
      </c>
      <c r="K580" s="350" t="s">
        <v>394</v>
      </c>
      <c r="L580" s="354">
        <v>2.8078499999999998E-4</v>
      </c>
      <c r="M580" s="354">
        <v>14.97</v>
      </c>
      <c r="N580" s="350" t="s">
        <v>395</v>
      </c>
      <c r="O580" s="354">
        <v>11.79</v>
      </c>
      <c r="P580" s="355" t="s">
        <v>396</v>
      </c>
      <c r="Q580" s="354" t="s">
        <v>404</v>
      </c>
      <c r="R580" s="355" t="s">
        <v>405</v>
      </c>
      <c r="S580" s="355">
        <v>0</v>
      </c>
      <c r="T580" s="350" t="s">
        <v>410</v>
      </c>
      <c r="U580" s="351">
        <v>45145</v>
      </c>
      <c r="V580" s="351">
        <v>45145</v>
      </c>
      <c r="W580" s="350" t="s">
        <v>407</v>
      </c>
    </row>
    <row r="581" spans="1:23" x14ac:dyDescent="0.25">
      <c r="A581" s="348" t="s">
        <v>1443</v>
      </c>
      <c r="B581" s="349">
        <v>5275</v>
      </c>
      <c r="C581" s="350" t="s">
        <v>1429</v>
      </c>
      <c r="D581" s="351">
        <v>45124</v>
      </c>
      <c r="E581" s="352">
        <v>3460</v>
      </c>
      <c r="F581" s="352">
        <v>7</v>
      </c>
      <c r="G581" s="351"/>
      <c r="H581" s="350" t="s">
        <v>1444</v>
      </c>
      <c r="I581" s="350" t="s">
        <v>393</v>
      </c>
      <c r="J581" s="354">
        <v>80000</v>
      </c>
      <c r="K581" s="350" t="s">
        <v>394</v>
      </c>
      <c r="L581" s="354">
        <v>2.8078499999999998E-4</v>
      </c>
      <c r="M581" s="354">
        <v>28.52</v>
      </c>
      <c r="N581" s="350" t="s">
        <v>395</v>
      </c>
      <c r="O581" s="354">
        <v>22.46</v>
      </c>
      <c r="P581" s="355" t="s">
        <v>396</v>
      </c>
      <c r="Q581" s="354" t="s">
        <v>404</v>
      </c>
      <c r="R581" s="355" t="s">
        <v>405</v>
      </c>
      <c r="S581" s="355">
        <v>0</v>
      </c>
      <c r="T581" s="350" t="s">
        <v>410</v>
      </c>
      <c r="U581" s="351">
        <v>45145</v>
      </c>
      <c r="V581" s="351">
        <v>45145</v>
      </c>
      <c r="W581" s="350" t="s">
        <v>407</v>
      </c>
    </row>
    <row r="582" spans="1:23" x14ac:dyDescent="0.25">
      <c r="A582" s="348" t="s">
        <v>1445</v>
      </c>
      <c r="B582" s="349">
        <v>5277</v>
      </c>
      <c r="C582" s="350" t="s">
        <v>1429</v>
      </c>
      <c r="D582" s="351">
        <v>45124</v>
      </c>
      <c r="E582" s="352">
        <v>3490</v>
      </c>
      <c r="F582" s="352">
        <v>7</v>
      </c>
      <c r="G582" s="351"/>
      <c r="H582" s="350" t="s">
        <v>1442</v>
      </c>
      <c r="I582" s="350" t="s">
        <v>393</v>
      </c>
      <c r="J582" s="354">
        <v>54000</v>
      </c>
      <c r="K582" s="350" t="s">
        <v>394</v>
      </c>
      <c r="L582" s="354">
        <v>2.8078499999999998E-4</v>
      </c>
      <c r="M582" s="354">
        <v>19.25</v>
      </c>
      <c r="N582" s="350" t="s">
        <v>395</v>
      </c>
      <c r="O582" s="354">
        <v>15.16</v>
      </c>
      <c r="P582" s="355" t="s">
        <v>396</v>
      </c>
      <c r="Q582" s="354" t="s">
        <v>404</v>
      </c>
      <c r="R582" s="355" t="s">
        <v>405</v>
      </c>
      <c r="S582" s="355">
        <v>0</v>
      </c>
      <c r="T582" s="350" t="s">
        <v>410</v>
      </c>
      <c r="U582" s="351">
        <v>45145</v>
      </c>
      <c r="V582" s="351">
        <v>45145</v>
      </c>
      <c r="W582" s="350" t="s">
        <v>407</v>
      </c>
    </row>
    <row r="583" spans="1:23" x14ac:dyDescent="0.25">
      <c r="A583" s="348" t="s">
        <v>1448</v>
      </c>
      <c r="B583" s="349">
        <v>5286</v>
      </c>
      <c r="C583" s="350" t="s">
        <v>1429</v>
      </c>
      <c r="D583" s="351">
        <v>45128</v>
      </c>
      <c r="E583" s="352">
        <v>3340</v>
      </c>
      <c r="F583" s="352">
        <v>5</v>
      </c>
      <c r="G583" s="351"/>
      <c r="H583" s="350" t="s">
        <v>1449</v>
      </c>
      <c r="I583" s="350" t="s">
        <v>393</v>
      </c>
      <c r="J583" s="354">
        <v>10000</v>
      </c>
      <c r="K583" s="350" t="s">
        <v>394</v>
      </c>
      <c r="L583" s="354">
        <v>2.8078499999999998E-4</v>
      </c>
      <c r="M583" s="354">
        <v>3.56</v>
      </c>
      <c r="N583" s="350" t="s">
        <v>395</v>
      </c>
      <c r="O583" s="354">
        <v>2.81</v>
      </c>
      <c r="P583" s="355" t="s">
        <v>396</v>
      </c>
      <c r="Q583" s="354" t="s">
        <v>404</v>
      </c>
      <c r="R583" s="355" t="s">
        <v>405</v>
      </c>
      <c r="S583" s="355">
        <v>0</v>
      </c>
      <c r="T583" s="350" t="s">
        <v>410</v>
      </c>
      <c r="U583" s="351">
        <v>45145</v>
      </c>
      <c r="V583" s="351">
        <v>45145</v>
      </c>
      <c r="W583" s="350" t="s">
        <v>407</v>
      </c>
    </row>
    <row r="584" spans="1:23" x14ac:dyDescent="0.25">
      <c r="A584" s="348" t="s">
        <v>1450</v>
      </c>
      <c r="B584" s="349">
        <v>5300</v>
      </c>
      <c r="C584" s="350" t="s">
        <v>1429</v>
      </c>
      <c r="D584" s="351">
        <v>45138</v>
      </c>
      <c r="E584" s="352">
        <v>3490</v>
      </c>
      <c r="F584" s="352">
        <v>7</v>
      </c>
      <c r="G584" s="351"/>
      <c r="H584" s="350" t="s">
        <v>1451</v>
      </c>
      <c r="I584" s="350" t="s">
        <v>393</v>
      </c>
      <c r="J584" s="354">
        <v>10000</v>
      </c>
      <c r="K584" s="350" t="s">
        <v>394</v>
      </c>
      <c r="L584" s="354">
        <v>2.8078499999999998E-4</v>
      </c>
      <c r="M584" s="354">
        <v>3.56</v>
      </c>
      <c r="N584" s="350" t="s">
        <v>395</v>
      </c>
      <c r="O584" s="354">
        <v>2.81</v>
      </c>
      <c r="P584" s="355" t="s">
        <v>396</v>
      </c>
      <c r="Q584" s="354" t="s">
        <v>404</v>
      </c>
      <c r="R584" s="355" t="s">
        <v>405</v>
      </c>
      <c r="S584" s="355">
        <v>0</v>
      </c>
      <c r="T584" s="350" t="s">
        <v>410</v>
      </c>
      <c r="U584" s="351">
        <v>45145</v>
      </c>
      <c r="V584" s="351">
        <v>45145</v>
      </c>
      <c r="W584" s="350" t="s">
        <v>407</v>
      </c>
    </row>
    <row r="585" spans="1:23" x14ac:dyDescent="0.25">
      <c r="A585" s="348" t="s">
        <v>1452</v>
      </c>
      <c r="B585" s="349">
        <v>5264</v>
      </c>
      <c r="C585" s="350" t="s">
        <v>1429</v>
      </c>
      <c r="D585" s="351">
        <v>45114</v>
      </c>
      <c r="E585" s="352">
        <v>3350</v>
      </c>
      <c r="F585" s="352">
        <v>5</v>
      </c>
      <c r="G585" s="351"/>
      <c r="H585" s="350" t="s">
        <v>1453</v>
      </c>
      <c r="I585" s="350" t="s">
        <v>393</v>
      </c>
      <c r="J585" s="354">
        <v>372117.5</v>
      </c>
      <c r="K585" s="350" t="s">
        <v>394</v>
      </c>
      <c r="L585" s="354">
        <v>2.8078499999999998E-4</v>
      </c>
      <c r="M585" s="354">
        <v>132.63999999999999</v>
      </c>
      <c r="N585" s="350" t="s">
        <v>395</v>
      </c>
      <c r="O585" s="354">
        <v>104.49</v>
      </c>
      <c r="P585" s="355" t="s">
        <v>396</v>
      </c>
      <c r="Q585" s="354" t="s">
        <v>404</v>
      </c>
      <c r="R585" s="355" t="s">
        <v>405</v>
      </c>
      <c r="S585" s="355">
        <v>102727</v>
      </c>
      <c r="T585" s="350" t="s">
        <v>410</v>
      </c>
      <c r="U585" s="351">
        <v>45145</v>
      </c>
      <c r="V585" s="351">
        <v>45145</v>
      </c>
      <c r="W585" s="350" t="s">
        <v>407</v>
      </c>
    </row>
    <row r="586" spans="1:23" x14ac:dyDescent="0.25">
      <c r="A586" s="348" t="s">
        <v>1454</v>
      </c>
      <c r="B586" s="349">
        <v>5129</v>
      </c>
      <c r="C586" s="350" t="s">
        <v>1429</v>
      </c>
      <c r="D586" s="351">
        <v>45135</v>
      </c>
      <c r="E586" s="352">
        <v>3110</v>
      </c>
      <c r="F586" s="352">
        <v>1</v>
      </c>
      <c r="G586" s="351"/>
      <c r="H586" s="350" t="s">
        <v>437</v>
      </c>
      <c r="I586" s="350" t="s">
        <v>393</v>
      </c>
      <c r="J586" s="354">
        <v>2110426.7999999998</v>
      </c>
      <c r="K586" s="350" t="s">
        <v>394</v>
      </c>
      <c r="L586" s="354">
        <v>3.0000099999999999E-4</v>
      </c>
      <c r="M586" s="354">
        <v>752.28</v>
      </c>
      <c r="N586" s="350" t="s">
        <v>395</v>
      </c>
      <c r="O586" s="354">
        <v>633.13</v>
      </c>
      <c r="P586" s="355" t="s">
        <v>396</v>
      </c>
      <c r="Q586" s="354" t="s">
        <v>404</v>
      </c>
      <c r="R586" s="355" t="s">
        <v>405</v>
      </c>
      <c r="S586" s="355">
        <v>102955</v>
      </c>
      <c r="T586" s="350" t="s">
        <v>406</v>
      </c>
      <c r="U586" s="351">
        <v>45140</v>
      </c>
      <c r="V586" s="351">
        <v>45139</v>
      </c>
      <c r="W586" s="350" t="s">
        <v>407</v>
      </c>
    </row>
    <row r="587" spans="1:23" x14ac:dyDescent="0.25">
      <c r="A587" s="348" t="s">
        <v>1454</v>
      </c>
      <c r="B587" s="349">
        <v>5129</v>
      </c>
      <c r="C587" s="350" t="s">
        <v>1429</v>
      </c>
      <c r="D587" s="351">
        <v>45135</v>
      </c>
      <c r="E587" s="352">
        <v>3110</v>
      </c>
      <c r="F587" s="352">
        <v>1</v>
      </c>
      <c r="G587" s="351"/>
      <c r="H587" s="350" t="s">
        <v>437</v>
      </c>
      <c r="I587" s="350" t="s">
        <v>393</v>
      </c>
      <c r="J587" s="354">
        <v>595528.80000000005</v>
      </c>
      <c r="K587" s="350" t="s">
        <v>394</v>
      </c>
      <c r="L587" s="354">
        <v>3.0000200000000001E-4</v>
      </c>
      <c r="M587" s="354">
        <v>212.28</v>
      </c>
      <c r="N587" s="350" t="s">
        <v>395</v>
      </c>
      <c r="O587" s="354">
        <v>178.66</v>
      </c>
      <c r="P587" s="355" t="s">
        <v>396</v>
      </c>
      <c r="Q587" s="354" t="s">
        <v>404</v>
      </c>
      <c r="R587" s="355" t="s">
        <v>405</v>
      </c>
      <c r="S587" s="355">
        <v>103265</v>
      </c>
      <c r="T587" s="350" t="s">
        <v>406</v>
      </c>
      <c r="U587" s="351">
        <v>45140</v>
      </c>
      <c r="V587" s="351">
        <v>45139</v>
      </c>
      <c r="W587" s="350" t="s">
        <v>407</v>
      </c>
    </row>
    <row r="588" spans="1:23" x14ac:dyDescent="0.25">
      <c r="A588" s="348" t="s">
        <v>1454</v>
      </c>
      <c r="B588" s="349">
        <v>5129</v>
      </c>
      <c r="C588" s="350" t="s">
        <v>1429</v>
      </c>
      <c r="D588" s="351">
        <v>45135</v>
      </c>
      <c r="E588" s="352">
        <v>3110</v>
      </c>
      <c r="F588" s="352">
        <v>1</v>
      </c>
      <c r="G588" s="351"/>
      <c r="H588" s="350" t="s">
        <v>437</v>
      </c>
      <c r="I588" s="350" t="s">
        <v>393</v>
      </c>
      <c r="J588" s="354">
        <v>5592445</v>
      </c>
      <c r="K588" s="350" t="s">
        <v>394</v>
      </c>
      <c r="L588" s="354">
        <v>2.9999900000000001E-4</v>
      </c>
      <c r="M588" s="354">
        <v>1993.47</v>
      </c>
      <c r="N588" s="350" t="s">
        <v>395</v>
      </c>
      <c r="O588" s="354">
        <v>1677.73</v>
      </c>
      <c r="P588" s="355" t="s">
        <v>396</v>
      </c>
      <c r="Q588" s="354" t="s">
        <v>404</v>
      </c>
      <c r="R588" s="355" t="s">
        <v>405</v>
      </c>
      <c r="S588" s="355">
        <v>117871</v>
      </c>
      <c r="T588" s="350" t="s">
        <v>406</v>
      </c>
      <c r="U588" s="351">
        <v>45140</v>
      </c>
      <c r="V588" s="351">
        <v>45139</v>
      </c>
      <c r="W588" s="350" t="s">
        <v>407</v>
      </c>
    </row>
    <row r="589" spans="1:23" x14ac:dyDescent="0.25">
      <c r="A589" s="348" t="s">
        <v>1454</v>
      </c>
      <c r="B589" s="349">
        <v>5129</v>
      </c>
      <c r="C589" s="350" t="s">
        <v>1429</v>
      </c>
      <c r="D589" s="351">
        <v>45135</v>
      </c>
      <c r="E589" s="352">
        <v>3110</v>
      </c>
      <c r="F589" s="352">
        <v>1</v>
      </c>
      <c r="G589" s="351"/>
      <c r="H589" s="350" t="s">
        <v>437</v>
      </c>
      <c r="I589" s="350" t="s">
        <v>393</v>
      </c>
      <c r="J589" s="354">
        <v>3083644.8</v>
      </c>
      <c r="K589" s="350" t="s">
        <v>394</v>
      </c>
      <c r="L589" s="354">
        <v>2.9999900000000001E-4</v>
      </c>
      <c r="M589" s="354">
        <v>1099.19</v>
      </c>
      <c r="N589" s="350" t="s">
        <v>395</v>
      </c>
      <c r="O589" s="354">
        <v>925.09</v>
      </c>
      <c r="P589" s="355" t="s">
        <v>396</v>
      </c>
      <c r="Q589" s="354" t="s">
        <v>404</v>
      </c>
      <c r="R589" s="355" t="s">
        <v>405</v>
      </c>
      <c r="S589" s="355">
        <v>103321</v>
      </c>
      <c r="T589" s="350" t="s">
        <v>406</v>
      </c>
      <c r="U589" s="351">
        <v>45140</v>
      </c>
      <c r="V589" s="351">
        <v>45139</v>
      </c>
      <c r="W589" s="350" t="s">
        <v>407</v>
      </c>
    </row>
    <row r="590" spans="1:23" x14ac:dyDescent="0.25">
      <c r="A590" s="348" t="s">
        <v>1454</v>
      </c>
      <c r="B590" s="349">
        <v>5129</v>
      </c>
      <c r="C590" s="350" t="s">
        <v>1429</v>
      </c>
      <c r="D590" s="351">
        <v>45135</v>
      </c>
      <c r="E590" s="352">
        <v>3110</v>
      </c>
      <c r="F590" s="352">
        <v>1</v>
      </c>
      <c r="G590" s="351"/>
      <c r="H590" s="350" t="s">
        <v>437</v>
      </c>
      <c r="I590" s="350" t="s">
        <v>393</v>
      </c>
      <c r="J590" s="354">
        <v>598983.44999999995</v>
      </c>
      <c r="K590" s="350" t="s">
        <v>394</v>
      </c>
      <c r="L590" s="354">
        <v>3.0000799999999999E-4</v>
      </c>
      <c r="M590" s="354">
        <v>213.51</v>
      </c>
      <c r="N590" s="350" t="s">
        <v>395</v>
      </c>
      <c r="O590" s="354">
        <v>179.7</v>
      </c>
      <c r="P590" s="355" t="s">
        <v>396</v>
      </c>
      <c r="Q590" s="354" t="s">
        <v>404</v>
      </c>
      <c r="R590" s="355" t="s">
        <v>405</v>
      </c>
      <c r="S590" s="355">
        <v>117427</v>
      </c>
      <c r="T590" s="350" t="s">
        <v>406</v>
      </c>
      <c r="U590" s="351">
        <v>45140</v>
      </c>
      <c r="V590" s="351">
        <v>45139</v>
      </c>
      <c r="W590" s="350" t="s">
        <v>407</v>
      </c>
    </row>
    <row r="591" spans="1:23" x14ac:dyDescent="0.25">
      <c r="A591" s="348" t="s">
        <v>1454</v>
      </c>
      <c r="B591" s="349">
        <v>5129</v>
      </c>
      <c r="C591" s="350" t="s">
        <v>1429</v>
      </c>
      <c r="D591" s="351">
        <v>45135</v>
      </c>
      <c r="E591" s="352">
        <v>3110</v>
      </c>
      <c r="F591" s="352">
        <v>1</v>
      </c>
      <c r="G591" s="351"/>
      <c r="H591" s="350" t="s">
        <v>437</v>
      </c>
      <c r="I591" s="350" t="s">
        <v>393</v>
      </c>
      <c r="J591" s="354">
        <v>3194579.2</v>
      </c>
      <c r="K591" s="350" t="s">
        <v>394</v>
      </c>
      <c r="L591" s="354">
        <v>2.9999900000000001E-4</v>
      </c>
      <c r="M591" s="354">
        <v>1138.73</v>
      </c>
      <c r="N591" s="350" t="s">
        <v>395</v>
      </c>
      <c r="O591" s="354">
        <v>958.37</v>
      </c>
      <c r="P591" s="355" t="s">
        <v>396</v>
      </c>
      <c r="Q591" s="354" t="s">
        <v>404</v>
      </c>
      <c r="R591" s="355" t="s">
        <v>405</v>
      </c>
      <c r="S591" s="355">
        <v>117872</v>
      </c>
      <c r="T591" s="350" t="s">
        <v>406</v>
      </c>
      <c r="U591" s="351">
        <v>45140</v>
      </c>
      <c r="V591" s="351">
        <v>45139</v>
      </c>
      <c r="W591" s="350" t="s">
        <v>407</v>
      </c>
    </row>
    <row r="592" spans="1:23" x14ac:dyDescent="0.25">
      <c r="A592" s="348" t="s">
        <v>1454</v>
      </c>
      <c r="B592" s="349">
        <v>5129</v>
      </c>
      <c r="C592" s="350" t="s">
        <v>1429</v>
      </c>
      <c r="D592" s="351">
        <v>45135</v>
      </c>
      <c r="E592" s="352">
        <v>3110</v>
      </c>
      <c r="F592" s="352">
        <v>1</v>
      </c>
      <c r="G592" s="351"/>
      <c r="H592" s="350" t="s">
        <v>437</v>
      </c>
      <c r="I592" s="350" t="s">
        <v>393</v>
      </c>
      <c r="J592" s="354">
        <v>802216.5</v>
      </c>
      <c r="K592" s="350" t="s">
        <v>394</v>
      </c>
      <c r="L592" s="354">
        <v>2.9999399999999999E-4</v>
      </c>
      <c r="M592" s="354">
        <v>285.95999999999998</v>
      </c>
      <c r="N592" s="350" t="s">
        <v>395</v>
      </c>
      <c r="O592" s="354">
        <v>240.66</v>
      </c>
      <c r="P592" s="355" t="s">
        <v>396</v>
      </c>
      <c r="Q592" s="354" t="s">
        <v>404</v>
      </c>
      <c r="R592" s="355" t="s">
        <v>405</v>
      </c>
      <c r="S592" s="355">
        <v>103328</v>
      </c>
      <c r="T592" s="350" t="s">
        <v>406</v>
      </c>
      <c r="U592" s="351">
        <v>45140</v>
      </c>
      <c r="V592" s="351">
        <v>45139</v>
      </c>
      <c r="W592" s="350" t="s">
        <v>407</v>
      </c>
    </row>
    <row r="593" spans="1:23" x14ac:dyDescent="0.25">
      <c r="A593" s="348" t="s">
        <v>1454</v>
      </c>
      <c r="B593" s="349">
        <v>5129</v>
      </c>
      <c r="C593" s="350" t="s">
        <v>1429</v>
      </c>
      <c r="D593" s="351">
        <v>45135</v>
      </c>
      <c r="E593" s="352">
        <v>3110</v>
      </c>
      <c r="F593" s="352">
        <v>1</v>
      </c>
      <c r="G593" s="351"/>
      <c r="H593" s="350" t="s">
        <v>437</v>
      </c>
      <c r="I593" s="350" t="s">
        <v>393</v>
      </c>
      <c r="J593" s="354">
        <v>684495.8</v>
      </c>
      <c r="K593" s="350" t="s">
        <v>394</v>
      </c>
      <c r="L593" s="354">
        <v>3.0000200000000001E-4</v>
      </c>
      <c r="M593" s="354">
        <v>243.99</v>
      </c>
      <c r="N593" s="350" t="s">
        <v>395</v>
      </c>
      <c r="O593" s="354">
        <v>205.35</v>
      </c>
      <c r="P593" s="355" t="s">
        <v>396</v>
      </c>
      <c r="Q593" s="354" t="s">
        <v>404</v>
      </c>
      <c r="R593" s="355" t="s">
        <v>405</v>
      </c>
      <c r="S593" s="355">
        <v>117293</v>
      </c>
      <c r="T593" s="350" t="s">
        <v>406</v>
      </c>
      <c r="U593" s="351">
        <v>45140</v>
      </c>
      <c r="V593" s="351">
        <v>45139</v>
      </c>
      <c r="W593" s="350" t="s">
        <v>407</v>
      </c>
    </row>
    <row r="594" spans="1:23" x14ac:dyDescent="0.25">
      <c r="A594" s="348" t="s">
        <v>1454</v>
      </c>
      <c r="B594" s="349">
        <v>5129</v>
      </c>
      <c r="C594" s="350" t="s">
        <v>1429</v>
      </c>
      <c r="D594" s="351">
        <v>45135</v>
      </c>
      <c r="E594" s="352">
        <v>3120</v>
      </c>
      <c r="F594" s="352">
        <v>1</v>
      </c>
      <c r="G594" s="351"/>
      <c r="H594" s="350" t="s">
        <v>438</v>
      </c>
      <c r="I594" s="350" t="s">
        <v>393</v>
      </c>
      <c r="J594" s="354">
        <v>4410</v>
      </c>
      <c r="K594" s="350" t="s">
        <v>394</v>
      </c>
      <c r="L594" s="354">
        <v>2.9932E-4</v>
      </c>
      <c r="M594" s="354">
        <v>1.57</v>
      </c>
      <c r="N594" s="350" t="s">
        <v>395</v>
      </c>
      <c r="O594" s="354">
        <v>1.32</v>
      </c>
      <c r="P594" s="355" t="s">
        <v>396</v>
      </c>
      <c r="Q594" s="354" t="s">
        <v>404</v>
      </c>
      <c r="R594" s="355" t="s">
        <v>405</v>
      </c>
      <c r="S594" s="355">
        <v>103265</v>
      </c>
      <c r="T594" s="350" t="s">
        <v>406</v>
      </c>
      <c r="U594" s="351">
        <v>45140</v>
      </c>
      <c r="V594" s="351">
        <v>45139</v>
      </c>
      <c r="W594" s="350" t="s">
        <v>407</v>
      </c>
    </row>
    <row r="595" spans="1:23" x14ac:dyDescent="0.25">
      <c r="A595" s="348" t="s">
        <v>1454</v>
      </c>
      <c r="B595" s="349">
        <v>5129</v>
      </c>
      <c r="C595" s="350" t="s">
        <v>1429</v>
      </c>
      <c r="D595" s="351">
        <v>45135</v>
      </c>
      <c r="E595" s="352">
        <v>3120</v>
      </c>
      <c r="F595" s="352">
        <v>1</v>
      </c>
      <c r="G595" s="351"/>
      <c r="H595" s="350" t="s">
        <v>438</v>
      </c>
      <c r="I595" s="350" t="s">
        <v>393</v>
      </c>
      <c r="J595" s="354">
        <v>29400</v>
      </c>
      <c r="K595" s="350" t="s">
        <v>394</v>
      </c>
      <c r="L595" s="354">
        <v>2.9999999999999997E-4</v>
      </c>
      <c r="M595" s="354">
        <v>10.48</v>
      </c>
      <c r="N595" s="350" t="s">
        <v>395</v>
      </c>
      <c r="O595" s="354">
        <v>8.82</v>
      </c>
      <c r="P595" s="355" t="s">
        <v>396</v>
      </c>
      <c r="Q595" s="354" t="s">
        <v>404</v>
      </c>
      <c r="R595" s="355" t="s">
        <v>405</v>
      </c>
      <c r="S595" s="355">
        <v>117871</v>
      </c>
      <c r="T595" s="350" t="s">
        <v>406</v>
      </c>
      <c r="U595" s="351">
        <v>45140</v>
      </c>
      <c r="V595" s="351">
        <v>45139</v>
      </c>
      <c r="W595" s="350" t="s">
        <v>407</v>
      </c>
    </row>
    <row r="596" spans="1:23" x14ac:dyDescent="0.25">
      <c r="A596" s="348" t="s">
        <v>1454</v>
      </c>
      <c r="B596" s="349">
        <v>5129</v>
      </c>
      <c r="C596" s="350" t="s">
        <v>1429</v>
      </c>
      <c r="D596" s="351">
        <v>45135</v>
      </c>
      <c r="E596" s="352">
        <v>3120</v>
      </c>
      <c r="F596" s="352">
        <v>1</v>
      </c>
      <c r="G596" s="351"/>
      <c r="H596" s="350" t="s">
        <v>438</v>
      </c>
      <c r="I596" s="350" t="s">
        <v>393</v>
      </c>
      <c r="J596" s="354">
        <v>23520</v>
      </c>
      <c r="K596" s="350" t="s">
        <v>394</v>
      </c>
      <c r="L596" s="354">
        <v>3.0016999999999999E-4</v>
      </c>
      <c r="M596" s="354">
        <v>8.3800000000000008</v>
      </c>
      <c r="N596" s="350" t="s">
        <v>395</v>
      </c>
      <c r="O596" s="354">
        <v>7.06</v>
      </c>
      <c r="P596" s="355" t="s">
        <v>396</v>
      </c>
      <c r="Q596" s="354" t="s">
        <v>404</v>
      </c>
      <c r="R596" s="355" t="s">
        <v>405</v>
      </c>
      <c r="S596" s="355">
        <v>103321</v>
      </c>
      <c r="T596" s="350" t="s">
        <v>406</v>
      </c>
      <c r="U596" s="351">
        <v>45140</v>
      </c>
      <c r="V596" s="351">
        <v>45139</v>
      </c>
      <c r="W596" s="350" t="s">
        <v>407</v>
      </c>
    </row>
    <row r="597" spans="1:23" x14ac:dyDescent="0.25">
      <c r="A597" s="348" t="s">
        <v>1454</v>
      </c>
      <c r="B597" s="349">
        <v>5129</v>
      </c>
      <c r="C597" s="350" t="s">
        <v>1429</v>
      </c>
      <c r="D597" s="351">
        <v>45135</v>
      </c>
      <c r="E597" s="352">
        <v>3120</v>
      </c>
      <c r="F597" s="352">
        <v>1</v>
      </c>
      <c r="G597" s="351"/>
      <c r="H597" s="350" t="s">
        <v>438</v>
      </c>
      <c r="I597" s="350" t="s">
        <v>393</v>
      </c>
      <c r="J597" s="354">
        <v>4410</v>
      </c>
      <c r="K597" s="350" t="s">
        <v>394</v>
      </c>
      <c r="L597" s="354">
        <v>2.9932E-4</v>
      </c>
      <c r="M597" s="354">
        <v>1.57</v>
      </c>
      <c r="N597" s="350" t="s">
        <v>395</v>
      </c>
      <c r="O597" s="354">
        <v>1.32</v>
      </c>
      <c r="P597" s="355" t="s">
        <v>396</v>
      </c>
      <c r="Q597" s="354" t="s">
        <v>404</v>
      </c>
      <c r="R597" s="355" t="s">
        <v>405</v>
      </c>
      <c r="S597" s="355">
        <v>117427</v>
      </c>
      <c r="T597" s="350" t="s">
        <v>406</v>
      </c>
      <c r="U597" s="351">
        <v>45140</v>
      </c>
      <c r="V597" s="351">
        <v>45139</v>
      </c>
      <c r="W597" s="350" t="s">
        <v>407</v>
      </c>
    </row>
    <row r="598" spans="1:23" x14ac:dyDescent="0.25">
      <c r="A598" s="348" t="s">
        <v>1454</v>
      </c>
      <c r="B598" s="349">
        <v>5129</v>
      </c>
      <c r="C598" s="350" t="s">
        <v>1429</v>
      </c>
      <c r="D598" s="351">
        <v>45135</v>
      </c>
      <c r="E598" s="352">
        <v>3120</v>
      </c>
      <c r="F598" s="352">
        <v>1</v>
      </c>
      <c r="G598" s="351"/>
      <c r="H598" s="350" t="s">
        <v>438</v>
      </c>
      <c r="I598" s="350" t="s">
        <v>393</v>
      </c>
      <c r="J598" s="354">
        <v>23520</v>
      </c>
      <c r="K598" s="350" t="s">
        <v>394</v>
      </c>
      <c r="L598" s="354">
        <v>3.0016999999999999E-4</v>
      </c>
      <c r="M598" s="354">
        <v>8.3800000000000008</v>
      </c>
      <c r="N598" s="350" t="s">
        <v>395</v>
      </c>
      <c r="O598" s="354">
        <v>7.06</v>
      </c>
      <c r="P598" s="355" t="s">
        <v>396</v>
      </c>
      <c r="Q598" s="354" t="s">
        <v>404</v>
      </c>
      <c r="R598" s="355" t="s">
        <v>405</v>
      </c>
      <c r="S598" s="355">
        <v>117872</v>
      </c>
      <c r="T598" s="350" t="s">
        <v>406</v>
      </c>
      <c r="U598" s="351">
        <v>45140</v>
      </c>
      <c r="V598" s="351">
        <v>45139</v>
      </c>
      <c r="W598" s="350" t="s">
        <v>407</v>
      </c>
    </row>
    <row r="599" spans="1:23" x14ac:dyDescent="0.25">
      <c r="A599" s="348" t="s">
        <v>1454</v>
      </c>
      <c r="B599" s="349">
        <v>5129</v>
      </c>
      <c r="C599" s="350" t="s">
        <v>1429</v>
      </c>
      <c r="D599" s="351">
        <v>45135</v>
      </c>
      <c r="E599" s="352">
        <v>3120</v>
      </c>
      <c r="F599" s="352">
        <v>1</v>
      </c>
      <c r="G599" s="351"/>
      <c r="H599" s="350" t="s">
        <v>438</v>
      </c>
      <c r="I599" s="350" t="s">
        <v>393</v>
      </c>
      <c r="J599" s="354">
        <v>14700</v>
      </c>
      <c r="K599" s="350" t="s">
        <v>394</v>
      </c>
      <c r="L599" s="354">
        <v>2.9999999999999997E-4</v>
      </c>
      <c r="M599" s="354">
        <v>5.24</v>
      </c>
      <c r="N599" s="350" t="s">
        <v>395</v>
      </c>
      <c r="O599" s="354">
        <v>4.41</v>
      </c>
      <c r="P599" s="355" t="s">
        <v>396</v>
      </c>
      <c r="Q599" s="354" t="s">
        <v>404</v>
      </c>
      <c r="R599" s="355" t="s">
        <v>405</v>
      </c>
      <c r="S599" s="355">
        <v>103328</v>
      </c>
      <c r="T599" s="350" t="s">
        <v>406</v>
      </c>
      <c r="U599" s="351">
        <v>45140</v>
      </c>
      <c r="V599" s="351">
        <v>45139</v>
      </c>
      <c r="W599" s="350" t="s">
        <v>407</v>
      </c>
    </row>
    <row r="600" spans="1:23" x14ac:dyDescent="0.25">
      <c r="A600" s="348" t="s">
        <v>1454</v>
      </c>
      <c r="B600" s="349">
        <v>5129</v>
      </c>
      <c r="C600" s="350" t="s">
        <v>1429</v>
      </c>
      <c r="D600" s="351">
        <v>45135</v>
      </c>
      <c r="E600" s="352">
        <v>3120</v>
      </c>
      <c r="F600" s="352">
        <v>1</v>
      </c>
      <c r="G600" s="351"/>
      <c r="H600" s="350" t="s">
        <v>438</v>
      </c>
      <c r="I600" s="350" t="s">
        <v>393</v>
      </c>
      <c r="J600" s="354">
        <v>2940</v>
      </c>
      <c r="K600" s="350" t="s">
        <v>394</v>
      </c>
      <c r="L600" s="354">
        <v>2.9932E-4</v>
      </c>
      <c r="M600" s="354">
        <v>1.05</v>
      </c>
      <c r="N600" s="350" t="s">
        <v>395</v>
      </c>
      <c r="O600" s="354">
        <v>0.88</v>
      </c>
      <c r="P600" s="355" t="s">
        <v>396</v>
      </c>
      <c r="Q600" s="354" t="s">
        <v>404</v>
      </c>
      <c r="R600" s="355" t="s">
        <v>405</v>
      </c>
      <c r="S600" s="355">
        <v>117293</v>
      </c>
      <c r="T600" s="350" t="s">
        <v>406</v>
      </c>
      <c r="U600" s="351">
        <v>45140</v>
      </c>
      <c r="V600" s="351">
        <v>45139</v>
      </c>
      <c r="W600" s="350" t="s">
        <v>407</v>
      </c>
    </row>
    <row r="601" spans="1:23" x14ac:dyDescent="0.25">
      <c r="A601" s="348" t="s">
        <v>1454</v>
      </c>
      <c r="B601" s="349">
        <v>5129</v>
      </c>
      <c r="C601" s="350" t="s">
        <v>1429</v>
      </c>
      <c r="D601" s="351">
        <v>45135</v>
      </c>
      <c r="E601" s="352">
        <v>3130</v>
      </c>
      <c r="F601" s="352">
        <v>1</v>
      </c>
      <c r="G601" s="351"/>
      <c r="H601" s="350" t="s">
        <v>439</v>
      </c>
      <c r="I601" s="350" t="s">
        <v>393</v>
      </c>
      <c r="J601" s="354">
        <v>211042.7</v>
      </c>
      <c r="K601" s="350" t="s">
        <v>394</v>
      </c>
      <c r="L601" s="354">
        <v>2.9998699999999999E-4</v>
      </c>
      <c r="M601" s="354">
        <v>75.23</v>
      </c>
      <c r="N601" s="350" t="s">
        <v>395</v>
      </c>
      <c r="O601" s="354">
        <v>63.31</v>
      </c>
      <c r="P601" s="355" t="s">
        <v>396</v>
      </c>
      <c r="Q601" s="354" t="s">
        <v>404</v>
      </c>
      <c r="R601" s="355" t="s">
        <v>405</v>
      </c>
      <c r="S601" s="355">
        <v>102955</v>
      </c>
      <c r="T601" s="350" t="s">
        <v>406</v>
      </c>
      <c r="U601" s="351">
        <v>45140</v>
      </c>
      <c r="V601" s="351">
        <v>45139</v>
      </c>
      <c r="W601" s="350" t="s">
        <v>407</v>
      </c>
    </row>
    <row r="602" spans="1:23" x14ac:dyDescent="0.25">
      <c r="A602" s="348" t="s">
        <v>1454</v>
      </c>
      <c r="B602" s="349">
        <v>5129</v>
      </c>
      <c r="C602" s="350" t="s">
        <v>1429</v>
      </c>
      <c r="D602" s="351">
        <v>45135</v>
      </c>
      <c r="E602" s="352">
        <v>3130</v>
      </c>
      <c r="F602" s="352">
        <v>1</v>
      </c>
      <c r="G602" s="351"/>
      <c r="H602" s="350" t="s">
        <v>439</v>
      </c>
      <c r="I602" s="350" t="s">
        <v>393</v>
      </c>
      <c r="J602" s="354">
        <v>55502.85</v>
      </c>
      <c r="K602" s="350" t="s">
        <v>394</v>
      </c>
      <c r="L602" s="354">
        <v>2.9998500000000001E-4</v>
      </c>
      <c r="M602" s="354">
        <v>19.78</v>
      </c>
      <c r="N602" s="350" t="s">
        <v>395</v>
      </c>
      <c r="O602" s="354">
        <v>16.649999999999999</v>
      </c>
      <c r="P602" s="355" t="s">
        <v>396</v>
      </c>
      <c r="Q602" s="354" t="s">
        <v>404</v>
      </c>
      <c r="R602" s="355" t="s">
        <v>405</v>
      </c>
      <c r="S602" s="355">
        <v>103265</v>
      </c>
      <c r="T602" s="350" t="s">
        <v>406</v>
      </c>
      <c r="U602" s="351">
        <v>45140</v>
      </c>
      <c r="V602" s="351">
        <v>45139</v>
      </c>
      <c r="W602" s="350" t="s">
        <v>407</v>
      </c>
    </row>
    <row r="603" spans="1:23" x14ac:dyDescent="0.25">
      <c r="A603" s="348" t="s">
        <v>1454</v>
      </c>
      <c r="B603" s="349">
        <v>5129</v>
      </c>
      <c r="C603" s="350" t="s">
        <v>1429</v>
      </c>
      <c r="D603" s="351">
        <v>45135</v>
      </c>
      <c r="E603" s="352">
        <v>3130</v>
      </c>
      <c r="F603" s="352">
        <v>1</v>
      </c>
      <c r="G603" s="351"/>
      <c r="H603" s="350" t="s">
        <v>439</v>
      </c>
      <c r="I603" s="350" t="s">
        <v>393</v>
      </c>
      <c r="J603" s="354">
        <v>532244</v>
      </c>
      <c r="K603" s="350" t="s">
        <v>394</v>
      </c>
      <c r="L603" s="354">
        <v>2.9999399999999999E-4</v>
      </c>
      <c r="M603" s="354">
        <v>189.72</v>
      </c>
      <c r="N603" s="350" t="s">
        <v>395</v>
      </c>
      <c r="O603" s="354">
        <v>159.66999999999999</v>
      </c>
      <c r="P603" s="355" t="s">
        <v>396</v>
      </c>
      <c r="Q603" s="354" t="s">
        <v>404</v>
      </c>
      <c r="R603" s="355" t="s">
        <v>405</v>
      </c>
      <c r="S603" s="355">
        <v>117871</v>
      </c>
      <c r="T603" s="350" t="s">
        <v>406</v>
      </c>
      <c r="U603" s="351">
        <v>45140</v>
      </c>
      <c r="V603" s="351">
        <v>45139</v>
      </c>
      <c r="W603" s="350" t="s">
        <v>407</v>
      </c>
    </row>
    <row r="604" spans="1:23" x14ac:dyDescent="0.25">
      <c r="A604" s="348" t="s">
        <v>1454</v>
      </c>
      <c r="B604" s="349">
        <v>5129</v>
      </c>
      <c r="C604" s="350" t="s">
        <v>1429</v>
      </c>
      <c r="D604" s="351">
        <v>45135</v>
      </c>
      <c r="E604" s="352">
        <v>3130</v>
      </c>
      <c r="F604" s="352">
        <v>1</v>
      </c>
      <c r="G604" s="351"/>
      <c r="H604" s="350" t="s">
        <v>439</v>
      </c>
      <c r="I604" s="350" t="s">
        <v>393</v>
      </c>
      <c r="J604" s="354">
        <v>286764.79999999999</v>
      </c>
      <c r="K604" s="350" t="s">
        <v>394</v>
      </c>
      <c r="L604" s="354">
        <v>3.0000200000000001E-4</v>
      </c>
      <c r="M604" s="354">
        <v>102.22</v>
      </c>
      <c r="N604" s="350" t="s">
        <v>395</v>
      </c>
      <c r="O604" s="354">
        <v>86.03</v>
      </c>
      <c r="P604" s="355" t="s">
        <v>396</v>
      </c>
      <c r="Q604" s="354" t="s">
        <v>404</v>
      </c>
      <c r="R604" s="355" t="s">
        <v>405</v>
      </c>
      <c r="S604" s="355">
        <v>103321</v>
      </c>
      <c r="T604" s="350" t="s">
        <v>406</v>
      </c>
      <c r="U604" s="351">
        <v>45140</v>
      </c>
      <c r="V604" s="351">
        <v>45139</v>
      </c>
      <c r="W604" s="350" t="s">
        <v>407</v>
      </c>
    </row>
    <row r="605" spans="1:23" x14ac:dyDescent="0.25">
      <c r="A605" s="348" t="s">
        <v>1454</v>
      </c>
      <c r="B605" s="349">
        <v>5129</v>
      </c>
      <c r="C605" s="350" t="s">
        <v>1429</v>
      </c>
      <c r="D605" s="351">
        <v>45135</v>
      </c>
      <c r="E605" s="352">
        <v>3130</v>
      </c>
      <c r="F605" s="352">
        <v>1</v>
      </c>
      <c r="G605" s="351"/>
      <c r="H605" s="350" t="s">
        <v>439</v>
      </c>
      <c r="I605" s="350" t="s">
        <v>393</v>
      </c>
      <c r="J605" s="354">
        <v>55848.3</v>
      </c>
      <c r="K605" s="350" t="s">
        <v>394</v>
      </c>
      <c r="L605" s="354">
        <v>2.9992000000000002E-4</v>
      </c>
      <c r="M605" s="354">
        <v>19.91</v>
      </c>
      <c r="N605" s="350" t="s">
        <v>395</v>
      </c>
      <c r="O605" s="354">
        <v>16.75</v>
      </c>
      <c r="P605" s="355" t="s">
        <v>396</v>
      </c>
      <c r="Q605" s="354" t="s">
        <v>404</v>
      </c>
      <c r="R605" s="355" t="s">
        <v>405</v>
      </c>
      <c r="S605" s="355">
        <v>117427</v>
      </c>
      <c r="T605" s="350" t="s">
        <v>406</v>
      </c>
      <c r="U605" s="351">
        <v>45140</v>
      </c>
      <c r="V605" s="351">
        <v>45139</v>
      </c>
      <c r="W605" s="350" t="s">
        <v>407</v>
      </c>
    </row>
    <row r="606" spans="1:23" x14ac:dyDescent="0.25">
      <c r="A606" s="348" t="s">
        <v>1454</v>
      </c>
      <c r="B606" s="349">
        <v>5129</v>
      </c>
      <c r="C606" s="350" t="s">
        <v>1429</v>
      </c>
      <c r="D606" s="351">
        <v>45135</v>
      </c>
      <c r="E606" s="352">
        <v>3130</v>
      </c>
      <c r="F606" s="352">
        <v>1</v>
      </c>
      <c r="G606" s="351"/>
      <c r="H606" s="350" t="s">
        <v>439</v>
      </c>
      <c r="I606" s="350" t="s">
        <v>393</v>
      </c>
      <c r="J606" s="354">
        <v>297857.59999999998</v>
      </c>
      <c r="K606" s="350" t="s">
        <v>394</v>
      </c>
      <c r="L606" s="354">
        <v>3.0000900000000001E-4</v>
      </c>
      <c r="M606" s="354">
        <v>106.17</v>
      </c>
      <c r="N606" s="350" t="s">
        <v>395</v>
      </c>
      <c r="O606" s="354">
        <v>89.36</v>
      </c>
      <c r="P606" s="355" t="s">
        <v>396</v>
      </c>
      <c r="Q606" s="354" t="s">
        <v>404</v>
      </c>
      <c r="R606" s="355" t="s">
        <v>405</v>
      </c>
      <c r="S606" s="355">
        <v>117872</v>
      </c>
      <c r="T606" s="350" t="s">
        <v>406</v>
      </c>
      <c r="U606" s="351">
        <v>45140</v>
      </c>
      <c r="V606" s="351">
        <v>45139</v>
      </c>
      <c r="W606" s="350" t="s">
        <v>407</v>
      </c>
    </row>
    <row r="607" spans="1:23" x14ac:dyDescent="0.25">
      <c r="A607" s="348" t="s">
        <v>1454</v>
      </c>
      <c r="B607" s="349">
        <v>5129</v>
      </c>
      <c r="C607" s="350" t="s">
        <v>1429</v>
      </c>
      <c r="D607" s="351">
        <v>45135</v>
      </c>
      <c r="E607" s="352">
        <v>3130</v>
      </c>
      <c r="F607" s="352">
        <v>1</v>
      </c>
      <c r="G607" s="351"/>
      <c r="H607" s="350" t="s">
        <v>439</v>
      </c>
      <c r="I607" s="350" t="s">
        <v>393</v>
      </c>
      <c r="J607" s="354">
        <v>66721.5</v>
      </c>
      <c r="K607" s="350" t="s">
        <v>394</v>
      </c>
      <c r="L607" s="354">
        <v>3.00053E-4</v>
      </c>
      <c r="M607" s="354">
        <v>23.78</v>
      </c>
      <c r="N607" s="350" t="s">
        <v>395</v>
      </c>
      <c r="O607" s="354">
        <v>20.02</v>
      </c>
      <c r="P607" s="355" t="s">
        <v>396</v>
      </c>
      <c r="Q607" s="354" t="s">
        <v>404</v>
      </c>
      <c r="R607" s="355" t="s">
        <v>405</v>
      </c>
      <c r="S607" s="355">
        <v>103328</v>
      </c>
      <c r="T607" s="350" t="s">
        <v>406</v>
      </c>
      <c r="U607" s="351">
        <v>45140</v>
      </c>
      <c r="V607" s="351">
        <v>45139</v>
      </c>
      <c r="W607" s="350" t="s">
        <v>407</v>
      </c>
    </row>
    <row r="608" spans="1:23" x14ac:dyDescent="0.25">
      <c r="A608" s="348" t="s">
        <v>1454</v>
      </c>
      <c r="B608" s="349">
        <v>5129</v>
      </c>
      <c r="C608" s="350" t="s">
        <v>1429</v>
      </c>
      <c r="D608" s="351">
        <v>45135</v>
      </c>
      <c r="E608" s="352">
        <v>3130</v>
      </c>
      <c r="F608" s="352">
        <v>1</v>
      </c>
      <c r="G608" s="351"/>
      <c r="H608" s="350" t="s">
        <v>439</v>
      </c>
      <c r="I608" s="350" t="s">
        <v>393</v>
      </c>
      <c r="J608" s="354">
        <v>65749.600000000006</v>
      </c>
      <c r="K608" s="350" t="s">
        <v>394</v>
      </c>
      <c r="L608" s="354">
        <v>2.99926E-4</v>
      </c>
      <c r="M608" s="354">
        <v>23.44</v>
      </c>
      <c r="N608" s="350" t="s">
        <v>395</v>
      </c>
      <c r="O608" s="354">
        <v>19.72</v>
      </c>
      <c r="P608" s="355" t="s">
        <v>396</v>
      </c>
      <c r="Q608" s="354" t="s">
        <v>404</v>
      </c>
      <c r="R608" s="355" t="s">
        <v>405</v>
      </c>
      <c r="S608" s="355">
        <v>117293</v>
      </c>
      <c r="T608" s="350" t="s">
        <v>406</v>
      </c>
      <c r="U608" s="351">
        <v>45140</v>
      </c>
      <c r="V608" s="351">
        <v>45139</v>
      </c>
      <c r="W608" s="350" t="s">
        <v>407</v>
      </c>
    </row>
    <row r="609" spans="1:23" x14ac:dyDescent="0.25">
      <c r="A609" s="348" t="s">
        <v>1456</v>
      </c>
      <c r="B609" s="349">
        <v>5173</v>
      </c>
      <c r="C609" s="350" t="s">
        <v>1429</v>
      </c>
      <c r="D609" s="351">
        <v>45117</v>
      </c>
      <c r="E609" s="352">
        <v>3170</v>
      </c>
      <c r="F609" s="352">
        <v>1</v>
      </c>
      <c r="G609" s="351"/>
      <c r="H609" s="350" t="s">
        <v>1457</v>
      </c>
      <c r="I609" s="350" t="s">
        <v>393</v>
      </c>
      <c r="J609" s="354">
        <v>236398</v>
      </c>
      <c r="K609" s="350" t="s">
        <v>394</v>
      </c>
      <c r="L609" s="354">
        <v>2.8078499999999998E-4</v>
      </c>
      <c r="M609" s="354">
        <v>84.27</v>
      </c>
      <c r="N609" s="350" t="s">
        <v>395</v>
      </c>
      <c r="O609" s="354">
        <v>66.38</v>
      </c>
      <c r="P609" s="355" t="s">
        <v>396</v>
      </c>
      <c r="Q609" s="354" t="s">
        <v>404</v>
      </c>
      <c r="R609" s="355" t="s">
        <v>405</v>
      </c>
      <c r="S609" s="355">
        <v>117427</v>
      </c>
      <c r="T609" s="350" t="s">
        <v>406</v>
      </c>
      <c r="U609" s="351">
        <v>45142</v>
      </c>
      <c r="V609" s="351">
        <v>45142</v>
      </c>
      <c r="W609" s="350" t="s">
        <v>407</v>
      </c>
    </row>
    <row r="610" spans="1:23" x14ac:dyDescent="0.25">
      <c r="A610" s="348" t="s">
        <v>1458</v>
      </c>
      <c r="B610" s="349">
        <v>5166</v>
      </c>
      <c r="C610" s="350" t="s">
        <v>1429</v>
      </c>
      <c r="D610" s="351">
        <v>45126</v>
      </c>
      <c r="E610" s="352">
        <v>3170</v>
      </c>
      <c r="F610" s="352">
        <v>1</v>
      </c>
      <c r="G610" s="351"/>
      <c r="H610" s="350" t="s">
        <v>1459</v>
      </c>
      <c r="I610" s="350" t="s">
        <v>393</v>
      </c>
      <c r="J610" s="354">
        <v>206865</v>
      </c>
      <c r="K610" s="350" t="s">
        <v>394</v>
      </c>
      <c r="L610" s="354">
        <v>2.8078499999999998E-4</v>
      </c>
      <c r="M610" s="354">
        <v>73.739999999999995</v>
      </c>
      <c r="N610" s="350" t="s">
        <v>395</v>
      </c>
      <c r="O610" s="354">
        <v>58.08</v>
      </c>
      <c r="P610" s="355" t="s">
        <v>396</v>
      </c>
      <c r="Q610" s="354" t="s">
        <v>404</v>
      </c>
      <c r="R610" s="355" t="s">
        <v>405</v>
      </c>
      <c r="S610" s="355">
        <v>103328</v>
      </c>
      <c r="T610" s="350" t="s">
        <v>406</v>
      </c>
      <c r="U610" s="351">
        <v>45142</v>
      </c>
      <c r="V610" s="351">
        <v>45142</v>
      </c>
      <c r="W610" s="350" t="s">
        <v>407</v>
      </c>
    </row>
    <row r="611" spans="1:23" x14ac:dyDescent="0.25">
      <c r="A611" s="348" t="s">
        <v>1468</v>
      </c>
      <c r="B611" s="349">
        <v>5396</v>
      </c>
      <c r="C611" s="350" t="s">
        <v>1469</v>
      </c>
      <c r="D611" s="351">
        <v>45160</v>
      </c>
      <c r="E611" s="352">
        <v>3175</v>
      </c>
      <c r="F611" s="352">
        <v>7</v>
      </c>
      <c r="G611" s="351"/>
      <c r="H611" s="350" t="s">
        <v>1470</v>
      </c>
      <c r="I611" s="350" t="s">
        <v>393</v>
      </c>
      <c r="J611" s="354">
        <v>2000000</v>
      </c>
      <c r="K611" s="350" t="s">
        <v>394</v>
      </c>
      <c r="L611" s="354">
        <v>2.7534199999999998E-4</v>
      </c>
      <c r="M611" s="354">
        <v>708.62</v>
      </c>
      <c r="N611" s="350" t="s">
        <v>395</v>
      </c>
      <c r="O611" s="354">
        <v>550.67999999999995</v>
      </c>
      <c r="P611" s="355" t="s">
        <v>396</v>
      </c>
      <c r="Q611" s="354" t="s">
        <v>404</v>
      </c>
      <c r="R611" s="355" t="s">
        <v>405</v>
      </c>
      <c r="S611" s="355">
        <v>0</v>
      </c>
      <c r="T611" s="350" t="s">
        <v>410</v>
      </c>
      <c r="U611" s="351">
        <v>45175</v>
      </c>
      <c r="V611" s="351">
        <v>45175</v>
      </c>
      <c r="W611" s="350" t="s">
        <v>407</v>
      </c>
    </row>
    <row r="612" spans="1:23" x14ac:dyDescent="0.25">
      <c r="A612" s="348" t="s">
        <v>457</v>
      </c>
      <c r="B612" s="349">
        <v>5429</v>
      </c>
      <c r="C612" s="350" t="s">
        <v>1469</v>
      </c>
      <c r="D612" s="351">
        <v>45169</v>
      </c>
      <c r="E612" s="352">
        <v>3600</v>
      </c>
      <c r="F612" s="352">
        <v>7</v>
      </c>
      <c r="G612" s="351"/>
      <c r="H612" s="350" t="s">
        <v>1471</v>
      </c>
      <c r="I612" s="350" t="s">
        <v>393</v>
      </c>
      <c r="J612" s="354">
        <v>60000</v>
      </c>
      <c r="K612" s="350" t="s">
        <v>394</v>
      </c>
      <c r="L612" s="354">
        <v>2.7534199999999998E-4</v>
      </c>
      <c r="M612" s="354">
        <v>21.26</v>
      </c>
      <c r="N612" s="350" t="s">
        <v>395</v>
      </c>
      <c r="O612" s="354">
        <v>16.52</v>
      </c>
      <c r="P612" s="355" t="s">
        <v>396</v>
      </c>
      <c r="Q612" s="354" t="s">
        <v>404</v>
      </c>
      <c r="R612" s="355" t="s">
        <v>405</v>
      </c>
      <c r="S612" s="355">
        <v>0</v>
      </c>
      <c r="T612" s="350" t="s">
        <v>410</v>
      </c>
      <c r="U612" s="351">
        <v>45175</v>
      </c>
      <c r="V612" s="351">
        <v>45175</v>
      </c>
      <c r="W612" s="350" t="s">
        <v>407</v>
      </c>
    </row>
    <row r="613" spans="1:23" x14ac:dyDescent="0.25">
      <c r="A613" s="348" t="s">
        <v>621</v>
      </c>
      <c r="B613" s="349">
        <v>5428</v>
      </c>
      <c r="C613" s="350" t="s">
        <v>1469</v>
      </c>
      <c r="D613" s="351">
        <v>45169</v>
      </c>
      <c r="E613" s="352">
        <v>3600</v>
      </c>
      <c r="F613" s="352">
        <v>7</v>
      </c>
      <c r="G613" s="351"/>
      <c r="H613" s="350" t="s">
        <v>1472</v>
      </c>
      <c r="I613" s="350" t="s">
        <v>393</v>
      </c>
      <c r="J613" s="354">
        <v>15</v>
      </c>
      <c r="K613" s="350" t="s">
        <v>395</v>
      </c>
      <c r="L613" s="354">
        <v>0.77712154200000005</v>
      </c>
      <c r="M613" s="354">
        <v>15</v>
      </c>
      <c r="N613" s="350" t="s">
        <v>395</v>
      </c>
      <c r="O613" s="354">
        <v>11.66</v>
      </c>
      <c r="P613" s="355" t="s">
        <v>396</v>
      </c>
      <c r="Q613" s="354" t="s">
        <v>404</v>
      </c>
      <c r="R613" s="355" t="s">
        <v>405</v>
      </c>
      <c r="S613" s="355">
        <v>0</v>
      </c>
      <c r="T613" s="350" t="s">
        <v>410</v>
      </c>
      <c r="U613" s="351">
        <v>45175</v>
      </c>
      <c r="V613" s="351">
        <v>45175</v>
      </c>
      <c r="W613" s="350" t="s">
        <v>407</v>
      </c>
    </row>
    <row r="614" spans="1:23" x14ac:dyDescent="0.25">
      <c r="A614" s="348" t="s">
        <v>1473</v>
      </c>
      <c r="B614" s="349">
        <v>5367</v>
      </c>
      <c r="C614" s="350" t="s">
        <v>1469</v>
      </c>
      <c r="D614" s="351">
        <v>45148</v>
      </c>
      <c r="E614" s="352">
        <v>3420</v>
      </c>
      <c r="F614" s="352">
        <v>7</v>
      </c>
      <c r="G614" s="351"/>
      <c r="H614" s="350" t="s">
        <v>1474</v>
      </c>
      <c r="I614" s="350" t="s">
        <v>393</v>
      </c>
      <c r="J614" s="354">
        <v>147665</v>
      </c>
      <c r="K614" s="350" t="s">
        <v>394</v>
      </c>
      <c r="L614" s="354">
        <v>2.7534199999999998E-4</v>
      </c>
      <c r="M614" s="354">
        <v>52.32</v>
      </c>
      <c r="N614" s="350" t="s">
        <v>395</v>
      </c>
      <c r="O614" s="354">
        <v>40.659999999999997</v>
      </c>
      <c r="P614" s="355" t="s">
        <v>396</v>
      </c>
      <c r="Q614" s="354" t="s">
        <v>404</v>
      </c>
      <c r="R614" s="355" t="s">
        <v>405</v>
      </c>
      <c r="S614" s="355">
        <v>0</v>
      </c>
      <c r="T614" s="350" t="s">
        <v>410</v>
      </c>
      <c r="U614" s="351">
        <v>45173</v>
      </c>
      <c r="V614" s="351">
        <v>45174</v>
      </c>
      <c r="W614" s="350" t="s">
        <v>407</v>
      </c>
    </row>
    <row r="615" spans="1:23" x14ac:dyDescent="0.25">
      <c r="A615" s="348" t="s">
        <v>1477</v>
      </c>
      <c r="B615" s="349">
        <v>5440</v>
      </c>
      <c r="C615" s="350" t="s">
        <v>1469</v>
      </c>
      <c r="D615" s="351">
        <v>45144</v>
      </c>
      <c r="E615" s="352">
        <v>3490</v>
      </c>
      <c r="F615" s="352">
        <v>7</v>
      </c>
      <c r="G615" s="351"/>
      <c r="H615" s="350" t="s">
        <v>1478</v>
      </c>
      <c r="I615" s="350" t="s">
        <v>393</v>
      </c>
      <c r="J615" s="354">
        <v>14000</v>
      </c>
      <c r="K615" s="350" t="s">
        <v>394</v>
      </c>
      <c r="L615" s="354">
        <v>2.7534199999999998E-4</v>
      </c>
      <c r="M615" s="354">
        <v>4.96</v>
      </c>
      <c r="N615" s="350" t="s">
        <v>395</v>
      </c>
      <c r="O615" s="354">
        <v>3.85</v>
      </c>
      <c r="P615" s="355" t="s">
        <v>396</v>
      </c>
      <c r="Q615" s="354" t="s">
        <v>404</v>
      </c>
      <c r="R615" s="355" t="s">
        <v>405</v>
      </c>
      <c r="S615" s="355">
        <v>0</v>
      </c>
      <c r="T615" s="350" t="s">
        <v>410</v>
      </c>
      <c r="U615" s="351">
        <v>45175</v>
      </c>
      <c r="V615" s="351">
        <v>45175</v>
      </c>
      <c r="W615" s="350" t="s">
        <v>407</v>
      </c>
    </row>
    <row r="616" spans="1:23" x14ac:dyDescent="0.25">
      <c r="A616" s="348" t="s">
        <v>1479</v>
      </c>
      <c r="B616" s="349">
        <v>5441</v>
      </c>
      <c r="C616" s="350" t="s">
        <v>1469</v>
      </c>
      <c r="D616" s="351">
        <v>45145</v>
      </c>
      <c r="E616" s="352">
        <v>3490</v>
      </c>
      <c r="F616" s="352">
        <v>7</v>
      </c>
      <c r="G616" s="351"/>
      <c r="H616" s="350" t="s">
        <v>442</v>
      </c>
      <c r="I616" s="350" t="s">
        <v>393</v>
      </c>
      <c r="J616" s="354">
        <v>85500</v>
      </c>
      <c r="K616" s="350" t="s">
        <v>394</v>
      </c>
      <c r="L616" s="354">
        <v>2.7534199999999998E-4</v>
      </c>
      <c r="M616" s="354">
        <v>30.29</v>
      </c>
      <c r="N616" s="350" t="s">
        <v>395</v>
      </c>
      <c r="O616" s="354">
        <v>23.54</v>
      </c>
      <c r="P616" s="355" t="s">
        <v>396</v>
      </c>
      <c r="Q616" s="354" t="s">
        <v>404</v>
      </c>
      <c r="R616" s="355" t="s">
        <v>405</v>
      </c>
      <c r="S616" s="355">
        <v>0</v>
      </c>
      <c r="T616" s="350" t="s">
        <v>410</v>
      </c>
      <c r="U616" s="351">
        <v>45175</v>
      </c>
      <c r="V616" s="351">
        <v>45175</v>
      </c>
      <c r="W616" s="350" t="s">
        <v>407</v>
      </c>
    </row>
    <row r="617" spans="1:23" x14ac:dyDescent="0.25">
      <c r="A617" s="348" t="s">
        <v>1480</v>
      </c>
      <c r="B617" s="349">
        <v>5443</v>
      </c>
      <c r="C617" s="350" t="s">
        <v>1469</v>
      </c>
      <c r="D617" s="351">
        <v>45149</v>
      </c>
      <c r="E617" s="352">
        <v>3490</v>
      </c>
      <c r="F617" s="352">
        <v>7</v>
      </c>
      <c r="G617" s="351"/>
      <c r="H617" s="350" t="s">
        <v>1481</v>
      </c>
      <c r="I617" s="350" t="s">
        <v>393</v>
      </c>
      <c r="J617" s="354">
        <v>10000</v>
      </c>
      <c r="K617" s="350" t="s">
        <v>394</v>
      </c>
      <c r="L617" s="354">
        <v>2.7534199999999998E-4</v>
      </c>
      <c r="M617" s="354">
        <v>3.54</v>
      </c>
      <c r="N617" s="350" t="s">
        <v>395</v>
      </c>
      <c r="O617" s="354">
        <v>2.75</v>
      </c>
      <c r="P617" s="355" t="s">
        <v>396</v>
      </c>
      <c r="Q617" s="354" t="s">
        <v>404</v>
      </c>
      <c r="R617" s="355" t="s">
        <v>405</v>
      </c>
      <c r="S617" s="355">
        <v>0</v>
      </c>
      <c r="T617" s="350" t="s">
        <v>410</v>
      </c>
      <c r="U617" s="351">
        <v>45175</v>
      </c>
      <c r="V617" s="351">
        <v>45175</v>
      </c>
      <c r="W617" s="350" t="s">
        <v>407</v>
      </c>
    </row>
    <row r="618" spans="1:23" x14ac:dyDescent="0.25">
      <c r="A618" s="348" t="s">
        <v>1482</v>
      </c>
      <c r="B618" s="349">
        <v>5446</v>
      </c>
      <c r="C618" s="350" t="s">
        <v>1469</v>
      </c>
      <c r="D618" s="351">
        <v>45149</v>
      </c>
      <c r="E618" s="352">
        <v>3490</v>
      </c>
      <c r="F618" s="352">
        <v>7</v>
      </c>
      <c r="G618" s="351"/>
      <c r="H618" s="350" t="s">
        <v>442</v>
      </c>
      <c r="I618" s="350" t="s">
        <v>393</v>
      </c>
      <c r="J618" s="354">
        <v>100000</v>
      </c>
      <c r="K618" s="350" t="s">
        <v>394</v>
      </c>
      <c r="L618" s="354">
        <v>2.7534199999999998E-4</v>
      </c>
      <c r="M618" s="354">
        <v>35.43</v>
      </c>
      <c r="N618" s="350" t="s">
        <v>395</v>
      </c>
      <c r="O618" s="354">
        <v>27.53</v>
      </c>
      <c r="P618" s="355" t="s">
        <v>396</v>
      </c>
      <c r="Q618" s="354" t="s">
        <v>404</v>
      </c>
      <c r="R618" s="355" t="s">
        <v>405</v>
      </c>
      <c r="S618" s="355">
        <v>0</v>
      </c>
      <c r="T618" s="350" t="s">
        <v>410</v>
      </c>
      <c r="U618" s="351">
        <v>45175</v>
      </c>
      <c r="V618" s="351">
        <v>45175</v>
      </c>
      <c r="W618" s="350" t="s">
        <v>407</v>
      </c>
    </row>
    <row r="619" spans="1:23" x14ac:dyDescent="0.25">
      <c r="A619" s="348" t="s">
        <v>1485</v>
      </c>
      <c r="B619" s="349">
        <v>5387</v>
      </c>
      <c r="C619" s="350" t="s">
        <v>1469</v>
      </c>
      <c r="D619" s="351">
        <v>45147</v>
      </c>
      <c r="E619" s="352">
        <v>3420</v>
      </c>
      <c r="F619" s="352">
        <v>7</v>
      </c>
      <c r="G619" s="351"/>
      <c r="H619" s="350" t="s">
        <v>1486</v>
      </c>
      <c r="I619" s="350" t="s">
        <v>393</v>
      </c>
      <c r="J619" s="354">
        <v>1500000</v>
      </c>
      <c r="K619" s="350" t="s">
        <v>394</v>
      </c>
      <c r="L619" s="354">
        <v>2.7534199999999998E-4</v>
      </c>
      <c r="M619" s="354">
        <v>531.47</v>
      </c>
      <c r="N619" s="350" t="s">
        <v>395</v>
      </c>
      <c r="O619" s="354">
        <v>413.01</v>
      </c>
      <c r="P619" s="355" t="s">
        <v>396</v>
      </c>
      <c r="Q619" s="354" t="s">
        <v>404</v>
      </c>
      <c r="R619" s="355" t="s">
        <v>405</v>
      </c>
      <c r="S619" s="355">
        <v>0</v>
      </c>
      <c r="T619" s="350" t="s">
        <v>410</v>
      </c>
      <c r="U619" s="351">
        <v>45173</v>
      </c>
      <c r="V619" s="351">
        <v>45175</v>
      </c>
      <c r="W619" s="350" t="s">
        <v>407</v>
      </c>
    </row>
    <row r="620" spans="1:23" x14ac:dyDescent="0.25">
      <c r="A620" s="348" t="s">
        <v>1487</v>
      </c>
      <c r="B620" s="349">
        <v>5321</v>
      </c>
      <c r="C620" s="350" t="s">
        <v>1469</v>
      </c>
      <c r="D620" s="351">
        <v>45161</v>
      </c>
      <c r="E620" s="352">
        <v>3400</v>
      </c>
      <c r="F620" s="352">
        <v>7</v>
      </c>
      <c r="G620" s="351"/>
      <c r="H620" s="350" t="s">
        <v>1488</v>
      </c>
      <c r="I620" s="350" t="s">
        <v>393</v>
      </c>
      <c r="J620" s="354">
        <v>2287104</v>
      </c>
      <c r="K620" s="350" t="s">
        <v>394</v>
      </c>
      <c r="L620" s="354">
        <v>2.7534199999999998E-4</v>
      </c>
      <c r="M620" s="354">
        <v>810.34</v>
      </c>
      <c r="N620" s="350" t="s">
        <v>395</v>
      </c>
      <c r="O620" s="354">
        <v>629.74</v>
      </c>
      <c r="P620" s="355" t="s">
        <v>396</v>
      </c>
      <c r="Q620" s="354" t="s">
        <v>404</v>
      </c>
      <c r="R620" s="355" t="s">
        <v>405</v>
      </c>
      <c r="S620" s="355">
        <v>0</v>
      </c>
      <c r="T620" s="350" t="s">
        <v>410</v>
      </c>
      <c r="U620" s="351">
        <v>45173</v>
      </c>
      <c r="V620" s="351">
        <v>45174</v>
      </c>
      <c r="W620" s="350" t="s">
        <v>407</v>
      </c>
    </row>
    <row r="621" spans="1:23" x14ac:dyDescent="0.25">
      <c r="A621" s="348" t="s">
        <v>1489</v>
      </c>
      <c r="B621" s="349">
        <v>5333</v>
      </c>
      <c r="C621" s="350" t="s">
        <v>1469</v>
      </c>
      <c r="D621" s="351">
        <v>45168</v>
      </c>
      <c r="E621" s="352">
        <v>3130</v>
      </c>
      <c r="F621" s="352">
        <v>1</v>
      </c>
      <c r="G621" s="351"/>
      <c r="H621" s="350" t="s">
        <v>439</v>
      </c>
      <c r="I621" s="350" t="s">
        <v>393</v>
      </c>
      <c r="J621" s="354">
        <v>215215</v>
      </c>
      <c r="K621" s="350" t="s">
        <v>394</v>
      </c>
      <c r="L621" s="354">
        <v>2.9997900000000002E-4</v>
      </c>
      <c r="M621" s="354">
        <v>76.25</v>
      </c>
      <c r="N621" s="350" t="s">
        <v>395</v>
      </c>
      <c r="O621" s="354">
        <v>64.56</v>
      </c>
      <c r="P621" s="355" t="s">
        <v>396</v>
      </c>
      <c r="Q621" s="354" t="s">
        <v>404</v>
      </c>
      <c r="R621" s="355" t="s">
        <v>405</v>
      </c>
      <c r="S621" s="355">
        <v>102955</v>
      </c>
      <c r="T621" s="350" t="s">
        <v>406</v>
      </c>
      <c r="U621" s="351">
        <v>45174</v>
      </c>
      <c r="V621" s="351">
        <v>45174</v>
      </c>
      <c r="W621" s="350" t="s">
        <v>407</v>
      </c>
    </row>
    <row r="622" spans="1:23" x14ac:dyDescent="0.25">
      <c r="A622" s="348" t="s">
        <v>1489</v>
      </c>
      <c r="B622" s="349">
        <v>5333</v>
      </c>
      <c r="C622" s="350" t="s">
        <v>1469</v>
      </c>
      <c r="D622" s="351">
        <v>45168</v>
      </c>
      <c r="E622" s="352">
        <v>3130</v>
      </c>
      <c r="F622" s="352">
        <v>1</v>
      </c>
      <c r="G622" s="351"/>
      <c r="H622" s="350" t="s">
        <v>439</v>
      </c>
      <c r="I622" s="350" t="s">
        <v>393</v>
      </c>
      <c r="J622" s="354">
        <v>55502.85</v>
      </c>
      <c r="K622" s="350" t="s">
        <v>394</v>
      </c>
      <c r="L622" s="354">
        <v>2.9998500000000001E-4</v>
      </c>
      <c r="M622" s="354">
        <v>19.670000000000002</v>
      </c>
      <c r="N622" s="350" t="s">
        <v>395</v>
      </c>
      <c r="O622" s="354">
        <v>16.649999999999999</v>
      </c>
      <c r="P622" s="355" t="s">
        <v>396</v>
      </c>
      <c r="Q622" s="354" t="s">
        <v>404</v>
      </c>
      <c r="R622" s="355" t="s">
        <v>405</v>
      </c>
      <c r="S622" s="355">
        <v>103265</v>
      </c>
      <c r="T622" s="350" t="s">
        <v>406</v>
      </c>
      <c r="U622" s="351">
        <v>45174</v>
      </c>
      <c r="V622" s="351">
        <v>45174</v>
      </c>
      <c r="W622" s="350" t="s">
        <v>407</v>
      </c>
    </row>
    <row r="623" spans="1:23" x14ac:dyDescent="0.25">
      <c r="A623" s="348" t="s">
        <v>1489</v>
      </c>
      <c r="B623" s="349">
        <v>5333</v>
      </c>
      <c r="C623" s="350" t="s">
        <v>1469</v>
      </c>
      <c r="D623" s="351">
        <v>45168</v>
      </c>
      <c r="E623" s="352">
        <v>3130</v>
      </c>
      <c r="F623" s="352">
        <v>1</v>
      </c>
      <c r="G623" s="351"/>
      <c r="H623" s="350" t="s">
        <v>439</v>
      </c>
      <c r="I623" s="350" t="s">
        <v>393</v>
      </c>
      <c r="J623" s="354">
        <v>532244</v>
      </c>
      <c r="K623" s="350" t="s">
        <v>394</v>
      </c>
      <c r="L623" s="354">
        <v>2.9999399999999999E-4</v>
      </c>
      <c r="M623" s="354">
        <v>188.58</v>
      </c>
      <c r="N623" s="350" t="s">
        <v>395</v>
      </c>
      <c r="O623" s="354">
        <v>159.66999999999999</v>
      </c>
      <c r="P623" s="355" t="s">
        <v>396</v>
      </c>
      <c r="Q623" s="354" t="s">
        <v>404</v>
      </c>
      <c r="R623" s="355" t="s">
        <v>405</v>
      </c>
      <c r="S623" s="355">
        <v>117871</v>
      </c>
      <c r="T623" s="350" t="s">
        <v>406</v>
      </c>
      <c r="U623" s="351">
        <v>45174</v>
      </c>
      <c r="V623" s="351">
        <v>45174</v>
      </c>
      <c r="W623" s="350" t="s">
        <v>407</v>
      </c>
    </row>
    <row r="624" spans="1:23" x14ac:dyDescent="0.25">
      <c r="A624" s="348" t="s">
        <v>1489</v>
      </c>
      <c r="B624" s="349">
        <v>5333</v>
      </c>
      <c r="C624" s="350" t="s">
        <v>1469</v>
      </c>
      <c r="D624" s="351">
        <v>45168</v>
      </c>
      <c r="E624" s="352">
        <v>3130</v>
      </c>
      <c r="F624" s="352">
        <v>1</v>
      </c>
      <c r="G624" s="351"/>
      <c r="H624" s="350" t="s">
        <v>439</v>
      </c>
      <c r="I624" s="350" t="s">
        <v>393</v>
      </c>
      <c r="J624" s="354">
        <v>286764.79999999999</v>
      </c>
      <c r="K624" s="350" t="s">
        <v>394</v>
      </c>
      <c r="L624" s="354">
        <v>3.0000200000000001E-4</v>
      </c>
      <c r="M624" s="354">
        <v>101.6</v>
      </c>
      <c r="N624" s="350" t="s">
        <v>395</v>
      </c>
      <c r="O624" s="354">
        <v>86.03</v>
      </c>
      <c r="P624" s="355" t="s">
        <v>396</v>
      </c>
      <c r="Q624" s="354" t="s">
        <v>404</v>
      </c>
      <c r="R624" s="355" t="s">
        <v>405</v>
      </c>
      <c r="S624" s="355">
        <v>103321</v>
      </c>
      <c r="T624" s="350" t="s">
        <v>406</v>
      </c>
      <c r="U624" s="351">
        <v>45174</v>
      </c>
      <c r="V624" s="351">
        <v>45174</v>
      </c>
      <c r="W624" s="350" t="s">
        <v>407</v>
      </c>
    </row>
    <row r="625" spans="1:23" x14ac:dyDescent="0.25">
      <c r="A625" s="348" t="s">
        <v>1489</v>
      </c>
      <c r="B625" s="349">
        <v>5333</v>
      </c>
      <c r="C625" s="350" t="s">
        <v>1469</v>
      </c>
      <c r="D625" s="351">
        <v>45168</v>
      </c>
      <c r="E625" s="352">
        <v>3130</v>
      </c>
      <c r="F625" s="352">
        <v>1</v>
      </c>
      <c r="G625" s="351"/>
      <c r="H625" s="350" t="s">
        <v>439</v>
      </c>
      <c r="I625" s="350" t="s">
        <v>393</v>
      </c>
      <c r="J625" s="354">
        <v>55848.3</v>
      </c>
      <c r="K625" s="350" t="s">
        <v>394</v>
      </c>
      <c r="L625" s="354">
        <v>2.9992000000000002E-4</v>
      </c>
      <c r="M625" s="354">
        <v>19.79</v>
      </c>
      <c r="N625" s="350" t="s">
        <v>395</v>
      </c>
      <c r="O625" s="354">
        <v>16.75</v>
      </c>
      <c r="P625" s="355" t="s">
        <v>396</v>
      </c>
      <c r="Q625" s="354" t="s">
        <v>404</v>
      </c>
      <c r="R625" s="355" t="s">
        <v>405</v>
      </c>
      <c r="S625" s="355">
        <v>117427</v>
      </c>
      <c r="T625" s="350" t="s">
        <v>406</v>
      </c>
      <c r="U625" s="351">
        <v>45174</v>
      </c>
      <c r="V625" s="351">
        <v>45174</v>
      </c>
      <c r="W625" s="350" t="s">
        <v>407</v>
      </c>
    </row>
    <row r="626" spans="1:23" x14ac:dyDescent="0.25">
      <c r="A626" s="348" t="s">
        <v>1489</v>
      </c>
      <c r="B626" s="349">
        <v>5333</v>
      </c>
      <c r="C626" s="350" t="s">
        <v>1469</v>
      </c>
      <c r="D626" s="351">
        <v>45168</v>
      </c>
      <c r="E626" s="352">
        <v>3130</v>
      </c>
      <c r="F626" s="352">
        <v>1</v>
      </c>
      <c r="G626" s="351"/>
      <c r="H626" s="350" t="s">
        <v>439</v>
      </c>
      <c r="I626" s="350" t="s">
        <v>393</v>
      </c>
      <c r="J626" s="354">
        <v>297857.59999999998</v>
      </c>
      <c r="K626" s="350" t="s">
        <v>394</v>
      </c>
      <c r="L626" s="354">
        <v>3.0000900000000001E-4</v>
      </c>
      <c r="M626" s="354">
        <v>105.53</v>
      </c>
      <c r="N626" s="350" t="s">
        <v>395</v>
      </c>
      <c r="O626" s="354">
        <v>89.36</v>
      </c>
      <c r="P626" s="355" t="s">
        <v>396</v>
      </c>
      <c r="Q626" s="354" t="s">
        <v>404</v>
      </c>
      <c r="R626" s="355" t="s">
        <v>405</v>
      </c>
      <c r="S626" s="355">
        <v>117872</v>
      </c>
      <c r="T626" s="350" t="s">
        <v>406</v>
      </c>
      <c r="U626" s="351">
        <v>45174</v>
      </c>
      <c r="V626" s="351">
        <v>45174</v>
      </c>
      <c r="W626" s="350" t="s">
        <v>407</v>
      </c>
    </row>
    <row r="627" spans="1:23" x14ac:dyDescent="0.25">
      <c r="A627" s="348" t="s">
        <v>1489</v>
      </c>
      <c r="B627" s="349">
        <v>5333</v>
      </c>
      <c r="C627" s="350" t="s">
        <v>1469</v>
      </c>
      <c r="D627" s="351">
        <v>45168</v>
      </c>
      <c r="E627" s="352">
        <v>3130</v>
      </c>
      <c r="F627" s="352">
        <v>1</v>
      </c>
      <c r="G627" s="351"/>
      <c r="H627" s="350" t="s">
        <v>439</v>
      </c>
      <c r="I627" s="350" t="s">
        <v>393</v>
      </c>
      <c r="J627" s="354">
        <v>66721.5</v>
      </c>
      <c r="K627" s="350" t="s">
        <v>394</v>
      </c>
      <c r="L627" s="354">
        <v>3.00053E-4</v>
      </c>
      <c r="M627" s="354">
        <v>23.64</v>
      </c>
      <c r="N627" s="350" t="s">
        <v>395</v>
      </c>
      <c r="O627" s="354">
        <v>20.02</v>
      </c>
      <c r="P627" s="355" t="s">
        <v>396</v>
      </c>
      <c r="Q627" s="354" t="s">
        <v>404</v>
      </c>
      <c r="R627" s="355" t="s">
        <v>405</v>
      </c>
      <c r="S627" s="355">
        <v>103328</v>
      </c>
      <c r="T627" s="350" t="s">
        <v>406</v>
      </c>
      <c r="U627" s="351">
        <v>45174</v>
      </c>
      <c r="V627" s="351">
        <v>45174</v>
      </c>
      <c r="W627" s="350" t="s">
        <v>407</v>
      </c>
    </row>
    <row r="628" spans="1:23" x14ac:dyDescent="0.25">
      <c r="A628" s="348" t="s">
        <v>1489</v>
      </c>
      <c r="B628" s="349">
        <v>5333</v>
      </c>
      <c r="C628" s="350" t="s">
        <v>1469</v>
      </c>
      <c r="D628" s="351">
        <v>45168</v>
      </c>
      <c r="E628" s="352">
        <v>3130</v>
      </c>
      <c r="F628" s="352">
        <v>1</v>
      </c>
      <c r="G628" s="351"/>
      <c r="H628" s="350" t="s">
        <v>439</v>
      </c>
      <c r="I628" s="350" t="s">
        <v>393</v>
      </c>
      <c r="J628" s="354">
        <v>65749.600000000006</v>
      </c>
      <c r="K628" s="350" t="s">
        <v>394</v>
      </c>
      <c r="L628" s="354">
        <v>2.99926E-4</v>
      </c>
      <c r="M628" s="354">
        <v>23.3</v>
      </c>
      <c r="N628" s="350" t="s">
        <v>395</v>
      </c>
      <c r="O628" s="354">
        <v>19.72</v>
      </c>
      <c r="P628" s="355" t="s">
        <v>396</v>
      </c>
      <c r="Q628" s="354" t="s">
        <v>404</v>
      </c>
      <c r="R628" s="355" t="s">
        <v>405</v>
      </c>
      <c r="S628" s="355">
        <v>117293</v>
      </c>
      <c r="T628" s="350" t="s">
        <v>406</v>
      </c>
      <c r="U628" s="351">
        <v>45174</v>
      </c>
      <c r="V628" s="351">
        <v>45174</v>
      </c>
      <c r="W628" s="350" t="s">
        <v>407</v>
      </c>
    </row>
    <row r="629" spans="1:23" x14ac:dyDescent="0.25">
      <c r="A629" s="348" t="s">
        <v>1489</v>
      </c>
      <c r="B629" s="349">
        <v>5333</v>
      </c>
      <c r="C629" s="350" t="s">
        <v>1469</v>
      </c>
      <c r="D629" s="351">
        <v>45168</v>
      </c>
      <c r="E629" s="352">
        <v>3120</v>
      </c>
      <c r="F629" s="352">
        <v>1</v>
      </c>
      <c r="G629" s="351"/>
      <c r="H629" s="350" t="s">
        <v>438</v>
      </c>
      <c r="I629" s="350" t="s">
        <v>393</v>
      </c>
      <c r="J629" s="354">
        <v>4410</v>
      </c>
      <c r="K629" s="350" t="s">
        <v>394</v>
      </c>
      <c r="L629" s="354">
        <v>2.9932E-4</v>
      </c>
      <c r="M629" s="354">
        <v>1.56</v>
      </c>
      <c r="N629" s="350" t="s">
        <v>395</v>
      </c>
      <c r="O629" s="354">
        <v>1.32</v>
      </c>
      <c r="P629" s="355" t="s">
        <v>396</v>
      </c>
      <c r="Q629" s="354" t="s">
        <v>404</v>
      </c>
      <c r="R629" s="355" t="s">
        <v>405</v>
      </c>
      <c r="S629" s="355">
        <v>103265</v>
      </c>
      <c r="T629" s="350" t="s">
        <v>406</v>
      </c>
      <c r="U629" s="351">
        <v>45174</v>
      </c>
      <c r="V629" s="351">
        <v>45174</v>
      </c>
      <c r="W629" s="350" t="s">
        <v>407</v>
      </c>
    </row>
    <row r="630" spans="1:23" x14ac:dyDescent="0.25">
      <c r="A630" s="348" t="s">
        <v>1489</v>
      </c>
      <c r="B630" s="349">
        <v>5333</v>
      </c>
      <c r="C630" s="350" t="s">
        <v>1469</v>
      </c>
      <c r="D630" s="351">
        <v>45168</v>
      </c>
      <c r="E630" s="352">
        <v>3120</v>
      </c>
      <c r="F630" s="352">
        <v>1</v>
      </c>
      <c r="G630" s="351"/>
      <c r="H630" s="350" t="s">
        <v>438</v>
      </c>
      <c r="I630" s="350" t="s">
        <v>393</v>
      </c>
      <c r="J630" s="354">
        <v>29400</v>
      </c>
      <c r="K630" s="350" t="s">
        <v>394</v>
      </c>
      <c r="L630" s="354">
        <v>2.9999999999999997E-4</v>
      </c>
      <c r="M630" s="354">
        <v>10.42</v>
      </c>
      <c r="N630" s="350" t="s">
        <v>395</v>
      </c>
      <c r="O630" s="354">
        <v>8.82</v>
      </c>
      <c r="P630" s="355" t="s">
        <v>396</v>
      </c>
      <c r="Q630" s="354" t="s">
        <v>404</v>
      </c>
      <c r="R630" s="355" t="s">
        <v>405</v>
      </c>
      <c r="S630" s="355">
        <v>117871</v>
      </c>
      <c r="T630" s="350" t="s">
        <v>406</v>
      </c>
      <c r="U630" s="351">
        <v>45174</v>
      </c>
      <c r="V630" s="351">
        <v>45174</v>
      </c>
      <c r="W630" s="350" t="s">
        <v>407</v>
      </c>
    </row>
    <row r="631" spans="1:23" x14ac:dyDescent="0.25">
      <c r="A631" s="348" t="s">
        <v>1489</v>
      </c>
      <c r="B631" s="349">
        <v>5333</v>
      </c>
      <c r="C631" s="350" t="s">
        <v>1469</v>
      </c>
      <c r="D631" s="351">
        <v>45168</v>
      </c>
      <c r="E631" s="352">
        <v>3120</v>
      </c>
      <c r="F631" s="352">
        <v>1</v>
      </c>
      <c r="G631" s="351"/>
      <c r="H631" s="350" t="s">
        <v>438</v>
      </c>
      <c r="I631" s="350" t="s">
        <v>393</v>
      </c>
      <c r="J631" s="354">
        <v>23520</v>
      </c>
      <c r="K631" s="350" t="s">
        <v>394</v>
      </c>
      <c r="L631" s="354">
        <v>3.0016999999999999E-4</v>
      </c>
      <c r="M631" s="354">
        <v>8.33</v>
      </c>
      <c r="N631" s="350" t="s">
        <v>395</v>
      </c>
      <c r="O631" s="354">
        <v>7.06</v>
      </c>
      <c r="P631" s="355" t="s">
        <v>396</v>
      </c>
      <c r="Q631" s="354" t="s">
        <v>404</v>
      </c>
      <c r="R631" s="355" t="s">
        <v>405</v>
      </c>
      <c r="S631" s="355">
        <v>103321</v>
      </c>
      <c r="T631" s="350" t="s">
        <v>406</v>
      </c>
      <c r="U631" s="351">
        <v>45174</v>
      </c>
      <c r="V631" s="351">
        <v>45174</v>
      </c>
      <c r="W631" s="350" t="s">
        <v>407</v>
      </c>
    </row>
    <row r="632" spans="1:23" x14ac:dyDescent="0.25">
      <c r="A632" s="348" t="s">
        <v>1489</v>
      </c>
      <c r="B632" s="349">
        <v>5333</v>
      </c>
      <c r="C632" s="350" t="s">
        <v>1469</v>
      </c>
      <c r="D632" s="351">
        <v>45168</v>
      </c>
      <c r="E632" s="352">
        <v>3120</v>
      </c>
      <c r="F632" s="352">
        <v>1</v>
      </c>
      <c r="G632" s="351"/>
      <c r="H632" s="350" t="s">
        <v>438</v>
      </c>
      <c r="I632" s="350" t="s">
        <v>393</v>
      </c>
      <c r="J632" s="354">
        <v>4410</v>
      </c>
      <c r="K632" s="350" t="s">
        <v>394</v>
      </c>
      <c r="L632" s="354">
        <v>2.9932E-4</v>
      </c>
      <c r="M632" s="354">
        <v>1.56</v>
      </c>
      <c r="N632" s="350" t="s">
        <v>395</v>
      </c>
      <c r="O632" s="354">
        <v>1.32</v>
      </c>
      <c r="P632" s="355" t="s">
        <v>396</v>
      </c>
      <c r="Q632" s="354" t="s">
        <v>404</v>
      </c>
      <c r="R632" s="355" t="s">
        <v>405</v>
      </c>
      <c r="S632" s="355">
        <v>117427</v>
      </c>
      <c r="T632" s="350" t="s">
        <v>406</v>
      </c>
      <c r="U632" s="351">
        <v>45174</v>
      </c>
      <c r="V632" s="351">
        <v>45174</v>
      </c>
      <c r="W632" s="350" t="s">
        <v>407</v>
      </c>
    </row>
    <row r="633" spans="1:23" x14ac:dyDescent="0.25">
      <c r="A633" s="348" t="s">
        <v>1489</v>
      </c>
      <c r="B633" s="349">
        <v>5333</v>
      </c>
      <c r="C633" s="350" t="s">
        <v>1469</v>
      </c>
      <c r="D633" s="351">
        <v>45168</v>
      </c>
      <c r="E633" s="352">
        <v>3120</v>
      </c>
      <c r="F633" s="352">
        <v>1</v>
      </c>
      <c r="G633" s="351"/>
      <c r="H633" s="350" t="s">
        <v>438</v>
      </c>
      <c r="I633" s="350" t="s">
        <v>393</v>
      </c>
      <c r="J633" s="354">
        <v>23520</v>
      </c>
      <c r="K633" s="350" t="s">
        <v>394</v>
      </c>
      <c r="L633" s="354">
        <v>3.0016999999999999E-4</v>
      </c>
      <c r="M633" s="354">
        <v>8.33</v>
      </c>
      <c r="N633" s="350" t="s">
        <v>395</v>
      </c>
      <c r="O633" s="354">
        <v>7.06</v>
      </c>
      <c r="P633" s="355" t="s">
        <v>396</v>
      </c>
      <c r="Q633" s="354" t="s">
        <v>404</v>
      </c>
      <c r="R633" s="355" t="s">
        <v>405</v>
      </c>
      <c r="S633" s="355">
        <v>117872</v>
      </c>
      <c r="T633" s="350" t="s">
        <v>406</v>
      </c>
      <c r="U633" s="351">
        <v>45174</v>
      </c>
      <c r="V633" s="351">
        <v>45174</v>
      </c>
      <c r="W633" s="350" t="s">
        <v>407</v>
      </c>
    </row>
    <row r="634" spans="1:23" x14ac:dyDescent="0.25">
      <c r="A634" s="348" t="s">
        <v>1489</v>
      </c>
      <c r="B634" s="349">
        <v>5333</v>
      </c>
      <c r="C634" s="350" t="s">
        <v>1469</v>
      </c>
      <c r="D634" s="351">
        <v>45168</v>
      </c>
      <c r="E634" s="352">
        <v>3120</v>
      </c>
      <c r="F634" s="352">
        <v>1</v>
      </c>
      <c r="G634" s="351"/>
      <c r="H634" s="350" t="s">
        <v>438</v>
      </c>
      <c r="I634" s="350" t="s">
        <v>393</v>
      </c>
      <c r="J634" s="354">
        <v>14700</v>
      </c>
      <c r="K634" s="350" t="s">
        <v>394</v>
      </c>
      <c r="L634" s="354">
        <v>2.9999999999999997E-4</v>
      </c>
      <c r="M634" s="354">
        <v>5.21</v>
      </c>
      <c r="N634" s="350" t="s">
        <v>395</v>
      </c>
      <c r="O634" s="354">
        <v>4.41</v>
      </c>
      <c r="P634" s="355" t="s">
        <v>396</v>
      </c>
      <c r="Q634" s="354" t="s">
        <v>404</v>
      </c>
      <c r="R634" s="355" t="s">
        <v>405</v>
      </c>
      <c r="S634" s="355">
        <v>103328</v>
      </c>
      <c r="T634" s="350" t="s">
        <v>406</v>
      </c>
      <c r="U634" s="351">
        <v>45174</v>
      </c>
      <c r="V634" s="351">
        <v>45174</v>
      </c>
      <c r="W634" s="350" t="s">
        <v>407</v>
      </c>
    </row>
    <row r="635" spans="1:23" x14ac:dyDescent="0.25">
      <c r="A635" s="348" t="s">
        <v>1489</v>
      </c>
      <c r="B635" s="349">
        <v>5333</v>
      </c>
      <c r="C635" s="350" t="s">
        <v>1469</v>
      </c>
      <c r="D635" s="351">
        <v>45168</v>
      </c>
      <c r="E635" s="352">
        <v>3120</v>
      </c>
      <c r="F635" s="352">
        <v>1</v>
      </c>
      <c r="G635" s="351"/>
      <c r="H635" s="350" t="s">
        <v>438</v>
      </c>
      <c r="I635" s="350" t="s">
        <v>393</v>
      </c>
      <c r="J635" s="354">
        <v>2940</v>
      </c>
      <c r="K635" s="350" t="s">
        <v>394</v>
      </c>
      <c r="L635" s="354">
        <v>2.9932E-4</v>
      </c>
      <c r="M635" s="354">
        <v>1.04</v>
      </c>
      <c r="N635" s="350" t="s">
        <v>395</v>
      </c>
      <c r="O635" s="354">
        <v>0.88</v>
      </c>
      <c r="P635" s="355" t="s">
        <v>396</v>
      </c>
      <c r="Q635" s="354" t="s">
        <v>404</v>
      </c>
      <c r="R635" s="355" t="s">
        <v>405</v>
      </c>
      <c r="S635" s="355">
        <v>117293</v>
      </c>
      <c r="T635" s="350" t="s">
        <v>406</v>
      </c>
      <c r="U635" s="351">
        <v>45174</v>
      </c>
      <c r="V635" s="351">
        <v>45174</v>
      </c>
      <c r="W635" s="350" t="s">
        <v>407</v>
      </c>
    </row>
    <row r="636" spans="1:23" x14ac:dyDescent="0.25">
      <c r="A636" s="348" t="s">
        <v>1489</v>
      </c>
      <c r="B636" s="349">
        <v>5333</v>
      </c>
      <c r="C636" s="350" t="s">
        <v>1469</v>
      </c>
      <c r="D636" s="351">
        <v>45168</v>
      </c>
      <c r="E636" s="352">
        <v>3110</v>
      </c>
      <c r="F636" s="352">
        <v>1</v>
      </c>
      <c r="G636" s="351"/>
      <c r="H636" s="350" t="s">
        <v>437</v>
      </c>
      <c r="I636" s="350" t="s">
        <v>393</v>
      </c>
      <c r="J636" s="354">
        <v>2152150.2999999998</v>
      </c>
      <c r="K636" s="350" t="s">
        <v>394</v>
      </c>
      <c r="L636" s="354">
        <v>3.0000200000000001E-4</v>
      </c>
      <c r="M636" s="354">
        <v>762.53</v>
      </c>
      <c r="N636" s="350" t="s">
        <v>395</v>
      </c>
      <c r="O636" s="354">
        <v>645.65</v>
      </c>
      <c r="P636" s="355" t="s">
        <v>396</v>
      </c>
      <c r="Q636" s="354" t="s">
        <v>404</v>
      </c>
      <c r="R636" s="355" t="s">
        <v>405</v>
      </c>
      <c r="S636" s="355">
        <v>102955</v>
      </c>
      <c r="T636" s="350" t="s">
        <v>406</v>
      </c>
      <c r="U636" s="351">
        <v>45174</v>
      </c>
      <c r="V636" s="351">
        <v>45174</v>
      </c>
      <c r="W636" s="350" t="s">
        <v>407</v>
      </c>
    </row>
    <row r="637" spans="1:23" x14ac:dyDescent="0.25">
      <c r="A637" s="348" t="s">
        <v>1489</v>
      </c>
      <c r="B637" s="349">
        <v>5333</v>
      </c>
      <c r="C637" s="350" t="s">
        <v>1469</v>
      </c>
      <c r="D637" s="351">
        <v>45168</v>
      </c>
      <c r="E637" s="352">
        <v>3110</v>
      </c>
      <c r="F637" s="352">
        <v>1</v>
      </c>
      <c r="G637" s="351"/>
      <c r="H637" s="350" t="s">
        <v>437</v>
      </c>
      <c r="I637" s="350" t="s">
        <v>393</v>
      </c>
      <c r="J637" s="354">
        <v>595528.80000000005</v>
      </c>
      <c r="K637" s="350" t="s">
        <v>394</v>
      </c>
      <c r="L637" s="354">
        <v>3.0000200000000001E-4</v>
      </c>
      <c r="M637" s="354">
        <v>211</v>
      </c>
      <c r="N637" s="350" t="s">
        <v>395</v>
      </c>
      <c r="O637" s="354">
        <v>178.66</v>
      </c>
      <c r="P637" s="355" t="s">
        <v>396</v>
      </c>
      <c r="Q637" s="354" t="s">
        <v>404</v>
      </c>
      <c r="R637" s="355" t="s">
        <v>405</v>
      </c>
      <c r="S637" s="355">
        <v>103265</v>
      </c>
      <c r="T637" s="350" t="s">
        <v>406</v>
      </c>
      <c r="U637" s="351">
        <v>45174</v>
      </c>
      <c r="V637" s="351">
        <v>45174</v>
      </c>
      <c r="W637" s="350" t="s">
        <v>407</v>
      </c>
    </row>
    <row r="638" spans="1:23" x14ac:dyDescent="0.25">
      <c r="A638" s="348" t="s">
        <v>1489</v>
      </c>
      <c r="B638" s="349">
        <v>5333</v>
      </c>
      <c r="C638" s="350" t="s">
        <v>1469</v>
      </c>
      <c r="D638" s="351">
        <v>45168</v>
      </c>
      <c r="E638" s="352">
        <v>3110</v>
      </c>
      <c r="F638" s="352">
        <v>1</v>
      </c>
      <c r="G638" s="351"/>
      <c r="H638" s="350" t="s">
        <v>437</v>
      </c>
      <c r="I638" s="350" t="s">
        <v>393</v>
      </c>
      <c r="J638" s="354">
        <v>5592445</v>
      </c>
      <c r="K638" s="350" t="s">
        <v>394</v>
      </c>
      <c r="L638" s="354">
        <v>2.9999900000000001E-4</v>
      </c>
      <c r="M638" s="354">
        <v>1981.46</v>
      </c>
      <c r="N638" s="350" t="s">
        <v>395</v>
      </c>
      <c r="O638" s="354">
        <v>1677.73</v>
      </c>
      <c r="P638" s="355" t="s">
        <v>396</v>
      </c>
      <c r="Q638" s="354" t="s">
        <v>404</v>
      </c>
      <c r="R638" s="355" t="s">
        <v>405</v>
      </c>
      <c r="S638" s="355">
        <v>117871</v>
      </c>
      <c r="T638" s="350" t="s">
        <v>406</v>
      </c>
      <c r="U638" s="351">
        <v>45174</v>
      </c>
      <c r="V638" s="351">
        <v>45174</v>
      </c>
      <c r="W638" s="350" t="s">
        <v>407</v>
      </c>
    </row>
    <row r="639" spans="1:23" x14ac:dyDescent="0.25">
      <c r="A639" s="348" t="s">
        <v>1489</v>
      </c>
      <c r="B639" s="349">
        <v>5333</v>
      </c>
      <c r="C639" s="350" t="s">
        <v>1469</v>
      </c>
      <c r="D639" s="351">
        <v>45168</v>
      </c>
      <c r="E639" s="352">
        <v>3110</v>
      </c>
      <c r="F639" s="352">
        <v>1</v>
      </c>
      <c r="G639" s="351"/>
      <c r="H639" s="350" t="s">
        <v>437</v>
      </c>
      <c r="I639" s="350" t="s">
        <v>393</v>
      </c>
      <c r="J639" s="354">
        <v>3083644.8</v>
      </c>
      <c r="K639" s="350" t="s">
        <v>394</v>
      </c>
      <c r="L639" s="354">
        <v>2.9999900000000001E-4</v>
      </c>
      <c r="M639" s="354">
        <v>1092.57</v>
      </c>
      <c r="N639" s="350" t="s">
        <v>395</v>
      </c>
      <c r="O639" s="354">
        <v>925.09</v>
      </c>
      <c r="P639" s="355" t="s">
        <v>396</v>
      </c>
      <c r="Q639" s="354" t="s">
        <v>404</v>
      </c>
      <c r="R639" s="355" t="s">
        <v>405</v>
      </c>
      <c r="S639" s="355">
        <v>103321</v>
      </c>
      <c r="T639" s="350" t="s">
        <v>406</v>
      </c>
      <c r="U639" s="351">
        <v>45174</v>
      </c>
      <c r="V639" s="351">
        <v>45174</v>
      </c>
      <c r="W639" s="350" t="s">
        <v>407</v>
      </c>
    </row>
    <row r="640" spans="1:23" x14ac:dyDescent="0.25">
      <c r="A640" s="348" t="s">
        <v>1489</v>
      </c>
      <c r="B640" s="349">
        <v>5333</v>
      </c>
      <c r="C640" s="350" t="s">
        <v>1469</v>
      </c>
      <c r="D640" s="351">
        <v>45168</v>
      </c>
      <c r="E640" s="352">
        <v>3110</v>
      </c>
      <c r="F640" s="352">
        <v>1</v>
      </c>
      <c r="G640" s="351"/>
      <c r="H640" s="350" t="s">
        <v>437</v>
      </c>
      <c r="I640" s="350" t="s">
        <v>393</v>
      </c>
      <c r="J640" s="354">
        <v>598983.44999999995</v>
      </c>
      <c r="K640" s="350" t="s">
        <v>394</v>
      </c>
      <c r="L640" s="354">
        <v>3.0000799999999999E-4</v>
      </c>
      <c r="M640" s="354">
        <v>212.23</v>
      </c>
      <c r="N640" s="350" t="s">
        <v>395</v>
      </c>
      <c r="O640" s="354">
        <v>179.7</v>
      </c>
      <c r="P640" s="355" t="s">
        <v>396</v>
      </c>
      <c r="Q640" s="354" t="s">
        <v>404</v>
      </c>
      <c r="R640" s="355" t="s">
        <v>405</v>
      </c>
      <c r="S640" s="355">
        <v>117427</v>
      </c>
      <c r="T640" s="350" t="s">
        <v>406</v>
      </c>
      <c r="U640" s="351">
        <v>45174</v>
      </c>
      <c r="V640" s="351">
        <v>45174</v>
      </c>
      <c r="W640" s="350" t="s">
        <v>407</v>
      </c>
    </row>
    <row r="641" spans="1:23" x14ac:dyDescent="0.25">
      <c r="A641" s="348" t="s">
        <v>1489</v>
      </c>
      <c r="B641" s="349">
        <v>5333</v>
      </c>
      <c r="C641" s="350" t="s">
        <v>1469</v>
      </c>
      <c r="D641" s="351">
        <v>45168</v>
      </c>
      <c r="E641" s="352">
        <v>3110</v>
      </c>
      <c r="F641" s="352">
        <v>1</v>
      </c>
      <c r="G641" s="351"/>
      <c r="H641" s="350" t="s">
        <v>437</v>
      </c>
      <c r="I641" s="350" t="s">
        <v>393</v>
      </c>
      <c r="J641" s="354">
        <v>3194579.2</v>
      </c>
      <c r="K641" s="350" t="s">
        <v>394</v>
      </c>
      <c r="L641" s="354">
        <v>2.9999900000000001E-4</v>
      </c>
      <c r="M641" s="354">
        <v>1131.8699999999999</v>
      </c>
      <c r="N641" s="350" t="s">
        <v>395</v>
      </c>
      <c r="O641" s="354">
        <v>958.37</v>
      </c>
      <c r="P641" s="355" t="s">
        <v>396</v>
      </c>
      <c r="Q641" s="354" t="s">
        <v>404</v>
      </c>
      <c r="R641" s="355" t="s">
        <v>405</v>
      </c>
      <c r="S641" s="355">
        <v>117872</v>
      </c>
      <c r="T641" s="350" t="s">
        <v>406</v>
      </c>
      <c r="U641" s="351">
        <v>45174</v>
      </c>
      <c r="V641" s="351">
        <v>45174</v>
      </c>
      <c r="W641" s="350" t="s">
        <v>407</v>
      </c>
    </row>
    <row r="642" spans="1:23" x14ac:dyDescent="0.25">
      <c r="A642" s="348" t="s">
        <v>1489</v>
      </c>
      <c r="B642" s="349">
        <v>5333</v>
      </c>
      <c r="C642" s="350" t="s">
        <v>1469</v>
      </c>
      <c r="D642" s="351">
        <v>45168</v>
      </c>
      <c r="E642" s="352">
        <v>3110</v>
      </c>
      <c r="F642" s="352">
        <v>1</v>
      </c>
      <c r="G642" s="351"/>
      <c r="H642" s="350" t="s">
        <v>437</v>
      </c>
      <c r="I642" s="350" t="s">
        <v>393</v>
      </c>
      <c r="J642" s="354">
        <v>802216.5</v>
      </c>
      <c r="K642" s="350" t="s">
        <v>394</v>
      </c>
      <c r="L642" s="354">
        <v>2.9999399999999999E-4</v>
      </c>
      <c r="M642" s="354">
        <v>284.23</v>
      </c>
      <c r="N642" s="350" t="s">
        <v>395</v>
      </c>
      <c r="O642" s="354">
        <v>240.66</v>
      </c>
      <c r="P642" s="355" t="s">
        <v>396</v>
      </c>
      <c r="Q642" s="354" t="s">
        <v>404</v>
      </c>
      <c r="R642" s="355" t="s">
        <v>405</v>
      </c>
      <c r="S642" s="355">
        <v>103328</v>
      </c>
      <c r="T642" s="350" t="s">
        <v>406</v>
      </c>
      <c r="U642" s="351">
        <v>45174</v>
      </c>
      <c r="V642" s="351">
        <v>45174</v>
      </c>
      <c r="W642" s="350" t="s">
        <v>407</v>
      </c>
    </row>
    <row r="643" spans="1:23" x14ac:dyDescent="0.25">
      <c r="A643" s="348" t="s">
        <v>1489</v>
      </c>
      <c r="B643" s="349">
        <v>5333</v>
      </c>
      <c r="C643" s="350" t="s">
        <v>1469</v>
      </c>
      <c r="D643" s="351">
        <v>45168</v>
      </c>
      <c r="E643" s="352">
        <v>3110</v>
      </c>
      <c r="F643" s="352">
        <v>1</v>
      </c>
      <c r="G643" s="351"/>
      <c r="H643" s="350" t="s">
        <v>437</v>
      </c>
      <c r="I643" s="350" t="s">
        <v>393</v>
      </c>
      <c r="J643" s="354">
        <v>684495.7</v>
      </c>
      <c r="K643" s="350" t="s">
        <v>394</v>
      </c>
      <c r="L643" s="354">
        <v>3.0000200000000001E-4</v>
      </c>
      <c r="M643" s="354">
        <v>242.52</v>
      </c>
      <c r="N643" s="350" t="s">
        <v>395</v>
      </c>
      <c r="O643" s="354">
        <v>205.35</v>
      </c>
      <c r="P643" s="355" t="s">
        <v>396</v>
      </c>
      <c r="Q643" s="354" t="s">
        <v>404</v>
      </c>
      <c r="R643" s="355" t="s">
        <v>405</v>
      </c>
      <c r="S643" s="355">
        <v>117293</v>
      </c>
      <c r="T643" s="350" t="s">
        <v>406</v>
      </c>
      <c r="U643" s="351">
        <v>45174</v>
      </c>
      <c r="V643" s="351">
        <v>45174</v>
      </c>
      <c r="W643" s="350" t="s">
        <v>407</v>
      </c>
    </row>
    <row r="644" spans="1:23" x14ac:dyDescent="0.25">
      <c r="A644" s="348" t="s">
        <v>621</v>
      </c>
      <c r="B644" s="349">
        <v>5544</v>
      </c>
      <c r="C644" s="350" t="s">
        <v>1501</v>
      </c>
      <c r="D644" s="351">
        <v>45199</v>
      </c>
      <c r="E644" s="352">
        <v>3600</v>
      </c>
      <c r="F644" s="352">
        <v>7</v>
      </c>
      <c r="G644" s="351"/>
      <c r="H644" s="350" t="s">
        <v>1502</v>
      </c>
      <c r="I644" s="350" t="s">
        <v>393</v>
      </c>
      <c r="J644" s="354">
        <v>38.21</v>
      </c>
      <c r="K644" s="350" t="s">
        <v>395</v>
      </c>
      <c r="L644" s="354">
        <v>0.78926598299999995</v>
      </c>
      <c r="M644" s="354">
        <v>38.21</v>
      </c>
      <c r="N644" s="350" t="s">
        <v>395</v>
      </c>
      <c r="O644" s="354">
        <v>30.16</v>
      </c>
      <c r="P644" s="355" t="s">
        <v>396</v>
      </c>
      <c r="Q644" s="354" t="s">
        <v>404</v>
      </c>
      <c r="R644" s="355" t="s">
        <v>405</v>
      </c>
      <c r="S644" s="355">
        <v>0</v>
      </c>
      <c r="T644" s="350" t="s">
        <v>410</v>
      </c>
      <c r="U644" s="351">
        <v>45202</v>
      </c>
      <c r="V644" s="351">
        <v>45203</v>
      </c>
      <c r="W644" s="350" t="s">
        <v>407</v>
      </c>
    </row>
    <row r="645" spans="1:23" x14ac:dyDescent="0.25">
      <c r="A645" s="348" t="s">
        <v>1503</v>
      </c>
      <c r="B645" s="349">
        <v>5522</v>
      </c>
      <c r="C645" s="350" t="s">
        <v>1501</v>
      </c>
      <c r="D645" s="351">
        <v>45170</v>
      </c>
      <c r="E645" s="352">
        <v>3410</v>
      </c>
      <c r="F645" s="352">
        <v>7</v>
      </c>
      <c r="G645" s="351"/>
      <c r="H645" s="350" t="s">
        <v>1504</v>
      </c>
      <c r="I645" s="350" t="s">
        <v>393</v>
      </c>
      <c r="J645" s="354">
        <v>200000</v>
      </c>
      <c r="K645" s="350" t="s">
        <v>394</v>
      </c>
      <c r="L645" s="354">
        <v>2.7904399999999999E-4</v>
      </c>
      <c r="M645" s="354">
        <v>70.709999999999994</v>
      </c>
      <c r="N645" s="350" t="s">
        <v>395</v>
      </c>
      <c r="O645" s="354">
        <v>55.81</v>
      </c>
      <c r="P645" s="355" t="s">
        <v>396</v>
      </c>
      <c r="Q645" s="354" t="s">
        <v>404</v>
      </c>
      <c r="R645" s="355" t="s">
        <v>405</v>
      </c>
      <c r="S645" s="355">
        <v>0</v>
      </c>
      <c r="T645" s="350" t="s">
        <v>410</v>
      </c>
      <c r="U645" s="351">
        <v>45202</v>
      </c>
      <c r="V645" s="351">
        <v>45203</v>
      </c>
      <c r="W645" s="350" t="s">
        <v>407</v>
      </c>
    </row>
    <row r="646" spans="1:23" x14ac:dyDescent="0.25">
      <c r="A646" s="348" t="s">
        <v>1505</v>
      </c>
      <c r="B646" s="349">
        <v>5554</v>
      </c>
      <c r="C646" s="350" t="s">
        <v>1501</v>
      </c>
      <c r="D646" s="351">
        <v>45176</v>
      </c>
      <c r="E646" s="352">
        <v>3490</v>
      </c>
      <c r="F646" s="352">
        <v>7</v>
      </c>
      <c r="G646" s="351"/>
      <c r="H646" s="350" t="s">
        <v>1506</v>
      </c>
      <c r="I646" s="350" t="s">
        <v>393</v>
      </c>
      <c r="J646" s="354">
        <v>298000</v>
      </c>
      <c r="K646" s="350" t="s">
        <v>394</v>
      </c>
      <c r="L646" s="354">
        <v>2.7904399999999999E-4</v>
      </c>
      <c r="M646" s="354">
        <v>105.36</v>
      </c>
      <c r="N646" s="350" t="s">
        <v>395</v>
      </c>
      <c r="O646" s="354">
        <v>83.16</v>
      </c>
      <c r="P646" s="355" t="s">
        <v>396</v>
      </c>
      <c r="Q646" s="354" t="s">
        <v>404</v>
      </c>
      <c r="R646" s="355" t="s">
        <v>405</v>
      </c>
      <c r="S646" s="355">
        <v>0</v>
      </c>
      <c r="T646" s="350" t="s">
        <v>410</v>
      </c>
      <c r="U646" s="351">
        <v>45205</v>
      </c>
      <c r="V646" s="351">
        <v>45205</v>
      </c>
      <c r="W646" s="350" t="s">
        <v>407</v>
      </c>
    </row>
    <row r="647" spans="1:23" x14ac:dyDescent="0.25">
      <c r="A647" s="348" t="s">
        <v>1507</v>
      </c>
      <c r="B647" s="349">
        <v>5558</v>
      </c>
      <c r="C647" s="350" t="s">
        <v>1501</v>
      </c>
      <c r="D647" s="351">
        <v>45181</v>
      </c>
      <c r="E647" s="352">
        <v>3490</v>
      </c>
      <c r="F647" s="352">
        <v>7</v>
      </c>
      <c r="G647" s="351"/>
      <c r="H647" s="350" t="s">
        <v>1508</v>
      </c>
      <c r="I647" s="350" t="s">
        <v>393</v>
      </c>
      <c r="J647" s="354">
        <v>10000</v>
      </c>
      <c r="K647" s="350" t="s">
        <v>394</v>
      </c>
      <c r="L647" s="354">
        <v>2.7904399999999999E-4</v>
      </c>
      <c r="M647" s="354">
        <v>3.54</v>
      </c>
      <c r="N647" s="350" t="s">
        <v>395</v>
      </c>
      <c r="O647" s="354">
        <v>2.79</v>
      </c>
      <c r="P647" s="355" t="s">
        <v>396</v>
      </c>
      <c r="Q647" s="354" t="s">
        <v>404</v>
      </c>
      <c r="R647" s="355" t="s">
        <v>405</v>
      </c>
      <c r="S647" s="355">
        <v>0</v>
      </c>
      <c r="T647" s="350" t="s">
        <v>410</v>
      </c>
      <c r="U647" s="351">
        <v>45205</v>
      </c>
      <c r="V647" s="351">
        <v>45205</v>
      </c>
      <c r="W647" s="350" t="s">
        <v>407</v>
      </c>
    </row>
    <row r="648" spans="1:23" x14ac:dyDescent="0.25">
      <c r="A648" s="348" t="s">
        <v>1509</v>
      </c>
      <c r="B648" s="349">
        <v>5569</v>
      </c>
      <c r="C648" s="350" t="s">
        <v>1501</v>
      </c>
      <c r="D648" s="351">
        <v>45192</v>
      </c>
      <c r="E648" s="352">
        <v>3420</v>
      </c>
      <c r="F648" s="352">
        <v>7</v>
      </c>
      <c r="G648" s="351"/>
      <c r="H648" s="350" t="s">
        <v>1510</v>
      </c>
      <c r="I648" s="350" t="s">
        <v>393</v>
      </c>
      <c r="J648" s="354">
        <v>50000</v>
      </c>
      <c r="K648" s="350" t="s">
        <v>394</v>
      </c>
      <c r="L648" s="354">
        <v>2.7904399999999999E-4</v>
      </c>
      <c r="M648" s="354">
        <v>17.68</v>
      </c>
      <c r="N648" s="350" t="s">
        <v>395</v>
      </c>
      <c r="O648" s="354">
        <v>13.95</v>
      </c>
      <c r="P648" s="355" t="s">
        <v>396</v>
      </c>
      <c r="Q648" s="354" t="s">
        <v>404</v>
      </c>
      <c r="R648" s="355" t="s">
        <v>405</v>
      </c>
      <c r="S648" s="355">
        <v>0</v>
      </c>
      <c r="T648" s="350" t="s">
        <v>410</v>
      </c>
      <c r="U648" s="351">
        <v>45205</v>
      </c>
      <c r="V648" s="351">
        <v>45205</v>
      </c>
      <c r="W648" s="350" t="s">
        <v>407</v>
      </c>
    </row>
    <row r="649" spans="1:23" x14ac:dyDescent="0.25">
      <c r="A649" s="348" t="s">
        <v>1511</v>
      </c>
      <c r="B649" s="349">
        <v>5568</v>
      </c>
      <c r="C649" s="350" t="s">
        <v>1501</v>
      </c>
      <c r="D649" s="351">
        <v>45196</v>
      </c>
      <c r="E649" s="352">
        <v>3490</v>
      </c>
      <c r="F649" s="352">
        <v>7</v>
      </c>
      <c r="G649" s="351"/>
      <c r="H649" s="350" t="s">
        <v>1512</v>
      </c>
      <c r="I649" s="350" t="s">
        <v>393</v>
      </c>
      <c r="J649" s="354">
        <v>72000</v>
      </c>
      <c r="K649" s="350" t="s">
        <v>394</v>
      </c>
      <c r="L649" s="354">
        <v>2.7904399999999999E-4</v>
      </c>
      <c r="M649" s="354">
        <v>25.46</v>
      </c>
      <c r="N649" s="350" t="s">
        <v>395</v>
      </c>
      <c r="O649" s="354">
        <v>20.09</v>
      </c>
      <c r="P649" s="355" t="s">
        <v>396</v>
      </c>
      <c r="Q649" s="354" t="s">
        <v>404</v>
      </c>
      <c r="R649" s="355" t="s">
        <v>405</v>
      </c>
      <c r="S649" s="355">
        <v>0</v>
      </c>
      <c r="T649" s="350" t="s">
        <v>410</v>
      </c>
      <c r="U649" s="351">
        <v>45205</v>
      </c>
      <c r="V649" s="351">
        <v>45205</v>
      </c>
      <c r="W649" s="350" t="s">
        <v>407</v>
      </c>
    </row>
    <row r="650" spans="1:23" x14ac:dyDescent="0.25">
      <c r="A650" s="348" t="s">
        <v>1513</v>
      </c>
      <c r="B650" s="349">
        <v>5571</v>
      </c>
      <c r="C650" s="350" t="s">
        <v>1501</v>
      </c>
      <c r="D650" s="351">
        <v>45196</v>
      </c>
      <c r="E650" s="352">
        <v>3490</v>
      </c>
      <c r="F650" s="352">
        <v>7</v>
      </c>
      <c r="G650" s="351"/>
      <c r="H650" s="350" t="s">
        <v>1514</v>
      </c>
      <c r="I650" s="350" t="s">
        <v>393</v>
      </c>
      <c r="J650" s="354">
        <v>30000</v>
      </c>
      <c r="K650" s="350" t="s">
        <v>394</v>
      </c>
      <c r="L650" s="354">
        <v>2.7904399999999999E-4</v>
      </c>
      <c r="M650" s="354">
        <v>10.61</v>
      </c>
      <c r="N650" s="350" t="s">
        <v>395</v>
      </c>
      <c r="O650" s="354">
        <v>8.3699999999999992</v>
      </c>
      <c r="P650" s="355" t="s">
        <v>396</v>
      </c>
      <c r="Q650" s="354" t="s">
        <v>404</v>
      </c>
      <c r="R650" s="355" t="s">
        <v>405</v>
      </c>
      <c r="S650" s="355">
        <v>0</v>
      </c>
      <c r="T650" s="350" t="s">
        <v>410</v>
      </c>
      <c r="U650" s="351">
        <v>45205</v>
      </c>
      <c r="V650" s="351">
        <v>45205</v>
      </c>
      <c r="W650" s="350" t="s">
        <v>407</v>
      </c>
    </row>
    <row r="651" spans="1:23" x14ac:dyDescent="0.25">
      <c r="A651" s="348" t="s">
        <v>1515</v>
      </c>
      <c r="B651" s="349">
        <v>5573</v>
      </c>
      <c r="C651" s="350" t="s">
        <v>1501</v>
      </c>
      <c r="D651" s="351">
        <v>45197</v>
      </c>
      <c r="E651" s="352">
        <v>3490</v>
      </c>
      <c r="F651" s="352">
        <v>7</v>
      </c>
      <c r="G651" s="351"/>
      <c r="H651" s="350" t="s">
        <v>1478</v>
      </c>
      <c r="I651" s="350" t="s">
        <v>393</v>
      </c>
      <c r="J651" s="354">
        <v>105000</v>
      </c>
      <c r="K651" s="350" t="s">
        <v>394</v>
      </c>
      <c r="L651" s="354">
        <v>2.7904399999999999E-4</v>
      </c>
      <c r="M651" s="354">
        <v>37.119999999999997</v>
      </c>
      <c r="N651" s="350" t="s">
        <v>395</v>
      </c>
      <c r="O651" s="354">
        <v>29.3</v>
      </c>
      <c r="P651" s="355" t="s">
        <v>396</v>
      </c>
      <c r="Q651" s="354" t="s">
        <v>404</v>
      </c>
      <c r="R651" s="355" t="s">
        <v>405</v>
      </c>
      <c r="S651" s="355">
        <v>0</v>
      </c>
      <c r="T651" s="350" t="s">
        <v>410</v>
      </c>
      <c r="U651" s="351">
        <v>45205</v>
      </c>
      <c r="V651" s="351">
        <v>45205</v>
      </c>
      <c r="W651" s="350" t="s">
        <v>407</v>
      </c>
    </row>
    <row r="652" spans="1:23" x14ac:dyDescent="0.25">
      <c r="A652" s="348" t="s">
        <v>1516</v>
      </c>
      <c r="B652" s="349">
        <v>5491</v>
      </c>
      <c r="C652" s="350" t="s">
        <v>1501</v>
      </c>
      <c r="D652" s="351">
        <v>45175</v>
      </c>
      <c r="E652" s="352">
        <v>3420</v>
      </c>
      <c r="F652" s="352">
        <v>7</v>
      </c>
      <c r="G652" s="351"/>
      <c r="H652" s="350" t="s">
        <v>1517</v>
      </c>
      <c r="I652" s="350" t="s">
        <v>393</v>
      </c>
      <c r="J652" s="354">
        <v>61566</v>
      </c>
      <c r="K652" s="350" t="s">
        <v>394</v>
      </c>
      <c r="L652" s="354">
        <v>2.7904399999999999E-4</v>
      </c>
      <c r="M652" s="354">
        <v>21.77</v>
      </c>
      <c r="N652" s="350" t="s">
        <v>395</v>
      </c>
      <c r="O652" s="354">
        <v>17.18</v>
      </c>
      <c r="P652" s="355" t="s">
        <v>396</v>
      </c>
      <c r="Q652" s="354" t="s">
        <v>404</v>
      </c>
      <c r="R652" s="355" t="s">
        <v>405</v>
      </c>
      <c r="S652" s="355">
        <v>0</v>
      </c>
      <c r="T652" s="350" t="s">
        <v>410</v>
      </c>
      <c r="U652" s="351">
        <v>45202</v>
      </c>
      <c r="V652" s="351">
        <v>45203</v>
      </c>
      <c r="W652" s="350" t="s">
        <v>407</v>
      </c>
    </row>
    <row r="653" spans="1:23" x14ac:dyDescent="0.25">
      <c r="A653" s="348" t="s">
        <v>1518</v>
      </c>
      <c r="B653" s="349">
        <v>5523</v>
      </c>
      <c r="C653" s="350" t="s">
        <v>1501</v>
      </c>
      <c r="D653" s="351">
        <v>45180</v>
      </c>
      <c r="E653" s="352">
        <v>3450</v>
      </c>
      <c r="F653" s="352">
        <v>3</v>
      </c>
      <c r="G653" s="351"/>
      <c r="H653" s="350" t="s">
        <v>1519</v>
      </c>
      <c r="I653" s="350" t="s">
        <v>393</v>
      </c>
      <c r="J653" s="354">
        <v>4956000</v>
      </c>
      <c r="K653" s="350" t="s">
        <v>394</v>
      </c>
      <c r="L653" s="354">
        <v>2.7904399999999999E-4</v>
      </c>
      <c r="M653" s="354">
        <v>1752.18</v>
      </c>
      <c r="N653" s="350" t="s">
        <v>395</v>
      </c>
      <c r="O653" s="354">
        <v>1382.94</v>
      </c>
      <c r="P653" s="355" t="s">
        <v>396</v>
      </c>
      <c r="Q653" s="354" t="s">
        <v>404</v>
      </c>
      <c r="R653" s="355" t="s">
        <v>405</v>
      </c>
      <c r="S653" s="355">
        <v>0</v>
      </c>
      <c r="T653" s="350" t="s">
        <v>410</v>
      </c>
      <c r="U653" s="351">
        <v>45202</v>
      </c>
      <c r="V653" s="351">
        <v>45203</v>
      </c>
      <c r="W653" s="350" t="s">
        <v>407</v>
      </c>
    </row>
    <row r="654" spans="1:23" x14ac:dyDescent="0.25">
      <c r="A654" s="348" t="s">
        <v>1520</v>
      </c>
      <c r="B654" s="349">
        <v>5476</v>
      </c>
      <c r="C654" s="350" t="s">
        <v>1501</v>
      </c>
      <c r="D654" s="351">
        <v>45170</v>
      </c>
      <c r="E654" s="352">
        <v>3400</v>
      </c>
      <c r="F654" s="352">
        <v>7</v>
      </c>
      <c r="G654" s="351"/>
      <c r="H654" s="350" t="s">
        <v>1521</v>
      </c>
      <c r="I654" s="350" t="s">
        <v>393</v>
      </c>
      <c r="J654" s="354">
        <v>2000000</v>
      </c>
      <c r="K654" s="350" t="s">
        <v>394</v>
      </c>
      <c r="L654" s="354">
        <v>2.7904399999999999E-4</v>
      </c>
      <c r="M654" s="354">
        <v>707.1</v>
      </c>
      <c r="N654" s="350" t="s">
        <v>395</v>
      </c>
      <c r="O654" s="354">
        <v>558.09</v>
      </c>
      <c r="P654" s="355" t="s">
        <v>396</v>
      </c>
      <c r="Q654" s="354" t="s">
        <v>404</v>
      </c>
      <c r="R654" s="355" t="s">
        <v>405</v>
      </c>
      <c r="S654" s="355">
        <v>0</v>
      </c>
      <c r="T654" s="350" t="s">
        <v>410</v>
      </c>
      <c r="U654" s="351">
        <v>45202</v>
      </c>
      <c r="V654" s="351">
        <v>45203</v>
      </c>
      <c r="W654" s="350" t="s">
        <v>407</v>
      </c>
    </row>
    <row r="655" spans="1:23" x14ac:dyDescent="0.25">
      <c r="A655" s="348" t="s">
        <v>1522</v>
      </c>
      <c r="B655" s="349">
        <v>5482</v>
      </c>
      <c r="C655" s="350" t="s">
        <v>1501</v>
      </c>
      <c r="D655" s="351">
        <v>45174</v>
      </c>
      <c r="E655" s="352">
        <v>3340</v>
      </c>
      <c r="F655" s="352">
        <v>5</v>
      </c>
      <c r="G655" s="351"/>
      <c r="H655" s="350" t="s">
        <v>1523</v>
      </c>
      <c r="I655" s="350" t="s">
        <v>393</v>
      </c>
      <c r="J655" s="354">
        <v>259600</v>
      </c>
      <c r="K655" s="350" t="s">
        <v>394</v>
      </c>
      <c r="L655" s="354">
        <v>2.7904399999999999E-4</v>
      </c>
      <c r="M655" s="354">
        <v>91.78</v>
      </c>
      <c r="N655" s="350" t="s">
        <v>395</v>
      </c>
      <c r="O655" s="354">
        <v>72.44</v>
      </c>
      <c r="P655" s="355" t="s">
        <v>396</v>
      </c>
      <c r="Q655" s="354" t="s">
        <v>404</v>
      </c>
      <c r="R655" s="355" t="s">
        <v>405</v>
      </c>
      <c r="S655" s="355">
        <v>0</v>
      </c>
      <c r="T655" s="350" t="s">
        <v>410</v>
      </c>
      <c r="U655" s="351">
        <v>45202</v>
      </c>
      <c r="V655" s="351">
        <v>45203</v>
      </c>
      <c r="W655" s="350" t="s">
        <v>407</v>
      </c>
    </row>
    <row r="656" spans="1:23" x14ac:dyDescent="0.25">
      <c r="A656" s="348" t="s">
        <v>1524</v>
      </c>
      <c r="B656" s="349">
        <v>5521</v>
      </c>
      <c r="C656" s="350" t="s">
        <v>1501</v>
      </c>
      <c r="D656" s="351">
        <v>45181</v>
      </c>
      <c r="E656" s="352">
        <v>3350</v>
      </c>
      <c r="F656" s="352">
        <v>5</v>
      </c>
      <c r="G656" s="351"/>
      <c r="H656" s="350" t="s">
        <v>1525</v>
      </c>
      <c r="I656" s="350" t="s">
        <v>393</v>
      </c>
      <c r="J656" s="354">
        <v>254452.5</v>
      </c>
      <c r="K656" s="350" t="s">
        <v>394</v>
      </c>
      <c r="L656" s="354">
        <v>2.7904399999999999E-4</v>
      </c>
      <c r="M656" s="354">
        <v>89.96</v>
      </c>
      <c r="N656" s="350" t="s">
        <v>395</v>
      </c>
      <c r="O656" s="354">
        <v>71</v>
      </c>
      <c r="P656" s="355" t="s">
        <v>396</v>
      </c>
      <c r="Q656" s="354" t="s">
        <v>404</v>
      </c>
      <c r="R656" s="355" t="s">
        <v>405</v>
      </c>
      <c r="S656" s="355">
        <v>0</v>
      </c>
      <c r="T656" s="350" t="s">
        <v>410</v>
      </c>
      <c r="U656" s="351">
        <v>45202</v>
      </c>
      <c r="V656" s="351">
        <v>45203</v>
      </c>
      <c r="W656" s="350" t="s">
        <v>407</v>
      </c>
    </row>
    <row r="657" spans="1:23" x14ac:dyDescent="0.25">
      <c r="A657" s="348" t="s">
        <v>1526</v>
      </c>
      <c r="B657" s="349">
        <v>5480</v>
      </c>
      <c r="C657" s="350" t="s">
        <v>1501</v>
      </c>
      <c r="D657" s="351">
        <v>45199</v>
      </c>
      <c r="E657" s="352">
        <v>3110</v>
      </c>
      <c r="F657" s="352">
        <v>1</v>
      </c>
      <c r="G657" s="351"/>
      <c r="H657" s="350" t="s">
        <v>437</v>
      </c>
      <c r="I657" s="350" t="s">
        <v>393</v>
      </c>
      <c r="J657" s="354">
        <v>2123598.2999999998</v>
      </c>
      <c r="K657" s="350" t="s">
        <v>394</v>
      </c>
      <c r="L657" s="354">
        <v>2.9999999999999997E-4</v>
      </c>
      <c r="M657" s="354">
        <v>750.79</v>
      </c>
      <c r="N657" s="350" t="s">
        <v>395</v>
      </c>
      <c r="O657" s="354">
        <v>637.08000000000004</v>
      </c>
      <c r="P657" s="355" t="s">
        <v>396</v>
      </c>
      <c r="Q657" s="354" t="s">
        <v>404</v>
      </c>
      <c r="R657" s="355" t="s">
        <v>405</v>
      </c>
      <c r="S657" s="355">
        <v>102955</v>
      </c>
      <c r="T657" s="350" t="s">
        <v>406</v>
      </c>
      <c r="U657" s="351">
        <v>45203</v>
      </c>
      <c r="V657" s="351">
        <v>45203</v>
      </c>
      <c r="W657" s="350" t="s">
        <v>407</v>
      </c>
    </row>
    <row r="658" spans="1:23" x14ac:dyDescent="0.25">
      <c r="A658" s="348" t="s">
        <v>1526</v>
      </c>
      <c r="B658" s="349">
        <v>5480</v>
      </c>
      <c r="C658" s="350" t="s">
        <v>1501</v>
      </c>
      <c r="D658" s="351">
        <v>45199</v>
      </c>
      <c r="E658" s="352">
        <v>3110</v>
      </c>
      <c r="F658" s="352">
        <v>1</v>
      </c>
      <c r="G658" s="351"/>
      <c r="H658" s="350" t="s">
        <v>437</v>
      </c>
      <c r="I658" s="350" t="s">
        <v>393</v>
      </c>
      <c r="J658" s="354">
        <v>595528.80000000005</v>
      </c>
      <c r="K658" s="350" t="s">
        <v>394</v>
      </c>
      <c r="L658" s="354">
        <v>3.0000200000000001E-4</v>
      </c>
      <c r="M658" s="354">
        <v>210.55</v>
      </c>
      <c r="N658" s="350" t="s">
        <v>395</v>
      </c>
      <c r="O658" s="354">
        <v>178.66</v>
      </c>
      <c r="P658" s="355" t="s">
        <v>396</v>
      </c>
      <c r="Q658" s="354" t="s">
        <v>404</v>
      </c>
      <c r="R658" s="355" t="s">
        <v>405</v>
      </c>
      <c r="S658" s="355">
        <v>103265</v>
      </c>
      <c r="T658" s="350" t="s">
        <v>406</v>
      </c>
      <c r="U658" s="351">
        <v>45203</v>
      </c>
      <c r="V658" s="351">
        <v>45203</v>
      </c>
      <c r="W658" s="350" t="s">
        <v>407</v>
      </c>
    </row>
    <row r="659" spans="1:23" x14ac:dyDescent="0.25">
      <c r="A659" s="348" t="s">
        <v>1526</v>
      </c>
      <c r="B659" s="349">
        <v>5480</v>
      </c>
      <c r="C659" s="350" t="s">
        <v>1501</v>
      </c>
      <c r="D659" s="351">
        <v>45199</v>
      </c>
      <c r="E659" s="352">
        <v>3110</v>
      </c>
      <c r="F659" s="352">
        <v>1</v>
      </c>
      <c r="G659" s="351"/>
      <c r="H659" s="350" t="s">
        <v>437</v>
      </c>
      <c r="I659" s="350" t="s">
        <v>393</v>
      </c>
      <c r="J659" s="354">
        <v>5592445</v>
      </c>
      <c r="K659" s="350" t="s">
        <v>394</v>
      </c>
      <c r="L659" s="354">
        <v>2.9999900000000001E-4</v>
      </c>
      <c r="M659" s="354">
        <v>1977.2</v>
      </c>
      <c r="N659" s="350" t="s">
        <v>395</v>
      </c>
      <c r="O659" s="354">
        <v>1677.73</v>
      </c>
      <c r="P659" s="355" t="s">
        <v>396</v>
      </c>
      <c r="Q659" s="354" t="s">
        <v>404</v>
      </c>
      <c r="R659" s="355" t="s">
        <v>405</v>
      </c>
      <c r="S659" s="355">
        <v>117871</v>
      </c>
      <c r="T659" s="350" t="s">
        <v>406</v>
      </c>
      <c r="U659" s="351">
        <v>45203</v>
      </c>
      <c r="V659" s="351">
        <v>45203</v>
      </c>
      <c r="W659" s="350" t="s">
        <v>407</v>
      </c>
    </row>
    <row r="660" spans="1:23" x14ac:dyDescent="0.25">
      <c r="A660" s="348" t="s">
        <v>1526</v>
      </c>
      <c r="B660" s="349">
        <v>5480</v>
      </c>
      <c r="C660" s="350" t="s">
        <v>1501</v>
      </c>
      <c r="D660" s="351">
        <v>45199</v>
      </c>
      <c r="E660" s="352">
        <v>3110</v>
      </c>
      <c r="F660" s="352">
        <v>1</v>
      </c>
      <c r="G660" s="351"/>
      <c r="H660" s="350" t="s">
        <v>437</v>
      </c>
      <c r="I660" s="350" t="s">
        <v>393</v>
      </c>
      <c r="J660" s="354">
        <v>3083644.8</v>
      </c>
      <c r="K660" s="350" t="s">
        <v>394</v>
      </c>
      <c r="L660" s="354">
        <v>2.9999900000000001E-4</v>
      </c>
      <c r="M660" s="354">
        <v>1090.22</v>
      </c>
      <c r="N660" s="350" t="s">
        <v>395</v>
      </c>
      <c r="O660" s="354">
        <v>925.09</v>
      </c>
      <c r="P660" s="355" t="s">
        <v>396</v>
      </c>
      <c r="Q660" s="354" t="s">
        <v>404</v>
      </c>
      <c r="R660" s="355" t="s">
        <v>405</v>
      </c>
      <c r="S660" s="355">
        <v>103321</v>
      </c>
      <c r="T660" s="350" t="s">
        <v>406</v>
      </c>
      <c r="U660" s="351">
        <v>45203</v>
      </c>
      <c r="V660" s="351">
        <v>45203</v>
      </c>
      <c r="W660" s="350" t="s">
        <v>407</v>
      </c>
    </row>
    <row r="661" spans="1:23" x14ac:dyDescent="0.25">
      <c r="A661" s="348" t="s">
        <v>1526</v>
      </c>
      <c r="B661" s="349">
        <v>5480</v>
      </c>
      <c r="C661" s="350" t="s">
        <v>1501</v>
      </c>
      <c r="D661" s="351">
        <v>45199</v>
      </c>
      <c r="E661" s="352">
        <v>3110</v>
      </c>
      <c r="F661" s="352">
        <v>1</v>
      </c>
      <c r="G661" s="351"/>
      <c r="H661" s="350" t="s">
        <v>437</v>
      </c>
      <c r="I661" s="350" t="s">
        <v>393</v>
      </c>
      <c r="J661" s="354">
        <v>598983.44999999995</v>
      </c>
      <c r="K661" s="350" t="s">
        <v>394</v>
      </c>
      <c r="L661" s="354">
        <v>3.0000799999999999E-4</v>
      </c>
      <c r="M661" s="354">
        <v>211.77</v>
      </c>
      <c r="N661" s="350" t="s">
        <v>395</v>
      </c>
      <c r="O661" s="354">
        <v>179.7</v>
      </c>
      <c r="P661" s="355" t="s">
        <v>396</v>
      </c>
      <c r="Q661" s="354" t="s">
        <v>404</v>
      </c>
      <c r="R661" s="355" t="s">
        <v>405</v>
      </c>
      <c r="S661" s="355">
        <v>117427</v>
      </c>
      <c r="T661" s="350" t="s">
        <v>406</v>
      </c>
      <c r="U661" s="351">
        <v>45203</v>
      </c>
      <c r="V661" s="351">
        <v>45203</v>
      </c>
      <c r="W661" s="350" t="s">
        <v>407</v>
      </c>
    </row>
    <row r="662" spans="1:23" x14ac:dyDescent="0.25">
      <c r="A662" s="348" t="s">
        <v>1526</v>
      </c>
      <c r="B662" s="349">
        <v>5480</v>
      </c>
      <c r="C662" s="350" t="s">
        <v>1501</v>
      </c>
      <c r="D662" s="351">
        <v>45199</v>
      </c>
      <c r="E662" s="352">
        <v>3110</v>
      </c>
      <c r="F662" s="352">
        <v>1</v>
      </c>
      <c r="G662" s="351"/>
      <c r="H662" s="350" t="s">
        <v>437</v>
      </c>
      <c r="I662" s="350" t="s">
        <v>393</v>
      </c>
      <c r="J662" s="354">
        <v>3194579.2</v>
      </c>
      <c r="K662" s="350" t="s">
        <v>394</v>
      </c>
      <c r="L662" s="354">
        <v>2.9999900000000001E-4</v>
      </c>
      <c r="M662" s="354">
        <v>1129.44</v>
      </c>
      <c r="N662" s="350" t="s">
        <v>395</v>
      </c>
      <c r="O662" s="354">
        <v>958.37</v>
      </c>
      <c r="P662" s="355" t="s">
        <v>396</v>
      </c>
      <c r="Q662" s="354" t="s">
        <v>404</v>
      </c>
      <c r="R662" s="355" t="s">
        <v>405</v>
      </c>
      <c r="S662" s="355">
        <v>117872</v>
      </c>
      <c r="T662" s="350" t="s">
        <v>406</v>
      </c>
      <c r="U662" s="351">
        <v>45203</v>
      </c>
      <c r="V662" s="351">
        <v>45203</v>
      </c>
      <c r="W662" s="350" t="s">
        <v>407</v>
      </c>
    </row>
    <row r="663" spans="1:23" x14ac:dyDescent="0.25">
      <c r="A663" s="348" t="s">
        <v>1526</v>
      </c>
      <c r="B663" s="349">
        <v>5480</v>
      </c>
      <c r="C663" s="350" t="s">
        <v>1501</v>
      </c>
      <c r="D663" s="351">
        <v>45199</v>
      </c>
      <c r="E663" s="352">
        <v>3110</v>
      </c>
      <c r="F663" s="352">
        <v>1</v>
      </c>
      <c r="G663" s="351"/>
      <c r="H663" s="350" t="s">
        <v>437</v>
      </c>
      <c r="I663" s="350" t="s">
        <v>393</v>
      </c>
      <c r="J663" s="354">
        <v>802216.5</v>
      </c>
      <c r="K663" s="350" t="s">
        <v>394</v>
      </c>
      <c r="L663" s="354">
        <v>2.9999399999999999E-4</v>
      </c>
      <c r="M663" s="354">
        <v>283.62</v>
      </c>
      <c r="N663" s="350" t="s">
        <v>395</v>
      </c>
      <c r="O663" s="354">
        <v>240.66</v>
      </c>
      <c r="P663" s="355" t="s">
        <v>396</v>
      </c>
      <c r="Q663" s="354" t="s">
        <v>404</v>
      </c>
      <c r="R663" s="355" t="s">
        <v>405</v>
      </c>
      <c r="S663" s="355">
        <v>103328</v>
      </c>
      <c r="T663" s="350" t="s">
        <v>406</v>
      </c>
      <c r="U663" s="351">
        <v>45203</v>
      </c>
      <c r="V663" s="351">
        <v>45203</v>
      </c>
      <c r="W663" s="350" t="s">
        <v>407</v>
      </c>
    </row>
    <row r="664" spans="1:23" x14ac:dyDescent="0.25">
      <c r="A664" s="348" t="s">
        <v>1526</v>
      </c>
      <c r="B664" s="349">
        <v>5480</v>
      </c>
      <c r="C664" s="350" t="s">
        <v>1501</v>
      </c>
      <c r="D664" s="351">
        <v>45199</v>
      </c>
      <c r="E664" s="352">
        <v>3110</v>
      </c>
      <c r="F664" s="352">
        <v>1</v>
      </c>
      <c r="G664" s="351"/>
      <c r="H664" s="350" t="s">
        <v>437</v>
      </c>
      <c r="I664" s="350" t="s">
        <v>393</v>
      </c>
      <c r="J664" s="354">
        <v>684495.7</v>
      </c>
      <c r="K664" s="350" t="s">
        <v>394</v>
      </c>
      <c r="L664" s="354">
        <v>3.0000200000000001E-4</v>
      </c>
      <c r="M664" s="354">
        <v>242</v>
      </c>
      <c r="N664" s="350" t="s">
        <v>395</v>
      </c>
      <c r="O664" s="354">
        <v>205.35</v>
      </c>
      <c r="P664" s="355" t="s">
        <v>396</v>
      </c>
      <c r="Q664" s="354" t="s">
        <v>404</v>
      </c>
      <c r="R664" s="355" t="s">
        <v>405</v>
      </c>
      <c r="S664" s="355">
        <v>117293</v>
      </c>
      <c r="T664" s="350" t="s">
        <v>406</v>
      </c>
      <c r="U664" s="351">
        <v>45203</v>
      </c>
      <c r="V664" s="351">
        <v>45203</v>
      </c>
      <c r="W664" s="350" t="s">
        <v>407</v>
      </c>
    </row>
    <row r="665" spans="1:23" x14ac:dyDescent="0.25">
      <c r="A665" s="348" t="s">
        <v>1526</v>
      </c>
      <c r="B665" s="349">
        <v>5480</v>
      </c>
      <c r="C665" s="350" t="s">
        <v>1501</v>
      </c>
      <c r="D665" s="351">
        <v>45199</v>
      </c>
      <c r="E665" s="352">
        <v>3120</v>
      </c>
      <c r="F665" s="352">
        <v>1</v>
      </c>
      <c r="G665" s="351"/>
      <c r="H665" s="350" t="s">
        <v>438</v>
      </c>
      <c r="I665" s="350" t="s">
        <v>393</v>
      </c>
      <c r="J665" s="354">
        <v>4410</v>
      </c>
      <c r="K665" s="350" t="s">
        <v>394</v>
      </c>
      <c r="L665" s="354">
        <v>2.9932E-4</v>
      </c>
      <c r="M665" s="354">
        <v>1.56</v>
      </c>
      <c r="N665" s="350" t="s">
        <v>395</v>
      </c>
      <c r="O665" s="354">
        <v>1.32</v>
      </c>
      <c r="P665" s="355" t="s">
        <v>396</v>
      </c>
      <c r="Q665" s="354" t="s">
        <v>404</v>
      </c>
      <c r="R665" s="355" t="s">
        <v>405</v>
      </c>
      <c r="S665" s="355">
        <v>103265</v>
      </c>
      <c r="T665" s="350" t="s">
        <v>406</v>
      </c>
      <c r="U665" s="351">
        <v>45203</v>
      </c>
      <c r="V665" s="351">
        <v>45203</v>
      </c>
      <c r="W665" s="350" t="s">
        <v>407</v>
      </c>
    </row>
    <row r="666" spans="1:23" x14ac:dyDescent="0.25">
      <c r="A666" s="348" t="s">
        <v>1526</v>
      </c>
      <c r="B666" s="349">
        <v>5480</v>
      </c>
      <c r="C666" s="350" t="s">
        <v>1501</v>
      </c>
      <c r="D666" s="351">
        <v>45199</v>
      </c>
      <c r="E666" s="352">
        <v>3120</v>
      </c>
      <c r="F666" s="352">
        <v>1</v>
      </c>
      <c r="G666" s="351"/>
      <c r="H666" s="350" t="s">
        <v>438</v>
      </c>
      <c r="I666" s="350" t="s">
        <v>393</v>
      </c>
      <c r="J666" s="354">
        <v>29400</v>
      </c>
      <c r="K666" s="350" t="s">
        <v>394</v>
      </c>
      <c r="L666" s="354">
        <v>2.9999999999999997E-4</v>
      </c>
      <c r="M666" s="354">
        <v>10.39</v>
      </c>
      <c r="N666" s="350" t="s">
        <v>395</v>
      </c>
      <c r="O666" s="354">
        <v>8.82</v>
      </c>
      <c r="P666" s="355" t="s">
        <v>396</v>
      </c>
      <c r="Q666" s="354" t="s">
        <v>404</v>
      </c>
      <c r="R666" s="355" t="s">
        <v>405</v>
      </c>
      <c r="S666" s="355">
        <v>117871</v>
      </c>
      <c r="T666" s="350" t="s">
        <v>406</v>
      </c>
      <c r="U666" s="351">
        <v>45203</v>
      </c>
      <c r="V666" s="351">
        <v>45203</v>
      </c>
      <c r="W666" s="350" t="s">
        <v>407</v>
      </c>
    </row>
    <row r="667" spans="1:23" x14ac:dyDescent="0.25">
      <c r="A667" s="348" t="s">
        <v>1526</v>
      </c>
      <c r="B667" s="349">
        <v>5480</v>
      </c>
      <c r="C667" s="350" t="s">
        <v>1501</v>
      </c>
      <c r="D667" s="351">
        <v>45199</v>
      </c>
      <c r="E667" s="352">
        <v>3120</v>
      </c>
      <c r="F667" s="352">
        <v>1</v>
      </c>
      <c r="G667" s="351"/>
      <c r="H667" s="350" t="s">
        <v>438</v>
      </c>
      <c r="I667" s="350" t="s">
        <v>393</v>
      </c>
      <c r="J667" s="354">
        <v>23520</v>
      </c>
      <c r="K667" s="350" t="s">
        <v>394</v>
      </c>
      <c r="L667" s="354">
        <v>3.0016999999999999E-4</v>
      </c>
      <c r="M667" s="354">
        <v>8.32</v>
      </c>
      <c r="N667" s="350" t="s">
        <v>395</v>
      </c>
      <c r="O667" s="354">
        <v>7.06</v>
      </c>
      <c r="P667" s="355" t="s">
        <v>396</v>
      </c>
      <c r="Q667" s="354" t="s">
        <v>404</v>
      </c>
      <c r="R667" s="355" t="s">
        <v>405</v>
      </c>
      <c r="S667" s="355">
        <v>103321</v>
      </c>
      <c r="T667" s="350" t="s">
        <v>406</v>
      </c>
      <c r="U667" s="351">
        <v>45203</v>
      </c>
      <c r="V667" s="351">
        <v>45203</v>
      </c>
      <c r="W667" s="350" t="s">
        <v>407</v>
      </c>
    </row>
    <row r="668" spans="1:23" x14ac:dyDescent="0.25">
      <c r="A668" s="348" t="s">
        <v>1526</v>
      </c>
      <c r="B668" s="349">
        <v>5480</v>
      </c>
      <c r="C668" s="350" t="s">
        <v>1501</v>
      </c>
      <c r="D668" s="351">
        <v>45199</v>
      </c>
      <c r="E668" s="352">
        <v>3120</v>
      </c>
      <c r="F668" s="352">
        <v>1</v>
      </c>
      <c r="G668" s="351"/>
      <c r="H668" s="350" t="s">
        <v>438</v>
      </c>
      <c r="I668" s="350" t="s">
        <v>393</v>
      </c>
      <c r="J668" s="354">
        <v>4410</v>
      </c>
      <c r="K668" s="350" t="s">
        <v>394</v>
      </c>
      <c r="L668" s="354">
        <v>2.9932E-4</v>
      </c>
      <c r="M668" s="354">
        <v>1.56</v>
      </c>
      <c r="N668" s="350" t="s">
        <v>395</v>
      </c>
      <c r="O668" s="354">
        <v>1.32</v>
      </c>
      <c r="P668" s="355" t="s">
        <v>396</v>
      </c>
      <c r="Q668" s="354" t="s">
        <v>404</v>
      </c>
      <c r="R668" s="355" t="s">
        <v>405</v>
      </c>
      <c r="S668" s="355">
        <v>117427</v>
      </c>
      <c r="T668" s="350" t="s">
        <v>406</v>
      </c>
      <c r="U668" s="351">
        <v>45203</v>
      </c>
      <c r="V668" s="351">
        <v>45203</v>
      </c>
      <c r="W668" s="350" t="s">
        <v>407</v>
      </c>
    </row>
    <row r="669" spans="1:23" x14ac:dyDescent="0.25">
      <c r="A669" s="348" t="s">
        <v>1526</v>
      </c>
      <c r="B669" s="349">
        <v>5480</v>
      </c>
      <c r="C669" s="350" t="s">
        <v>1501</v>
      </c>
      <c r="D669" s="351">
        <v>45199</v>
      </c>
      <c r="E669" s="352">
        <v>3120</v>
      </c>
      <c r="F669" s="352">
        <v>1</v>
      </c>
      <c r="G669" s="351"/>
      <c r="H669" s="350" t="s">
        <v>438</v>
      </c>
      <c r="I669" s="350" t="s">
        <v>393</v>
      </c>
      <c r="J669" s="354">
        <v>23520</v>
      </c>
      <c r="K669" s="350" t="s">
        <v>394</v>
      </c>
      <c r="L669" s="354">
        <v>3.0016999999999999E-4</v>
      </c>
      <c r="M669" s="354">
        <v>8.32</v>
      </c>
      <c r="N669" s="350" t="s">
        <v>395</v>
      </c>
      <c r="O669" s="354">
        <v>7.06</v>
      </c>
      <c r="P669" s="355" t="s">
        <v>396</v>
      </c>
      <c r="Q669" s="354" t="s">
        <v>404</v>
      </c>
      <c r="R669" s="355" t="s">
        <v>405</v>
      </c>
      <c r="S669" s="355">
        <v>117872</v>
      </c>
      <c r="T669" s="350" t="s">
        <v>406</v>
      </c>
      <c r="U669" s="351">
        <v>45203</v>
      </c>
      <c r="V669" s="351">
        <v>45203</v>
      </c>
      <c r="W669" s="350" t="s">
        <v>407</v>
      </c>
    </row>
    <row r="670" spans="1:23" x14ac:dyDescent="0.25">
      <c r="A670" s="348" t="s">
        <v>1526</v>
      </c>
      <c r="B670" s="349">
        <v>5480</v>
      </c>
      <c r="C670" s="350" t="s">
        <v>1501</v>
      </c>
      <c r="D670" s="351">
        <v>45199</v>
      </c>
      <c r="E670" s="352">
        <v>3120</v>
      </c>
      <c r="F670" s="352">
        <v>1</v>
      </c>
      <c r="G670" s="351"/>
      <c r="H670" s="350" t="s">
        <v>438</v>
      </c>
      <c r="I670" s="350" t="s">
        <v>393</v>
      </c>
      <c r="J670" s="354">
        <v>14700</v>
      </c>
      <c r="K670" s="350" t="s">
        <v>394</v>
      </c>
      <c r="L670" s="354">
        <v>2.9999999999999997E-4</v>
      </c>
      <c r="M670" s="354">
        <v>5.2</v>
      </c>
      <c r="N670" s="350" t="s">
        <v>395</v>
      </c>
      <c r="O670" s="354">
        <v>4.41</v>
      </c>
      <c r="P670" s="355" t="s">
        <v>396</v>
      </c>
      <c r="Q670" s="354" t="s">
        <v>404</v>
      </c>
      <c r="R670" s="355" t="s">
        <v>405</v>
      </c>
      <c r="S670" s="355">
        <v>103328</v>
      </c>
      <c r="T670" s="350" t="s">
        <v>406</v>
      </c>
      <c r="U670" s="351">
        <v>45203</v>
      </c>
      <c r="V670" s="351">
        <v>45203</v>
      </c>
      <c r="W670" s="350" t="s">
        <v>407</v>
      </c>
    </row>
    <row r="671" spans="1:23" x14ac:dyDescent="0.25">
      <c r="A671" s="348" t="s">
        <v>1526</v>
      </c>
      <c r="B671" s="349">
        <v>5480</v>
      </c>
      <c r="C671" s="350" t="s">
        <v>1501</v>
      </c>
      <c r="D671" s="351">
        <v>45199</v>
      </c>
      <c r="E671" s="352">
        <v>3120</v>
      </c>
      <c r="F671" s="352">
        <v>1</v>
      </c>
      <c r="G671" s="351"/>
      <c r="H671" s="350" t="s">
        <v>438</v>
      </c>
      <c r="I671" s="350" t="s">
        <v>393</v>
      </c>
      <c r="J671" s="354">
        <v>2940</v>
      </c>
      <c r="K671" s="350" t="s">
        <v>394</v>
      </c>
      <c r="L671" s="354">
        <v>2.9932E-4</v>
      </c>
      <c r="M671" s="354">
        <v>1.04</v>
      </c>
      <c r="N671" s="350" t="s">
        <v>395</v>
      </c>
      <c r="O671" s="354">
        <v>0.88</v>
      </c>
      <c r="P671" s="355" t="s">
        <v>396</v>
      </c>
      <c r="Q671" s="354" t="s">
        <v>404</v>
      </c>
      <c r="R671" s="355" t="s">
        <v>405</v>
      </c>
      <c r="S671" s="355">
        <v>117293</v>
      </c>
      <c r="T671" s="350" t="s">
        <v>406</v>
      </c>
      <c r="U671" s="351">
        <v>45203</v>
      </c>
      <c r="V671" s="351">
        <v>45203</v>
      </c>
      <c r="W671" s="350" t="s">
        <v>407</v>
      </c>
    </row>
    <row r="672" spans="1:23" x14ac:dyDescent="0.25">
      <c r="A672" s="348" t="s">
        <v>1526</v>
      </c>
      <c r="B672" s="349">
        <v>5480</v>
      </c>
      <c r="C672" s="350" t="s">
        <v>1501</v>
      </c>
      <c r="D672" s="351">
        <v>45199</v>
      </c>
      <c r="E672" s="352">
        <v>3130</v>
      </c>
      <c r="F672" s="352">
        <v>1</v>
      </c>
      <c r="G672" s="351"/>
      <c r="H672" s="350" t="s">
        <v>439</v>
      </c>
      <c r="I672" s="350" t="s">
        <v>393</v>
      </c>
      <c r="J672" s="354">
        <v>212359.8</v>
      </c>
      <c r="K672" s="350" t="s">
        <v>394</v>
      </c>
      <c r="L672" s="354">
        <v>3.0001000000000002E-4</v>
      </c>
      <c r="M672" s="354">
        <v>75.08</v>
      </c>
      <c r="N672" s="350" t="s">
        <v>395</v>
      </c>
      <c r="O672" s="354">
        <v>63.71</v>
      </c>
      <c r="P672" s="355" t="s">
        <v>396</v>
      </c>
      <c r="Q672" s="354" t="s">
        <v>404</v>
      </c>
      <c r="R672" s="355" t="s">
        <v>405</v>
      </c>
      <c r="S672" s="355">
        <v>102955</v>
      </c>
      <c r="T672" s="350" t="s">
        <v>406</v>
      </c>
      <c r="U672" s="351">
        <v>45203</v>
      </c>
      <c r="V672" s="351">
        <v>45203</v>
      </c>
      <c r="W672" s="350" t="s">
        <v>407</v>
      </c>
    </row>
    <row r="673" spans="1:23" x14ac:dyDescent="0.25">
      <c r="A673" s="348" t="s">
        <v>1526</v>
      </c>
      <c r="B673" s="349">
        <v>5480</v>
      </c>
      <c r="C673" s="350" t="s">
        <v>1501</v>
      </c>
      <c r="D673" s="351">
        <v>45199</v>
      </c>
      <c r="E673" s="352">
        <v>3130</v>
      </c>
      <c r="F673" s="352">
        <v>1</v>
      </c>
      <c r="G673" s="351"/>
      <c r="H673" s="350" t="s">
        <v>439</v>
      </c>
      <c r="I673" s="350" t="s">
        <v>393</v>
      </c>
      <c r="J673" s="354">
        <v>55502.85</v>
      </c>
      <c r="K673" s="350" t="s">
        <v>394</v>
      </c>
      <c r="L673" s="354">
        <v>2.9998500000000001E-4</v>
      </c>
      <c r="M673" s="354">
        <v>19.62</v>
      </c>
      <c r="N673" s="350" t="s">
        <v>395</v>
      </c>
      <c r="O673" s="354">
        <v>16.649999999999999</v>
      </c>
      <c r="P673" s="355" t="s">
        <v>396</v>
      </c>
      <c r="Q673" s="354" t="s">
        <v>404</v>
      </c>
      <c r="R673" s="355" t="s">
        <v>405</v>
      </c>
      <c r="S673" s="355">
        <v>103265</v>
      </c>
      <c r="T673" s="350" t="s">
        <v>406</v>
      </c>
      <c r="U673" s="351">
        <v>45203</v>
      </c>
      <c r="V673" s="351">
        <v>45203</v>
      </c>
      <c r="W673" s="350" t="s">
        <v>407</v>
      </c>
    </row>
    <row r="674" spans="1:23" x14ac:dyDescent="0.25">
      <c r="A674" s="348" t="s">
        <v>1526</v>
      </c>
      <c r="B674" s="349">
        <v>5480</v>
      </c>
      <c r="C674" s="350" t="s">
        <v>1501</v>
      </c>
      <c r="D674" s="351">
        <v>45199</v>
      </c>
      <c r="E674" s="352">
        <v>3130</v>
      </c>
      <c r="F674" s="352">
        <v>1</v>
      </c>
      <c r="G674" s="351"/>
      <c r="H674" s="350" t="s">
        <v>439</v>
      </c>
      <c r="I674" s="350" t="s">
        <v>393</v>
      </c>
      <c r="J674" s="354">
        <v>532244</v>
      </c>
      <c r="K674" s="350" t="s">
        <v>394</v>
      </c>
      <c r="L674" s="354">
        <v>2.9999399999999999E-4</v>
      </c>
      <c r="M674" s="354">
        <v>188.17</v>
      </c>
      <c r="N674" s="350" t="s">
        <v>395</v>
      </c>
      <c r="O674" s="354">
        <v>159.66999999999999</v>
      </c>
      <c r="P674" s="355" t="s">
        <v>396</v>
      </c>
      <c r="Q674" s="354" t="s">
        <v>404</v>
      </c>
      <c r="R674" s="355" t="s">
        <v>405</v>
      </c>
      <c r="S674" s="355">
        <v>117871</v>
      </c>
      <c r="T674" s="350" t="s">
        <v>406</v>
      </c>
      <c r="U674" s="351">
        <v>45203</v>
      </c>
      <c r="V674" s="351">
        <v>45203</v>
      </c>
      <c r="W674" s="350" t="s">
        <v>407</v>
      </c>
    </row>
    <row r="675" spans="1:23" x14ac:dyDescent="0.25">
      <c r="A675" s="348" t="s">
        <v>1526</v>
      </c>
      <c r="B675" s="349">
        <v>5480</v>
      </c>
      <c r="C675" s="350" t="s">
        <v>1501</v>
      </c>
      <c r="D675" s="351">
        <v>45199</v>
      </c>
      <c r="E675" s="352">
        <v>3130</v>
      </c>
      <c r="F675" s="352">
        <v>1</v>
      </c>
      <c r="G675" s="351"/>
      <c r="H675" s="350" t="s">
        <v>439</v>
      </c>
      <c r="I675" s="350" t="s">
        <v>393</v>
      </c>
      <c r="J675" s="354">
        <v>286764.79999999999</v>
      </c>
      <c r="K675" s="350" t="s">
        <v>394</v>
      </c>
      <c r="L675" s="354">
        <v>3.0000200000000001E-4</v>
      </c>
      <c r="M675" s="354">
        <v>101.39</v>
      </c>
      <c r="N675" s="350" t="s">
        <v>395</v>
      </c>
      <c r="O675" s="354">
        <v>86.03</v>
      </c>
      <c r="P675" s="355" t="s">
        <v>396</v>
      </c>
      <c r="Q675" s="354" t="s">
        <v>404</v>
      </c>
      <c r="R675" s="355" t="s">
        <v>405</v>
      </c>
      <c r="S675" s="355">
        <v>103321</v>
      </c>
      <c r="T675" s="350" t="s">
        <v>406</v>
      </c>
      <c r="U675" s="351">
        <v>45203</v>
      </c>
      <c r="V675" s="351">
        <v>45203</v>
      </c>
      <c r="W675" s="350" t="s">
        <v>407</v>
      </c>
    </row>
    <row r="676" spans="1:23" x14ac:dyDescent="0.25">
      <c r="A676" s="348" t="s">
        <v>1526</v>
      </c>
      <c r="B676" s="349">
        <v>5480</v>
      </c>
      <c r="C676" s="350" t="s">
        <v>1501</v>
      </c>
      <c r="D676" s="351">
        <v>45199</v>
      </c>
      <c r="E676" s="352">
        <v>3130</v>
      </c>
      <c r="F676" s="352">
        <v>1</v>
      </c>
      <c r="G676" s="351"/>
      <c r="H676" s="350" t="s">
        <v>439</v>
      </c>
      <c r="I676" s="350" t="s">
        <v>393</v>
      </c>
      <c r="J676" s="354">
        <v>55848.3</v>
      </c>
      <c r="K676" s="350" t="s">
        <v>394</v>
      </c>
      <c r="L676" s="354">
        <v>2.9992000000000002E-4</v>
      </c>
      <c r="M676" s="354">
        <v>19.75</v>
      </c>
      <c r="N676" s="350" t="s">
        <v>395</v>
      </c>
      <c r="O676" s="354">
        <v>16.75</v>
      </c>
      <c r="P676" s="355" t="s">
        <v>396</v>
      </c>
      <c r="Q676" s="354" t="s">
        <v>404</v>
      </c>
      <c r="R676" s="355" t="s">
        <v>405</v>
      </c>
      <c r="S676" s="355">
        <v>117427</v>
      </c>
      <c r="T676" s="350" t="s">
        <v>406</v>
      </c>
      <c r="U676" s="351">
        <v>45203</v>
      </c>
      <c r="V676" s="351">
        <v>45203</v>
      </c>
      <c r="W676" s="350" t="s">
        <v>407</v>
      </c>
    </row>
    <row r="677" spans="1:23" x14ac:dyDescent="0.25">
      <c r="A677" s="348" t="s">
        <v>1526</v>
      </c>
      <c r="B677" s="349">
        <v>5480</v>
      </c>
      <c r="C677" s="350" t="s">
        <v>1501</v>
      </c>
      <c r="D677" s="351">
        <v>45199</v>
      </c>
      <c r="E677" s="352">
        <v>3130</v>
      </c>
      <c r="F677" s="352">
        <v>1</v>
      </c>
      <c r="G677" s="351"/>
      <c r="H677" s="350" t="s">
        <v>439</v>
      </c>
      <c r="I677" s="350" t="s">
        <v>393</v>
      </c>
      <c r="J677" s="354">
        <v>297857.59999999998</v>
      </c>
      <c r="K677" s="350" t="s">
        <v>394</v>
      </c>
      <c r="L677" s="354">
        <v>3.0000900000000001E-4</v>
      </c>
      <c r="M677" s="354">
        <v>105.31</v>
      </c>
      <c r="N677" s="350" t="s">
        <v>395</v>
      </c>
      <c r="O677" s="354">
        <v>89.36</v>
      </c>
      <c r="P677" s="355" t="s">
        <v>396</v>
      </c>
      <c r="Q677" s="354" t="s">
        <v>404</v>
      </c>
      <c r="R677" s="355" t="s">
        <v>405</v>
      </c>
      <c r="S677" s="355">
        <v>117872</v>
      </c>
      <c r="T677" s="350" t="s">
        <v>406</v>
      </c>
      <c r="U677" s="351">
        <v>45203</v>
      </c>
      <c r="V677" s="351">
        <v>45203</v>
      </c>
      <c r="W677" s="350" t="s">
        <v>407</v>
      </c>
    </row>
    <row r="678" spans="1:23" x14ac:dyDescent="0.25">
      <c r="A678" s="348" t="s">
        <v>1526</v>
      </c>
      <c r="B678" s="349">
        <v>5480</v>
      </c>
      <c r="C678" s="350" t="s">
        <v>1501</v>
      </c>
      <c r="D678" s="351">
        <v>45199</v>
      </c>
      <c r="E678" s="352">
        <v>3130</v>
      </c>
      <c r="F678" s="352">
        <v>1</v>
      </c>
      <c r="G678" s="351"/>
      <c r="H678" s="350" t="s">
        <v>439</v>
      </c>
      <c r="I678" s="350" t="s">
        <v>393</v>
      </c>
      <c r="J678" s="354">
        <v>66721.5</v>
      </c>
      <c r="K678" s="350" t="s">
        <v>394</v>
      </c>
      <c r="L678" s="354">
        <v>3.00053E-4</v>
      </c>
      <c r="M678" s="354">
        <v>23.59</v>
      </c>
      <c r="N678" s="350" t="s">
        <v>395</v>
      </c>
      <c r="O678" s="354">
        <v>20.02</v>
      </c>
      <c r="P678" s="355" t="s">
        <v>396</v>
      </c>
      <c r="Q678" s="354" t="s">
        <v>404</v>
      </c>
      <c r="R678" s="355" t="s">
        <v>405</v>
      </c>
      <c r="S678" s="355">
        <v>103328</v>
      </c>
      <c r="T678" s="350" t="s">
        <v>406</v>
      </c>
      <c r="U678" s="351">
        <v>45203</v>
      </c>
      <c r="V678" s="351">
        <v>45203</v>
      </c>
      <c r="W678" s="350" t="s">
        <v>407</v>
      </c>
    </row>
    <row r="679" spans="1:23" x14ac:dyDescent="0.25">
      <c r="A679" s="348" t="s">
        <v>1526</v>
      </c>
      <c r="B679" s="349">
        <v>5480</v>
      </c>
      <c r="C679" s="350" t="s">
        <v>1501</v>
      </c>
      <c r="D679" s="351">
        <v>45199</v>
      </c>
      <c r="E679" s="352">
        <v>3130</v>
      </c>
      <c r="F679" s="352">
        <v>1</v>
      </c>
      <c r="G679" s="351"/>
      <c r="H679" s="350" t="s">
        <v>439</v>
      </c>
      <c r="I679" s="350" t="s">
        <v>393</v>
      </c>
      <c r="J679" s="354">
        <v>65749.600000000006</v>
      </c>
      <c r="K679" s="350" t="s">
        <v>394</v>
      </c>
      <c r="L679" s="354">
        <v>2.99926E-4</v>
      </c>
      <c r="M679" s="354">
        <v>23.25</v>
      </c>
      <c r="N679" s="350" t="s">
        <v>395</v>
      </c>
      <c r="O679" s="354">
        <v>19.72</v>
      </c>
      <c r="P679" s="355" t="s">
        <v>396</v>
      </c>
      <c r="Q679" s="354" t="s">
        <v>404</v>
      </c>
      <c r="R679" s="355" t="s">
        <v>405</v>
      </c>
      <c r="S679" s="355">
        <v>117293</v>
      </c>
      <c r="T679" s="350" t="s">
        <v>406</v>
      </c>
      <c r="U679" s="351">
        <v>45203</v>
      </c>
      <c r="V679" s="351">
        <v>45203</v>
      </c>
      <c r="W679" s="350" t="s">
        <v>407</v>
      </c>
    </row>
    <row r="680" spans="1:23" x14ac:dyDescent="0.25">
      <c r="A680" s="348" t="s">
        <v>1527</v>
      </c>
      <c r="B680" s="349">
        <v>5538</v>
      </c>
      <c r="C680" s="350" t="s">
        <v>1501</v>
      </c>
      <c r="D680" s="351">
        <v>45199</v>
      </c>
      <c r="E680" s="352">
        <v>3600</v>
      </c>
      <c r="F680" s="352">
        <v>7</v>
      </c>
      <c r="G680" s="351"/>
      <c r="H680" s="350" t="s">
        <v>1528</v>
      </c>
      <c r="I680" s="350" t="s">
        <v>393</v>
      </c>
      <c r="J680" s="354">
        <v>30000</v>
      </c>
      <c r="K680" s="350" t="s">
        <v>394</v>
      </c>
      <c r="L680" s="354">
        <v>2.7904399999999999E-4</v>
      </c>
      <c r="M680" s="354">
        <v>10.61</v>
      </c>
      <c r="N680" s="350" t="s">
        <v>395</v>
      </c>
      <c r="O680" s="354">
        <v>8.3699999999999992</v>
      </c>
      <c r="P680" s="355" t="s">
        <v>396</v>
      </c>
      <c r="Q680" s="354" t="s">
        <v>404</v>
      </c>
      <c r="R680" s="355" t="s">
        <v>405</v>
      </c>
      <c r="S680" s="355">
        <v>0</v>
      </c>
      <c r="T680" s="350" t="s">
        <v>410</v>
      </c>
      <c r="U680" s="351">
        <v>45202</v>
      </c>
      <c r="V680" s="351">
        <v>45203</v>
      </c>
      <c r="W680" s="350" t="s">
        <v>407</v>
      </c>
    </row>
    <row r="681" spans="1:23" ht="30" x14ac:dyDescent="0.25">
      <c r="A681" s="348" t="s">
        <v>1548</v>
      </c>
      <c r="B681" s="349">
        <v>159</v>
      </c>
      <c r="C681" s="423">
        <v>45200</v>
      </c>
      <c r="D681" s="351">
        <v>45229</v>
      </c>
      <c r="E681" s="352"/>
      <c r="F681" s="352">
        <v>6</v>
      </c>
      <c r="G681" s="352" t="s">
        <v>312</v>
      </c>
      <c r="H681" s="424" t="s">
        <v>1555</v>
      </c>
      <c r="I681" s="350" t="s">
        <v>393</v>
      </c>
      <c r="J681" s="560">
        <v>382766.2</v>
      </c>
      <c r="K681" s="350" t="s">
        <v>394</v>
      </c>
      <c r="L681" s="354">
        <v>2802.3999950000002</v>
      </c>
      <c r="M681" s="354">
        <f>J681/L681</f>
        <v>136.58514155114392</v>
      </c>
      <c r="N681" s="350" t="s">
        <v>395</v>
      </c>
      <c r="O681" s="354">
        <v>0</v>
      </c>
      <c r="P681" s="355" t="s">
        <v>396</v>
      </c>
      <c r="Q681" s="354" t="s">
        <v>397</v>
      </c>
      <c r="R681" s="377">
        <v>0</v>
      </c>
      <c r="S681" s="377">
        <v>0</v>
      </c>
      <c r="T681" s="377">
        <v>0</v>
      </c>
      <c r="U681" s="377">
        <v>0</v>
      </c>
      <c r="V681" s="377">
        <v>0</v>
      </c>
      <c r="W681" s="377">
        <v>0</v>
      </c>
    </row>
    <row r="682" spans="1:23" ht="30" x14ac:dyDescent="0.25">
      <c r="A682" s="348" t="s">
        <v>1548</v>
      </c>
      <c r="B682" s="349">
        <v>159</v>
      </c>
      <c r="C682" s="423">
        <v>45200</v>
      </c>
      <c r="D682" s="351">
        <v>45229</v>
      </c>
      <c r="E682" s="352"/>
      <c r="F682" s="352">
        <v>6</v>
      </c>
      <c r="G682" s="352" t="s">
        <v>313</v>
      </c>
      <c r="H682" s="424" t="s">
        <v>1332</v>
      </c>
      <c r="I682" s="350" t="s">
        <v>393</v>
      </c>
      <c r="J682" s="560">
        <v>113992.3</v>
      </c>
      <c r="K682" s="350" t="s">
        <v>394</v>
      </c>
      <c r="L682" s="354">
        <v>2802.3999950000002</v>
      </c>
      <c r="M682" s="354">
        <f t="shared" ref="M682:M698" si="30">J682/L682</f>
        <v>40.676670069720004</v>
      </c>
      <c r="N682" s="350" t="s">
        <v>395</v>
      </c>
      <c r="O682" s="354">
        <v>0</v>
      </c>
      <c r="P682" s="355" t="s">
        <v>396</v>
      </c>
      <c r="Q682" s="354" t="s">
        <v>397</v>
      </c>
      <c r="R682" s="377">
        <v>0</v>
      </c>
      <c r="S682" s="377">
        <v>0</v>
      </c>
      <c r="T682" s="377">
        <v>0</v>
      </c>
      <c r="U682" s="377">
        <v>0</v>
      </c>
      <c r="V682" s="377">
        <v>0</v>
      </c>
      <c r="W682" s="377">
        <v>0</v>
      </c>
    </row>
    <row r="683" spans="1:23" ht="30" x14ac:dyDescent="0.25">
      <c r="A683" s="348" t="s">
        <v>1548</v>
      </c>
      <c r="B683" s="349">
        <v>159</v>
      </c>
      <c r="C683" s="423">
        <v>45200</v>
      </c>
      <c r="D683" s="351">
        <v>45229</v>
      </c>
      <c r="E683" s="352"/>
      <c r="F683" s="352">
        <v>6</v>
      </c>
      <c r="G683" s="352" t="s">
        <v>314</v>
      </c>
      <c r="H683" s="424" t="s">
        <v>1333</v>
      </c>
      <c r="I683" s="350" t="s">
        <v>393</v>
      </c>
      <c r="J683" s="560">
        <v>183146.6</v>
      </c>
      <c r="K683" s="350" t="s">
        <v>394</v>
      </c>
      <c r="L683" s="354">
        <v>2802.3999950000002</v>
      </c>
      <c r="M683" s="354">
        <f t="shared" si="30"/>
        <v>65.353482845692056</v>
      </c>
      <c r="N683" s="350" t="s">
        <v>395</v>
      </c>
      <c r="O683" s="354">
        <v>0</v>
      </c>
      <c r="P683" s="355" t="s">
        <v>396</v>
      </c>
      <c r="Q683" s="354" t="s">
        <v>397</v>
      </c>
      <c r="R683" s="377">
        <v>0</v>
      </c>
      <c r="S683" s="377">
        <v>0</v>
      </c>
      <c r="T683" s="377">
        <v>0</v>
      </c>
      <c r="U683" s="377">
        <v>0</v>
      </c>
      <c r="V683" s="377">
        <v>0</v>
      </c>
      <c r="W683" s="377">
        <v>0</v>
      </c>
    </row>
    <row r="684" spans="1:23" ht="30" x14ac:dyDescent="0.25">
      <c r="A684" s="348" t="s">
        <v>1548</v>
      </c>
      <c r="B684" s="349">
        <v>159</v>
      </c>
      <c r="C684" s="423">
        <v>45200</v>
      </c>
      <c r="D684" s="351">
        <v>45229</v>
      </c>
      <c r="E684" s="352"/>
      <c r="F684" s="352">
        <v>6</v>
      </c>
      <c r="G684" s="352" t="s">
        <v>315</v>
      </c>
      <c r="H684" s="424" t="s">
        <v>1334</v>
      </c>
      <c r="I684" s="350" t="s">
        <v>393</v>
      </c>
      <c r="J684" s="560">
        <v>133403.6</v>
      </c>
      <c r="K684" s="350" t="s">
        <v>394</v>
      </c>
      <c r="L684" s="354">
        <v>2802.3999950000002</v>
      </c>
      <c r="M684" s="354">
        <f t="shared" si="30"/>
        <v>47.60334007922377</v>
      </c>
      <c r="N684" s="350" t="s">
        <v>395</v>
      </c>
      <c r="O684" s="354">
        <v>0</v>
      </c>
      <c r="P684" s="355" t="s">
        <v>396</v>
      </c>
      <c r="Q684" s="354" t="s">
        <v>397</v>
      </c>
      <c r="R684" s="377">
        <v>0</v>
      </c>
      <c r="S684" s="377">
        <v>0</v>
      </c>
      <c r="T684" s="377">
        <v>0</v>
      </c>
      <c r="U684" s="377">
        <v>0</v>
      </c>
      <c r="V684" s="377">
        <v>0</v>
      </c>
      <c r="W684" s="377">
        <v>0</v>
      </c>
    </row>
    <row r="685" spans="1:23" x14ac:dyDescent="0.25">
      <c r="A685" s="348" t="s">
        <v>1548</v>
      </c>
      <c r="B685" s="349">
        <v>159</v>
      </c>
      <c r="C685" s="423">
        <v>45200</v>
      </c>
      <c r="D685" s="351">
        <v>45229</v>
      </c>
      <c r="E685" s="352"/>
      <c r="F685" s="352">
        <v>6</v>
      </c>
      <c r="G685" s="352" t="s">
        <v>316</v>
      </c>
      <c r="H685" s="424" t="s">
        <v>1335</v>
      </c>
      <c r="I685" s="350" t="s">
        <v>393</v>
      </c>
      <c r="J685" s="560">
        <v>345468.5</v>
      </c>
      <c r="K685" s="350" t="s">
        <v>394</v>
      </c>
      <c r="L685" s="354">
        <v>2802.3999950000002</v>
      </c>
      <c r="M685" s="354">
        <f t="shared" si="30"/>
        <v>123.27594226961878</v>
      </c>
      <c r="N685" s="350" t="s">
        <v>395</v>
      </c>
      <c r="O685" s="354">
        <v>0</v>
      </c>
      <c r="P685" s="355" t="s">
        <v>396</v>
      </c>
      <c r="Q685" s="354" t="s">
        <v>397</v>
      </c>
      <c r="R685" s="377">
        <v>0</v>
      </c>
      <c r="S685" s="377">
        <v>0</v>
      </c>
      <c r="T685" s="377">
        <v>0</v>
      </c>
      <c r="U685" s="377">
        <v>0</v>
      </c>
      <c r="V685" s="377">
        <v>0</v>
      </c>
      <c r="W685" s="377">
        <v>0</v>
      </c>
    </row>
    <row r="686" spans="1:23" x14ac:dyDescent="0.25">
      <c r="A686" s="348" t="s">
        <v>1548</v>
      </c>
      <c r="B686" s="349">
        <v>159</v>
      </c>
      <c r="C686" s="423">
        <v>45200</v>
      </c>
      <c r="D686" s="351">
        <v>45229</v>
      </c>
      <c r="E686" s="352"/>
      <c r="F686" s="352">
        <v>6</v>
      </c>
      <c r="G686" s="352" t="s">
        <v>317</v>
      </c>
      <c r="H686" s="424" t="s">
        <v>1336</v>
      </c>
      <c r="I686" s="350" t="s">
        <v>393</v>
      </c>
      <c r="J686" s="560">
        <f>1251994+169809+29400+18000+40000</f>
        <v>1509203</v>
      </c>
      <c r="K686" s="350" t="s">
        <v>394</v>
      </c>
      <c r="L686" s="354">
        <v>2802.3999950000002</v>
      </c>
      <c r="M686" s="354">
        <f t="shared" si="30"/>
        <v>538.5394671327067</v>
      </c>
      <c r="N686" s="350" t="s">
        <v>395</v>
      </c>
      <c r="O686" s="354">
        <v>0</v>
      </c>
      <c r="P686" s="355" t="s">
        <v>396</v>
      </c>
      <c r="Q686" s="354" t="s">
        <v>397</v>
      </c>
      <c r="R686" s="377">
        <v>0</v>
      </c>
      <c r="S686" s="377">
        <v>0</v>
      </c>
      <c r="T686" s="377">
        <v>0</v>
      </c>
      <c r="U686" s="377">
        <v>0</v>
      </c>
      <c r="V686" s="377">
        <v>0</v>
      </c>
      <c r="W686" s="377">
        <v>0</v>
      </c>
    </row>
    <row r="687" spans="1:23" x14ac:dyDescent="0.25">
      <c r="A687" s="348" t="s">
        <v>1549</v>
      </c>
      <c r="B687" s="349">
        <v>160</v>
      </c>
      <c r="C687" s="423">
        <v>45200</v>
      </c>
      <c r="D687" s="351">
        <v>45217</v>
      </c>
      <c r="E687" s="352"/>
      <c r="F687" s="352">
        <v>6</v>
      </c>
      <c r="G687" s="352" t="s">
        <v>335</v>
      </c>
      <c r="H687" s="424" t="s">
        <v>1556</v>
      </c>
      <c r="I687" s="350" t="s">
        <v>393</v>
      </c>
      <c r="J687" s="375">
        <v>200000</v>
      </c>
      <c r="K687" s="350" t="s">
        <v>394</v>
      </c>
      <c r="L687" s="354">
        <v>2802.3999950000002</v>
      </c>
      <c r="M687" s="354">
        <f t="shared" si="30"/>
        <v>71.367399499299523</v>
      </c>
      <c r="N687" s="350" t="s">
        <v>395</v>
      </c>
      <c r="O687" s="354">
        <v>0</v>
      </c>
      <c r="P687" s="355" t="s">
        <v>396</v>
      </c>
      <c r="Q687" s="354" t="s">
        <v>397</v>
      </c>
      <c r="R687" s="377">
        <v>0</v>
      </c>
      <c r="S687" s="377">
        <v>0</v>
      </c>
      <c r="T687" s="377">
        <v>0</v>
      </c>
      <c r="U687" s="377">
        <v>0</v>
      </c>
      <c r="V687" s="377">
        <v>0</v>
      </c>
      <c r="W687" s="377">
        <v>0</v>
      </c>
    </row>
    <row r="688" spans="1:23" x14ac:dyDescent="0.25">
      <c r="A688" s="348" t="s">
        <v>1549</v>
      </c>
      <c r="B688" s="349">
        <v>160</v>
      </c>
      <c r="C688" s="423">
        <v>45200</v>
      </c>
      <c r="D688" s="351">
        <v>45217</v>
      </c>
      <c r="E688" s="352"/>
      <c r="F688" s="352">
        <v>6</v>
      </c>
      <c r="G688" s="352" t="s">
        <v>337</v>
      </c>
      <c r="H688" s="424" t="s">
        <v>1557</v>
      </c>
      <c r="I688" s="350" t="s">
        <v>393</v>
      </c>
      <c r="J688" s="375">
        <v>30000</v>
      </c>
      <c r="K688" s="350" t="s">
        <v>394</v>
      </c>
      <c r="L688" s="354">
        <v>2802.3999950000002</v>
      </c>
      <c r="M688" s="354">
        <f t="shared" si="30"/>
        <v>10.705109924894929</v>
      </c>
      <c r="N688" s="350" t="s">
        <v>395</v>
      </c>
      <c r="O688" s="354">
        <v>0</v>
      </c>
      <c r="P688" s="355" t="s">
        <v>396</v>
      </c>
      <c r="Q688" s="354" t="s">
        <v>397</v>
      </c>
      <c r="R688" s="377">
        <v>0</v>
      </c>
      <c r="S688" s="377">
        <v>0</v>
      </c>
      <c r="T688" s="377">
        <v>0</v>
      </c>
      <c r="U688" s="377">
        <v>0</v>
      </c>
      <c r="V688" s="377">
        <v>0</v>
      </c>
      <c r="W688" s="377">
        <v>0</v>
      </c>
    </row>
    <row r="689" spans="1:23" x14ac:dyDescent="0.25">
      <c r="A689" s="348" t="s">
        <v>1549</v>
      </c>
      <c r="B689" s="349">
        <v>160</v>
      </c>
      <c r="C689" s="423">
        <v>45200</v>
      </c>
      <c r="D689" s="351">
        <v>45217</v>
      </c>
      <c r="E689" s="352"/>
      <c r="F689" s="352">
        <v>6</v>
      </c>
      <c r="G689" s="352" t="s">
        <v>338</v>
      </c>
      <c r="H689" s="424" t="s">
        <v>1558</v>
      </c>
      <c r="I689" s="350" t="s">
        <v>393</v>
      </c>
      <c r="J689" s="375">
        <v>90000</v>
      </c>
      <c r="K689" s="350" t="s">
        <v>394</v>
      </c>
      <c r="L689" s="354">
        <v>2802.3999950000002</v>
      </c>
      <c r="M689" s="354">
        <f t="shared" si="30"/>
        <v>32.115329774684788</v>
      </c>
      <c r="N689" s="350" t="s">
        <v>395</v>
      </c>
      <c r="O689" s="354">
        <v>0</v>
      </c>
      <c r="P689" s="355" t="s">
        <v>396</v>
      </c>
      <c r="Q689" s="354" t="s">
        <v>397</v>
      </c>
      <c r="R689" s="377">
        <v>0</v>
      </c>
      <c r="S689" s="377">
        <v>0</v>
      </c>
      <c r="T689" s="377">
        <v>0</v>
      </c>
      <c r="U689" s="377">
        <v>0</v>
      </c>
      <c r="V689" s="377">
        <v>0</v>
      </c>
      <c r="W689" s="377">
        <v>0</v>
      </c>
    </row>
    <row r="690" spans="1:23" x14ac:dyDescent="0.25">
      <c r="A690" s="348" t="s">
        <v>1549</v>
      </c>
      <c r="B690" s="349">
        <v>160</v>
      </c>
      <c r="C690" s="423">
        <v>45200</v>
      </c>
      <c r="D690" s="351">
        <v>45217</v>
      </c>
      <c r="E690" s="352"/>
      <c r="F690" s="352">
        <v>6</v>
      </c>
      <c r="G690" s="352" t="s">
        <v>339</v>
      </c>
      <c r="H690" s="424" t="s">
        <v>1559</v>
      </c>
      <c r="I690" s="350" t="s">
        <v>393</v>
      </c>
      <c r="J690" s="375">
        <v>60000</v>
      </c>
      <c r="K690" s="350" t="s">
        <v>394</v>
      </c>
      <c r="L690" s="354">
        <v>2802.3999950000002</v>
      </c>
      <c r="M690" s="354">
        <f t="shared" si="30"/>
        <v>21.410219849789858</v>
      </c>
      <c r="N690" s="350" t="s">
        <v>395</v>
      </c>
      <c r="O690" s="354">
        <v>0</v>
      </c>
      <c r="P690" s="355" t="s">
        <v>396</v>
      </c>
      <c r="Q690" s="354" t="s">
        <v>397</v>
      </c>
      <c r="R690" s="377">
        <v>0</v>
      </c>
      <c r="S690" s="377">
        <v>0</v>
      </c>
      <c r="T690" s="377">
        <v>0</v>
      </c>
      <c r="U690" s="377">
        <v>0</v>
      </c>
      <c r="V690" s="377">
        <v>0</v>
      </c>
      <c r="W690" s="377">
        <v>0</v>
      </c>
    </row>
    <row r="691" spans="1:23" x14ac:dyDescent="0.25">
      <c r="A691" s="348" t="s">
        <v>1549</v>
      </c>
      <c r="B691" s="349">
        <v>160</v>
      </c>
      <c r="C691" s="423">
        <v>45200</v>
      </c>
      <c r="D691" s="351">
        <v>45217</v>
      </c>
      <c r="E691" s="352"/>
      <c r="F691" s="352">
        <v>6</v>
      </c>
      <c r="G691" s="352" t="s">
        <v>340</v>
      </c>
      <c r="H691" s="424" t="s">
        <v>1560</v>
      </c>
      <c r="I691" s="350" t="s">
        <v>393</v>
      </c>
      <c r="J691" s="375">
        <v>29495</v>
      </c>
      <c r="K691" s="350" t="s">
        <v>394</v>
      </c>
      <c r="L691" s="354">
        <v>2802.3999950000002</v>
      </c>
      <c r="M691" s="354">
        <f t="shared" si="30"/>
        <v>10.524907241159196</v>
      </c>
      <c r="N691" s="350" t="s">
        <v>395</v>
      </c>
      <c r="O691" s="354">
        <v>0</v>
      </c>
      <c r="P691" s="355" t="s">
        <v>396</v>
      </c>
      <c r="Q691" s="354" t="s">
        <v>397</v>
      </c>
      <c r="R691" s="377">
        <v>0</v>
      </c>
      <c r="S691" s="377">
        <v>0</v>
      </c>
      <c r="T691" s="377">
        <v>0</v>
      </c>
      <c r="U691" s="377">
        <v>0</v>
      </c>
      <c r="V691" s="377">
        <v>0</v>
      </c>
      <c r="W691" s="377">
        <v>0</v>
      </c>
    </row>
    <row r="692" spans="1:23" x14ac:dyDescent="0.25">
      <c r="A692" s="348" t="s">
        <v>1550</v>
      </c>
      <c r="B692" s="349">
        <v>161</v>
      </c>
      <c r="C692" s="423">
        <v>45200</v>
      </c>
      <c r="D692" s="351">
        <v>45217</v>
      </c>
      <c r="E692" s="352"/>
      <c r="F692" s="352">
        <v>6</v>
      </c>
      <c r="G692" s="352" t="s">
        <v>1306</v>
      </c>
      <c r="H692" s="424" t="s">
        <v>1307</v>
      </c>
      <c r="I692" s="350" t="s">
        <v>393</v>
      </c>
      <c r="J692" s="375">
        <f>19500+13000</f>
        <v>32500</v>
      </c>
      <c r="K692" s="350" t="s">
        <v>394</v>
      </c>
      <c r="L692" s="354">
        <v>2802.3999950000002</v>
      </c>
      <c r="M692" s="354">
        <f t="shared" si="30"/>
        <v>11.597202418636172</v>
      </c>
      <c r="N692" s="350" t="s">
        <v>395</v>
      </c>
      <c r="O692" s="354">
        <v>0</v>
      </c>
      <c r="P692" s="355" t="s">
        <v>396</v>
      </c>
      <c r="Q692" s="354" t="s">
        <v>397</v>
      </c>
      <c r="R692" s="377">
        <v>0</v>
      </c>
      <c r="S692" s="377">
        <v>0</v>
      </c>
      <c r="T692" s="377">
        <v>0</v>
      </c>
      <c r="U692" s="377">
        <v>0</v>
      </c>
      <c r="V692" s="377">
        <v>0</v>
      </c>
      <c r="W692" s="377">
        <v>0</v>
      </c>
    </row>
    <row r="693" spans="1:23" x14ac:dyDescent="0.25">
      <c r="A693" s="348" t="s">
        <v>1344</v>
      </c>
      <c r="B693" s="349">
        <v>162</v>
      </c>
      <c r="C693" s="423">
        <v>45200</v>
      </c>
      <c r="D693" s="351">
        <v>45187</v>
      </c>
      <c r="E693" s="352"/>
      <c r="F693" s="352">
        <v>6</v>
      </c>
      <c r="G693" s="352" t="s">
        <v>1306</v>
      </c>
      <c r="H693" s="424" t="s">
        <v>1307</v>
      </c>
      <c r="I693" s="350" t="s">
        <v>393</v>
      </c>
      <c r="J693" s="375">
        <v>51000</v>
      </c>
      <c r="K693" s="350" t="s">
        <v>394</v>
      </c>
      <c r="L693" s="354">
        <v>2802.3999950000002</v>
      </c>
      <c r="M693" s="354">
        <f t="shared" si="30"/>
        <v>18.198686872321378</v>
      </c>
      <c r="N693" s="350" t="s">
        <v>395</v>
      </c>
      <c r="O693" s="354">
        <v>0</v>
      </c>
      <c r="P693" s="355" t="s">
        <v>396</v>
      </c>
      <c r="Q693" s="354" t="s">
        <v>397</v>
      </c>
      <c r="R693" s="377">
        <v>0</v>
      </c>
      <c r="S693" s="377">
        <v>0</v>
      </c>
      <c r="T693" s="377">
        <v>0</v>
      </c>
      <c r="U693" s="377">
        <v>0</v>
      </c>
      <c r="V693" s="377">
        <v>0</v>
      </c>
      <c r="W693" s="377">
        <v>0</v>
      </c>
    </row>
    <row r="694" spans="1:23" x14ac:dyDescent="0.25">
      <c r="A694" s="348" t="s">
        <v>1551</v>
      </c>
      <c r="B694" s="349">
        <v>163</v>
      </c>
      <c r="C694" s="423">
        <v>45200</v>
      </c>
      <c r="D694" s="351">
        <v>45230</v>
      </c>
      <c r="E694" s="352"/>
      <c r="F694" s="352">
        <v>6</v>
      </c>
      <c r="G694" s="352" t="s">
        <v>336</v>
      </c>
      <c r="H694" s="424" t="s">
        <v>1561</v>
      </c>
      <c r="I694" s="350" t="s">
        <v>393</v>
      </c>
      <c r="J694" s="375">
        <v>150000</v>
      </c>
      <c r="K694" s="350" t="s">
        <v>394</v>
      </c>
      <c r="L694" s="354">
        <v>2802.3999950000002</v>
      </c>
      <c r="M694" s="354">
        <f t="shared" si="30"/>
        <v>53.525549624474642</v>
      </c>
      <c r="N694" s="350" t="s">
        <v>395</v>
      </c>
      <c r="O694" s="354">
        <v>0</v>
      </c>
      <c r="P694" s="355" t="s">
        <v>396</v>
      </c>
      <c r="Q694" s="354" t="s">
        <v>397</v>
      </c>
      <c r="R694" s="377">
        <v>0</v>
      </c>
      <c r="S694" s="377">
        <v>0</v>
      </c>
      <c r="T694" s="377">
        <v>0</v>
      </c>
      <c r="U694" s="377">
        <v>0</v>
      </c>
      <c r="V694" s="377">
        <v>0</v>
      </c>
      <c r="W694" s="377">
        <v>0</v>
      </c>
    </row>
    <row r="695" spans="1:23" x14ac:dyDescent="0.25">
      <c r="A695" s="348" t="s">
        <v>1552</v>
      </c>
      <c r="B695" s="349">
        <v>164</v>
      </c>
      <c r="C695" s="423">
        <v>45200</v>
      </c>
      <c r="D695" s="351">
        <v>45229</v>
      </c>
      <c r="E695" s="352"/>
      <c r="F695" s="352">
        <v>6</v>
      </c>
      <c r="G695" s="352" t="s">
        <v>1326</v>
      </c>
      <c r="H695" s="424" t="s">
        <v>1562</v>
      </c>
      <c r="I695" s="350" t="s">
        <v>393</v>
      </c>
      <c r="J695" s="375">
        <v>93958</v>
      </c>
      <c r="K695" s="350" t="s">
        <v>394</v>
      </c>
      <c r="L695" s="354">
        <v>2802.3999950000002</v>
      </c>
      <c r="M695" s="354">
        <f t="shared" si="30"/>
        <v>33.52769061077592</v>
      </c>
      <c r="N695" s="350" t="s">
        <v>395</v>
      </c>
      <c r="O695" s="354">
        <v>0</v>
      </c>
      <c r="P695" s="355" t="s">
        <v>396</v>
      </c>
      <c r="Q695" s="354" t="s">
        <v>397</v>
      </c>
      <c r="R695" s="377">
        <v>0</v>
      </c>
      <c r="S695" s="377">
        <v>0</v>
      </c>
      <c r="T695" s="377">
        <v>0</v>
      </c>
      <c r="U695" s="377">
        <v>0</v>
      </c>
      <c r="V695" s="377">
        <v>0</v>
      </c>
      <c r="W695" s="377">
        <v>0</v>
      </c>
    </row>
    <row r="696" spans="1:23" x14ac:dyDescent="0.25">
      <c r="A696" s="348" t="s">
        <v>1553</v>
      </c>
      <c r="B696" s="349">
        <v>165</v>
      </c>
      <c r="C696" s="423">
        <v>45200</v>
      </c>
      <c r="D696" s="351">
        <v>45229</v>
      </c>
      <c r="E696" s="352"/>
      <c r="F696" s="352">
        <v>6</v>
      </c>
      <c r="G696" s="352" t="s">
        <v>1326</v>
      </c>
      <c r="H696" s="424" t="s">
        <v>1562</v>
      </c>
      <c r="I696" s="350" t="s">
        <v>393</v>
      </c>
      <c r="J696" s="375">
        <v>16042</v>
      </c>
      <c r="K696" s="350" t="s">
        <v>394</v>
      </c>
      <c r="L696" s="354">
        <v>2802.3999950000002</v>
      </c>
      <c r="M696" s="354">
        <f t="shared" si="30"/>
        <v>5.7243791138388147</v>
      </c>
      <c r="N696" s="350" t="s">
        <v>395</v>
      </c>
      <c r="O696" s="354">
        <v>0</v>
      </c>
      <c r="P696" s="355" t="s">
        <v>396</v>
      </c>
      <c r="Q696" s="354" t="s">
        <v>397</v>
      </c>
      <c r="R696" s="377">
        <v>0</v>
      </c>
      <c r="S696" s="377">
        <v>0</v>
      </c>
      <c r="T696" s="377">
        <v>0</v>
      </c>
      <c r="U696" s="377">
        <v>0</v>
      </c>
      <c r="V696" s="377">
        <v>0</v>
      </c>
      <c r="W696" s="377">
        <v>0</v>
      </c>
    </row>
    <row r="697" spans="1:23" x14ac:dyDescent="0.25">
      <c r="A697" s="348" t="s">
        <v>1554</v>
      </c>
      <c r="B697" s="349">
        <v>166</v>
      </c>
      <c r="C697" s="423">
        <v>45200</v>
      </c>
      <c r="D697" s="351">
        <v>45229</v>
      </c>
      <c r="E697" s="352"/>
      <c r="F697" s="352">
        <v>6</v>
      </c>
      <c r="G697" s="352" t="s">
        <v>1326</v>
      </c>
      <c r="H697" s="424" t="s">
        <v>1562</v>
      </c>
      <c r="I697" s="350" t="s">
        <v>393</v>
      </c>
      <c r="J697" s="375">
        <v>40000</v>
      </c>
      <c r="K697" s="350" t="s">
        <v>394</v>
      </c>
      <c r="L697" s="354">
        <v>2802.3999950000002</v>
      </c>
      <c r="M697" s="354">
        <f t="shared" si="30"/>
        <v>14.273479899859904</v>
      </c>
      <c r="N697" s="350" t="s">
        <v>395</v>
      </c>
      <c r="O697" s="354">
        <v>0</v>
      </c>
      <c r="P697" s="355" t="s">
        <v>396</v>
      </c>
      <c r="Q697" s="354" t="s">
        <v>397</v>
      </c>
      <c r="R697" s="377">
        <v>0</v>
      </c>
      <c r="S697" s="377">
        <v>0</v>
      </c>
      <c r="T697" s="377">
        <v>0</v>
      </c>
      <c r="U697" s="377">
        <v>0</v>
      </c>
      <c r="V697" s="377">
        <v>0</v>
      </c>
      <c r="W697" s="377">
        <v>0</v>
      </c>
    </row>
    <row r="698" spans="1:23" x14ac:dyDescent="0.25">
      <c r="A698" s="348" t="s">
        <v>1564</v>
      </c>
      <c r="B698" s="349">
        <v>167</v>
      </c>
      <c r="C698" s="423">
        <v>45200</v>
      </c>
      <c r="D698" s="351">
        <v>45230</v>
      </c>
      <c r="E698" s="352"/>
      <c r="F698" s="352">
        <v>6</v>
      </c>
      <c r="G698" s="352" t="s">
        <v>342</v>
      </c>
      <c r="H698" s="424" t="s">
        <v>1563</v>
      </c>
      <c r="I698" s="350" t="s">
        <v>393</v>
      </c>
      <c r="J698" s="375">
        <f>2100+10000+10000+3000</f>
        <v>25100</v>
      </c>
      <c r="K698" s="350" t="s">
        <v>394</v>
      </c>
      <c r="L698" s="354">
        <v>2802.3999950000002</v>
      </c>
      <c r="M698" s="354">
        <f t="shared" si="30"/>
        <v>8.9566086371620894</v>
      </c>
      <c r="N698" s="350" t="s">
        <v>395</v>
      </c>
      <c r="O698" s="354">
        <v>0</v>
      </c>
      <c r="P698" s="355" t="s">
        <v>396</v>
      </c>
      <c r="Q698" s="354" t="s">
        <v>397</v>
      </c>
      <c r="R698" s="377">
        <v>0</v>
      </c>
      <c r="S698" s="377">
        <v>0</v>
      </c>
      <c r="T698" s="377">
        <v>0</v>
      </c>
      <c r="U698" s="377">
        <v>0</v>
      </c>
      <c r="V698" s="377">
        <v>0</v>
      </c>
      <c r="W698" s="377">
        <v>0</v>
      </c>
    </row>
    <row r="699" spans="1:23" x14ac:dyDescent="0.25">
      <c r="A699" s="348" t="s">
        <v>1594</v>
      </c>
      <c r="B699" s="349">
        <v>36</v>
      </c>
      <c r="C699" s="423">
        <v>45200</v>
      </c>
      <c r="D699" s="427">
        <v>45217</v>
      </c>
      <c r="E699" s="352"/>
      <c r="F699" s="352">
        <v>6</v>
      </c>
      <c r="G699" s="352" t="s">
        <v>331</v>
      </c>
      <c r="H699" s="424" t="s">
        <v>1598</v>
      </c>
      <c r="I699" s="350" t="s">
        <v>393</v>
      </c>
      <c r="J699" s="556">
        <v>20839</v>
      </c>
      <c r="K699" s="350" t="s">
        <v>394</v>
      </c>
      <c r="L699" s="354">
        <v>2803.6597999999999</v>
      </c>
      <c r="M699" s="560">
        <f>+J699/L699</f>
        <v>7.4327848193279369</v>
      </c>
      <c r="N699" s="354" t="s">
        <v>395</v>
      </c>
      <c r="O699" s="354">
        <v>0</v>
      </c>
      <c r="P699" s="355" t="s">
        <v>396</v>
      </c>
      <c r="Q699" s="354" t="s">
        <v>346</v>
      </c>
      <c r="R699" s="377">
        <v>0</v>
      </c>
      <c r="S699" s="377">
        <v>0</v>
      </c>
      <c r="T699" s="377">
        <v>0</v>
      </c>
      <c r="U699" s="377">
        <v>0</v>
      </c>
      <c r="V699" s="377">
        <v>0</v>
      </c>
      <c r="W699" s="377">
        <v>0</v>
      </c>
    </row>
    <row r="700" spans="1:23" x14ac:dyDescent="0.25">
      <c r="A700" s="348" t="s">
        <v>1595</v>
      </c>
      <c r="B700" s="349">
        <v>37</v>
      </c>
      <c r="C700" s="423">
        <v>45200</v>
      </c>
      <c r="D700" s="427">
        <v>45224</v>
      </c>
      <c r="E700" s="352"/>
      <c r="F700" s="352">
        <v>6</v>
      </c>
      <c r="G700" s="352" t="s">
        <v>306</v>
      </c>
      <c r="H700" s="424" t="s">
        <v>1599</v>
      </c>
      <c r="I700" s="350" t="s">
        <v>393</v>
      </c>
      <c r="J700" s="556">
        <v>382454</v>
      </c>
      <c r="K700" s="350" t="s">
        <v>394</v>
      </c>
      <c r="L700" s="354">
        <v>2803.6597999999999</v>
      </c>
      <c r="M700" s="560">
        <f t="shared" ref="M700:M705" si="31">+J700/L700</f>
        <v>136.4124135175031</v>
      </c>
      <c r="N700" s="354" t="s">
        <v>395</v>
      </c>
      <c r="O700" s="354">
        <v>0</v>
      </c>
      <c r="P700" s="355" t="s">
        <v>396</v>
      </c>
      <c r="Q700" s="354" t="s">
        <v>346</v>
      </c>
      <c r="R700" s="377">
        <v>0</v>
      </c>
      <c r="S700" s="377">
        <v>0</v>
      </c>
      <c r="T700" s="377">
        <v>0</v>
      </c>
      <c r="U700" s="377">
        <v>0</v>
      </c>
      <c r="V700" s="377">
        <v>0</v>
      </c>
      <c r="W700" s="377">
        <v>0</v>
      </c>
    </row>
    <row r="701" spans="1:23" ht="30" x14ac:dyDescent="0.25">
      <c r="A701" s="348" t="s">
        <v>1595</v>
      </c>
      <c r="B701" s="349">
        <v>37</v>
      </c>
      <c r="C701" s="423">
        <v>45200</v>
      </c>
      <c r="D701" s="427">
        <v>45224</v>
      </c>
      <c r="E701" s="352"/>
      <c r="F701" s="352">
        <v>6</v>
      </c>
      <c r="G701" s="352" t="s">
        <v>307</v>
      </c>
      <c r="H701" s="424" t="s">
        <v>1600</v>
      </c>
      <c r="I701" s="350" t="s">
        <v>393</v>
      </c>
      <c r="J701" s="619">
        <v>216919</v>
      </c>
      <c r="K701" s="350" t="s">
        <v>394</v>
      </c>
      <c r="L701" s="354">
        <v>2803.6597999999999</v>
      </c>
      <c r="M701" s="560">
        <f t="shared" si="31"/>
        <v>77.369943386141216</v>
      </c>
      <c r="N701" s="354" t="s">
        <v>395</v>
      </c>
      <c r="O701" s="354">
        <v>0</v>
      </c>
      <c r="P701" s="355" t="s">
        <v>396</v>
      </c>
      <c r="Q701" s="354" t="s">
        <v>346</v>
      </c>
      <c r="R701" s="377">
        <v>0</v>
      </c>
      <c r="S701" s="377">
        <v>0</v>
      </c>
      <c r="T701" s="377">
        <v>0</v>
      </c>
      <c r="U701" s="377">
        <v>0</v>
      </c>
      <c r="V701" s="377">
        <v>0</v>
      </c>
      <c r="W701" s="377">
        <v>0</v>
      </c>
    </row>
    <row r="702" spans="1:23" x14ac:dyDescent="0.25">
      <c r="A702" s="348" t="s">
        <v>1595</v>
      </c>
      <c r="B702" s="349">
        <v>37</v>
      </c>
      <c r="C702" s="423">
        <v>45200</v>
      </c>
      <c r="D702" s="427">
        <v>45224</v>
      </c>
      <c r="E702" s="352"/>
      <c r="F702" s="352">
        <v>6</v>
      </c>
      <c r="G702" s="352" t="s">
        <v>308</v>
      </c>
      <c r="H702" s="424" t="s">
        <v>1601</v>
      </c>
      <c r="I702" s="350" t="s">
        <v>393</v>
      </c>
      <c r="J702" s="619">
        <v>344893</v>
      </c>
      <c r="K702" s="350" t="s">
        <v>394</v>
      </c>
      <c r="L702" s="354">
        <v>2803.6597999999999</v>
      </c>
      <c r="M702" s="560">
        <f t="shared" si="31"/>
        <v>123.01528166862471</v>
      </c>
      <c r="N702" s="354" t="s">
        <v>395</v>
      </c>
      <c r="O702" s="354">
        <v>0</v>
      </c>
      <c r="P702" s="355" t="s">
        <v>396</v>
      </c>
      <c r="Q702" s="354" t="s">
        <v>346</v>
      </c>
      <c r="R702" s="377">
        <v>0</v>
      </c>
      <c r="S702" s="377">
        <v>0</v>
      </c>
      <c r="T702" s="377">
        <v>0</v>
      </c>
      <c r="U702" s="377">
        <v>0</v>
      </c>
      <c r="V702" s="377">
        <v>0</v>
      </c>
      <c r="W702" s="377">
        <v>0</v>
      </c>
    </row>
    <row r="703" spans="1:23" x14ac:dyDescent="0.25">
      <c r="A703" s="348" t="s">
        <v>1595</v>
      </c>
      <c r="B703" s="349">
        <v>37</v>
      </c>
      <c r="C703" s="423">
        <v>45200</v>
      </c>
      <c r="D703" s="427">
        <v>45224</v>
      </c>
      <c r="E703" s="352"/>
      <c r="F703" s="352">
        <v>6</v>
      </c>
      <c r="G703" s="352" t="s">
        <v>309</v>
      </c>
      <c r="H703" s="424" t="s">
        <v>1602</v>
      </c>
      <c r="I703" s="350" t="s">
        <v>393</v>
      </c>
      <c r="J703" s="619">
        <v>1288541</v>
      </c>
      <c r="K703" s="350" t="s">
        <v>394</v>
      </c>
      <c r="L703" s="354">
        <v>2803.6597999999999</v>
      </c>
      <c r="M703" s="560">
        <f t="shared" si="31"/>
        <v>459.59249406793225</v>
      </c>
      <c r="N703" s="354" t="s">
        <v>395</v>
      </c>
      <c r="O703" s="354">
        <v>0</v>
      </c>
      <c r="P703" s="355" t="s">
        <v>396</v>
      </c>
      <c r="Q703" s="354" t="s">
        <v>346</v>
      </c>
      <c r="R703" s="377">
        <v>0</v>
      </c>
      <c r="S703" s="377">
        <v>0</v>
      </c>
      <c r="T703" s="377">
        <v>0</v>
      </c>
      <c r="U703" s="377">
        <v>0</v>
      </c>
      <c r="V703" s="377">
        <v>0</v>
      </c>
      <c r="W703" s="377">
        <v>0</v>
      </c>
    </row>
    <row r="704" spans="1:23" x14ac:dyDescent="0.25">
      <c r="A704" s="348" t="s">
        <v>1595</v>
      </c>
      <c r="B704" s="349">
        <v>37</v>
      </c>
      <c r="C704" s="423">
        <v>45200</v>
      </c>
      <c r="D704" s="427">
        <v>45224</v>
      </c>
      <c r="E704" s="352"/>
      <c r="F704" s="352">
        <v>6</v>
      </c>
      <c r="G704" s="352" t="s">
        <v>310</v>
      </c>
      <c r="H704" s="424" t="s">
        <v>1603</v>
      </c>
      <c r="I704" s="350" t="s">
        <v>393</v>
      </c>
      <c r="J704" s="619">
        <v>454657</v>
      </c>
      <c r="K704" s="350" t="s">
        <v>394</v>
      </c>
      <c r="L704" s="354">
        <v>2803.6597999999999</v>
      </c>
      <c r="M704" s="560">
        <f t="shared" si="31"/>
        <v>162.16553805850481</v>
      </c>
      <c r="N704" s="354" t="s">
        <v>395</v>
      </c>
      <c r="O704" s="354">
        <v>0</v>
      </c>
      <c r="P704" s="355" t="s">
        <v>396</v>
      </c>
      <c r="Q704" s="354" t="s">
        <v>346</v>
      </c>
      <c r="R704" s="377">
        <v>0</v>
      </c>
      <c r="S704" s="377">
        <v>0</v>
      </c>
      <c r="T704" s="377">
        <v>0</v>
      </c>
      <c r="U704" s="377">
        <v>0</v>
      </c>
      <c r="V704" s="377">
        <v>0</v>
      </c>
      <c r="W704" s="377">
        <v>0</v>
      </c>
    </row>
    <row r="705" spans="1:23" x14ac:dyDescent="0.25">
      <c r="A705" s="348" t="s">
        <v>1595</v>
      </c>
      <c r="B705" s="349">
        <v>37</v>
      </c>
      <c r="C705" s="423">
        <v>45200</v>
      </c>
      <c r="D705" s="427">
        <v>45224</v>
      </c>
      <c r="E705" s="352"/>
      <c r="F705" s="352">
        <v>6</v>
      </c>
      <c r="G705" s="352" t="s">
        <v>311</v>
      </c>
      <c r="H705" s="424" t="s">
        <v>1604</v>
      </c>
      <c r="I705" s="350" t="s">
        <v>393</v>
      </c>
      <c r="J705" s="560">
        <v>147836</v>
      </c>
      <c r="K705" s="350" t="s">
        <v>394</v>
      </c>
      <c r="L705" s="354">
        <v>2803.6597999999999</v>
      </c>
      <c r="M705" s="560">
        <f t="shared" si="31"/>
        <v>52.729650009605301</v>
      </c>
      <c r="N705" s="354" t="s">
        <v>395</v>
      </c>
      <c r="O705" s="354">
        <v>0</v>
      </c>
      <c r="P705" s="355" t="s">
        <v>396</v>
      </c>
      <c r="Q705" s="354" t="s">
        <v>346</v>
      </c>
      <c r="R705" s="377">
        <v>0</v>
      </c>
      <c r="S705" s="377">
        <v>0</v>
      </c>
      <c r="T705" s="377">
        <v>0</v>
      </c>
      <c r="U705" s="377">
        <v>0</v>
      </c>
      <c r="V705" s="377">
        <v>0</v>
      </c>
      <c r="W705" s="377">
        <v>0</v>
      </c>
    </row>
    <row r="706" spans="1:23" x14ac:dyDescent="0.25">
      <c r="A706" s="348" t="s">
        <v>1596</v>
      </c>
      <c r="B706" s="349">
        <v>38</v>
      </c>
      <c r="C706" s="423">
        <v>45200</v>
      </c>
      <c r="D706" s="351">
        <v>45217</v>
      </c>
      <c r="E706" s="352"/>
      <c r="F706" s="352">
        <v>6</v>
      </c>
      <c r="G706" s="352" t="s">
        <v>308</v>
      </c>
      <c r="H706" s="424" t="s">
        <v>1605</v>
      </c>
      <c r="I706" s="350" t="s">
        <v>393</v>
      </c>
      <c r="J706" s="560">
        <v>47380</v>
      </c>
      <c r="K706" s="350" t="s">
        <v>394</v>
      </c>
      <c r="L706" s="354">
        <v>2803.6597999999999</v>
      </c>
      <c r="M706" s="560">
        <f>+J706/L706</f>
        <v>16.89933992704821</v>
      </c>
      <c r="N706" s="354" t="s">
        <v>395</v>
      </c>
      <c r="O706" s="354">
        <v>0</v>
      </c>
      <c r="P706" s="355" t="s">
        <v>396</v>
      </c>
      <c r="Q706" s="354" t="s">
        <v>346</v>
      </c>
      <c r="R706" s="377">
        <v>0</v>
      </c>
      <c r="S706" s="377">
        <v>0</v>
      </c>
      <c r="T706" s="377">
        <v>0</v>
      </c>
      <c r="U706" s="377">
        <v>0</v>
      </c>
      <c r="V706" s="377">
        <v>0</v>
      </c>
      <c r="W706" s="377">
        <v>0</v>
      </c>
    </row>
    <row r="707" spans="1:23" x14ac:dyDescent="0.25">
      <c r="A707" s="348" t="s">
        <v>1596</v>
      </c>
      <c r="B707" s="349">
        <v>38</v>
      </c>
      <c r="C707" s="423">
        <v>45200</v>
      </c>
      <c r="D707" s="351">
        <v>45217</v>
      </c>
      <c r="E707" s="352"/>
      <c r="F707" s="352">
        <v>6</v>
      </c>
      <c r="G707" s="352" t="s">
        <v>309</v>
      </c>
      <c r="H707" s="424" t="s">
        <v>1606</v>
      </c>
      <c r="I707" s="350" t="s">
        <v>393</v>
      </c>
      <c r="J707" s="560">
        <v>136571</v>
      </c>
      <c r="K707" s="350" t="s">
        <v>394</v>
      </c>
      <c r="L707" s="354">
        <v>2803.6597999999999</v>
      </c>
      <c r="M707" s="560">
        <f t="shared" ref="M707:M714" si="32">+J707/L707</f>
        <v>48.711687487904207</v>
      </c>
      <c r="N707" s="354" t="s">
        <v>395</v>
      </c>
      <c r="O707" s="354">
        <v>0</v>
      </c>
      <c r="P707" s="355" t="s">
        <v>396</v>
      </c>
      <c r="Q707" s="354" t="s">
        <v>346</v>
      </c>
      <c r="R707" s="377">
        <v>0</v>
      </c>
      <c r="S707" s="377">
        <v>0</v>
      </c>
      <c r="T707" s="377">
        <v>0</v>
      </c>
      <c r="U707" s="377">
        <v>0</v>
      </c>
      <c r="V707" s="377">
        <v>0</v>
      </c>
      <c r="W707" s="377">
        <v>0</v>
      </c>
    </row>
    <row r="708" spans="1:23" x14ac:dyDescent="0.25">
      <c r="A708" s="348" t="s">
        <v>1596</v>
      </c>
      <c r="B708" s="349">
        <v>38</v>
      </c>
      <c r="C708" s="423">
        <v>45200</v>
      </c>
      <c r="D708" s="351">
        <v>45217</v>
      </c>
      <c r="E708" s="352"/>
      <c r="F708" s="352">
        <v>6</v>
      </c>
      <c r="G708" s="352" t="s">
        <v>309</v>
      </c>
      <c r="H708" s="424" t="s">
        <v>1607</v>
      </c>
      <c r="I708" s="350" t="s">
        <v>393</v>
      </c>
      <c r="J708" s="560">
        <v>136571</v>
      </c>
      <c r="K708" s="350" t="s">
        <v>394</v>
      </c>
      <c r="L708" s="354">
        <v>2803.6597999999999</v>
      </c>
      <c r="M708" s="560">
        <f t="shared" si="32"/>
        <v>48.711687487904207</v>
      </c>
      <c r="N708" s="354" t="s">
        <v>395</v>
      </c>
      <c r="O708" s="354">
        <v>0</v>
      </c>
      <c r="P708" s="355" t="s">
        <v>396</v>
      </c>
      <c r="Q708" s="354" t="s">
        <v>346</v>
      </c>
      <c r="R708" s="377">
        <v>0</v>
      </c>
      <c r="S708" s="377">
        <v>0</v>
      </c>
      <c r="T708" s="377">
        <v>0</v>
      </c>
      <c r="U708" s="377">
        <v>0</v>
      </c>
      <c r="V708" s="377">
        <v>0</v>
      </c>
      <c r="W708" s="377">
        <v>0</v>
      </c>
    </row>
    <row r="709" spans="1:23" x14ac:dyDescent="0.25">
      <c r="A709" s="348" t="s">
        <v>1596</v>
      </c>
      <c r="B709" s="349">
        <v>38</v>
      </c>
      <c r="C709" s="423">
        <v>45200</v>
      </c>
      <c r="D709" s="351">
        <v>45217</v>
      </c>
      <c r="E709" s="352"/>
      <c r="F709" s="352">
        <v>6</v>
      </c>
      <c r="G709" s="352" t="s">
        <v>309</v>
      </c>
      <c r="H709" s="424" t="s">
        <v>1608</v>
      </c>
      <c r="I709" s="350" t="s">
        <v>393</v>
      </c>
      <c r="J709" s="560">
        <v>136571</v>
      </c>
      <c r="K709" s="350" t="s">
        <v>394</v>
      </c>
      <c r="L709" s="354">
        <v>2803.6597999999999</v>
      </c>
      <c r="M709" s="560">
        <f t="shared" si="32"/>
        <v>48.711687487904207</v>
      </c>
      <c r="N709" s="354" t="s">
        <v>395</v>
      </c>
      <c r="O709" s="354">
        <v>0</v>
      </c>
      <c r="P709" s="355" t="s">
        <v>396</v>
      </c>
      <c r="Q709" s="354" t="s">
        <v>346</v>
      </c>
      <c r="R709" s="377">
        <v>0</v>
      </c>
      <c r="S709" s="377">
        <v>0</v>
      </c>
      <c r="T709" s="377">
        <v>0</v>
      </c>
      <c r="U709" s="377">
        <v>0</v>
      </c>
      <c r="V709" s="377">
        <v>0</v>
      </c>
      <c r="W709" s="377">
        <v>0</v>
      </c>
    </row>
    <row r="710" spans="1:23" x14ac:dyDescent="0.25">
      <c r="A710" s="348" t="s">
        <v>1596</v>
      </c>
      <c r="B710" s="349">
        <v>38</v>
      </c>
      <c r="C710" s="423">
        <v>45200</v>
      </c>
      <c r="D710" s="351">
        <v>45217</v>
      </c>
      <c r="E710" s="352"/>
      <c r="F710" s="352">
        <v>6</v>
      </c>
      <c r="G710" s="352" t="s">
        <v>309</v>
      </c>
      <c r="H710" s="424" t="s">
        <v>1609</v>
      </c>
      <c r="I710" s="350" t="s">
        <v>393</v>
      </c>
      <c r="J710" s="560">
        <v>136571</v>
      </c>
      <c r="K710" s="350" t="s">
        <v>394</v>
      </c>
      <c r="L710" s="354">
        <v>2803.6597999999999</v>
      </c>
      <c r="M710" s="560">
        <f t="shared" si="32"/>
        <v>48.711687487904207</v>
      </c>
      <c r="N710" s="354" t="s">
        <v>395</v>
      </c>
      <c r="O710" s="354">
        <v>0</v>
      </c>
      <c r="P710" s="355" t="s">
        <v>396</v>
      </c>
      <c r="Q710" s="354" t="s">
        <v>346</v>
      </c>
      <c r="R710" s="377">
        <v>0</v>
      </c>
      <c r="S710" s="377">
        <v>0</v>
      </c>
      <c r="T710" s="377">
        <v>0</v>
      </c>
      <c r="U710" s="377">
        <v>0</v>
      </c>
      <c r="V710" s="377">
        <v>0</v>
      </c>
      <c r="W710" s="377">
        <v>0</v>
      </c>
    </row>
    <row r="711" spans="1:23" x14ac:dyDescent="0.25">
      <c r="A711" s="348" t="s">
        <v>1596</v>
      </c>
      <c r="B711" s="349">
        <v>38</v>
      </c>
      <c r="C711" s="423">
        <v>45200</v>
      </c>
      <c r="D711" s="351">
        <v>45217</v>
      </c>
      <c r="E711" s="352"/>
      <c r="F711" s="352">
        <v>6</v>
      </c>
      <c r="G711" s="352" t="s">
        <v>309</v>
      </c>
      <c r="H711" s="424" t="s">
        <v>1610</v>
      </c>
      <c r="I711" s="350" t="s">
        <v>393</v>
      </c>
      <c r="J711" s="560">
        <v>128000</v>
      </c>
      <c r="K711" s="350" t="s">
        <v>394</v>
      </c>
      <c r="L711" s="354">
        <v>2803.6597999999999</v>
      </c>
      <c r="M711" s="560">
        <f t="shared" si="32"/>
        <v>45.654611875520708</v>
      </c>
      <c r="N711" s="354" t="s">
        <v>395</v>
      </c>
      <c r="O711" s="354">
        <v>0</v>
      </c>
      <c r="P711" s="355" t="s">
        <v>396</v>
      </c>
      <c r="Q711" s="354" t="s">
        <v>346</v>
      </c>
      <c r="R711" s="377">
        <v>0</v>
      </c>
      <c r="S711" s="377">
        <v>0</v>
      </c>
      <c r="T711" s="377">
        <v>0</v>
      </c>
      <c r="U711" s="377">
        <v>0</v>
      </c>
      <c r="V711" s="377">
        <v>0</v>
      </c>
      <c r="W711" s="377">
        <v>0</v>
      </c>
    </row>
    <row r="712" spans="1:23" x14ac:dyDescent="0.25">
      <c r="A712" s="348" t="s">
        <v>1596</v>
      </c>
      <c r="B712" s="349">
        <v>38</v>
      </c>
      <c r="C712" s="423">
        <v>45200</v>
      </c>
      <c r="D712" s="351">
        <v>45217</v>
      </c>
      <c r="E712" s="352"/>
      <c r="F712" s="352">
        <v>6</v>
      </c>
      <c r="G712" s="352" t="s">
        <v>309</v>
      </c>
      <c r="H712" s="424" t="s">
        <v>1611</v>
      </c>
      <c r="I712" s="350" t="s">
        <v>393</v>
      </c>
      <c r="J712" s="560">
        <v>188953</v>
      </c>
      <c r="K712" s="350" t="s">
        <v>394</v>
      </c>
      <c r="L712" s="354">
        <v>2803.6597999999999</v>
      </c>
      <c r="M712" s="560">
        <f t="shared" si="32"/>
        <v>67.395124044650501</v>
      </c>
      <c r="N712" s="354" t="s">
        <v>395</v>
      </c>
      <c r="O712" s="354">
        <v>0</v>
      </c>
      <c r="P712" s="355" t="s">
        <v>396</v>
      </c>
      <c r="Q712" s="354" t="s">
        <v>346</v>
      </c>
      <c r="R712" s="377">
        <v>0</v>
      </c>
      <c r="S712" s="377">
        <v>0</v>
      </c>
      <c r="T712" s="377">
        <v>0</v>
      </c>
      <c r="U712" s="377">
        <v>0</v>
      </c>
      <c r="V712" s="377">
        <v>0</v>
      </c>
      <c r="W712" s="377">
        <v>0</v>
      </c>
    </row>
    <row r="713" spans="1:23" x14ac:dyDescent="0.25">
      <c r="A713" s="348" t="s">
        <v>1596</v>
      </c>
      <c r="B713" s="349">
        <v>38</v>
      </c>
      <c r="C713" s="423">
        <v>45200</v>
      </c>
      <c r="D713" s="351">
        <v>45217</v>
      </c>
      <c r="E713" s="352"/>
      <c r="F713" s="352">
        <v>6</v>
      </c>
      <c r="G713" s="352" t="s">
        <v>309</v>
      </c>
      <c r="H713" s="424" t="s">
        <v>1612</v>
      </c>
      <c r="I713" s="350" t="s">
        <v>393</v>
      </c>
      <c r="J713" s="560">
        <v>188953</v>
      </c>
      <c r="K713" s="350" t="s">
        <v>394</v>
      </c>
      <c r="L713" s="354">
        <v>2803.6597999999999</v>
      </c>
      <c r="M713" s="560">
        <f t="shared" si="32"/>
        <v>67.395124044650501</v>
      </c>
      <c r="N713" s="354" t="s">
        <v>395</v>
      </c>
      <c r="O713" s="354">
        <v>0</v>
      </c>
      <c r="P713" s="355" t="s">
        <v>396</v>
      </c>
      <c r="Q713" s="354" t="s">
        <v>346</v>
      </c>
      <c r="R713" s="377">
        <v>0</v>
      </c>
      <c r="S713" s="377">
        <v>0</v>
      </c>
      <c r="T713" s="377">
        <v>0</v>
      </c>
      <c r="U713" s="377">
        <v>0</v>
      </c>
      <c r="V713" s="377">
        <v>0</v>
      </c>
      <c r="W713" s="377">
        <v>0</v>
      </c>
    </row>
    <row r="714" spans="1:23" x14ac:dyDescent="0.25">
      <c r="A714" s="348" t="s">
        <v>1596</v>
      </c>
      <c r="B714" s="349">
        <v>38</v>
      </c>
      <c r="C714" s="423">
        <v>45200</v>
      </c>
      <c r="D714" s="351">
        <v>45217</v>
      </c>
      <c r="E714" s="352"/>
      <c r="F714" s="352">
        <v>6</v>
      </c>
      <c r="G714" s="352" t="s">
        <v>309</v>
      </c>
      <c r="H714" s="424" t="s">
        <v>1613</v>
      </c>
      <c r="I714" s="350" t="s">
        <v>393</v>
      </c>
      <c r="J714" s="560">
        <v>188953</v>
      </c>
      <c r="K714" s="350" t="s">
        <v>394</v>
      </c>
      <c r="L714" s="354">
        <v>2803.6597999999999</v>
      </c>
      <c r="M714" s="560">
        <f t="shared" si="32"/>
        <v>67.395124044650501</v>
      </c>
      <c r="N714" s="354" t="s">
        <v>395</v>
      </c>
      <c r="O714" s="354">
        <v>0</v>
      </c>
      <c r="P714" s="355" t="s">
        <v>396</v>
      </c>
      <c r="Q714" s="354" t="s">
        <v>346</v>
      </c>
      <c r="R714" s="377">
        <v>0</v>
      </c>
      <c r="S714" s="377">
        <v>0</v>
      </c>
      <c r="T714" s="377">
        <v>0</v>
      </c>
      <c r="U714" s="377">
        <v>0</v>
      </c>
      <c r="V714" s="377">
        <v>0</v>
      </c>
      <c r="W714" s="377">
        <v>0</v>
      </c>
    </row>
    <row r="715" spans="1:23" ht="30" x14ac:dyDescent="0.25">
      <c r="A715" s="348" t="s">
        <v>1596</v>
      </c>
      <c r="B715" s="349">
        <v>38</v>
      </c>
      <c r="C715" s="423">
        <v>45200</v>
      </c>
      <c r="D715" s="351">
        <v>45217</v>
      </c>
      <c r="E715" s="352"/>
      <c r="F715" s="352">
        <v>6</v>
      </c>
      <c r="G715" s="352" t="s">
        <v>310</v>
      </c>
      <c r="H715" s="424" t="s">
        <v>1614</v>
      </c>
      <c r="I715" s="350" t="s">
        <v>393</v>
      </c>
      <c r="J715" s="560">
        <v>63174</v>
      </c>
      <c r="K715" s="350" t="s">
        <v>394</v>
      </c>
      <c r="L715" s="354">
        <v>2803.6597999999999</v>
      </c>
      <c r="M715" s="560">
        <f>+J715/L715</f>
        <v>22.532691020501133</v>
      </c>
      <c r="N715" s="354" t="s">
        <v>395</v>
      </c>
      <c r="O715" s="354">
        <v>0</v>
      </c>
      <c r="P715" s="355" t="s">
        <v>396</v>
      </c>
      <c r="Q715" s="354" t="s">
        <v>346</v>
      </c>
      <c r="R715" s="377">
        <v>0</v>
      </c>
      <c r="S715" s="377">
        <v>0</v>
      </c>
      <c r="T715" s="377">
        <v>0</v>
      </c>
      <c r="U715" s="377">
        <v>0</v>
      </c>
      <c r="V715" s="377">
        <v>0</v>
      </c>
      <c r="W715" s="377">
        <v>0</v>
      </c>
    </row>
    <row r="716" spans="1:23" ht="30" x14ac:dyDescent="0.25">
      <c r="A716" s="348" t="s">
        <v>988</v>
      </c>
      <c r="B716" s="349">
        <v>40</v>
      </c>
      <c r="C716" s="423">
        <v>45200</v>
      </c>
      <c r="D716" s="427" t="s">
        <v>1597</v>
      </c>
      <c r="E716" s="352"/>
      <c r="F716" s="352">
        <v>6</v>
      </c>
      <c r="G716" s="352" t="s">
        <v>306</v>
      </c>
      <c r="H716" s="424" t="s">
        <v>1615</v>
      </c>
      <c r="I716" s="350" t="s">
        <v>476</v>
      </c>
      <c r="J716" s="556">
        <v>-52080.533920909089</v>
      </c>
      <c r="K716" s="350" t="s">
        <v>394</v>
      </c>
      <c r="L716" s="354">
        <v>2803.6597999999999</v>
      </c>
      <c r="M716" s="560">
        <f t="shared" ref="M716:M741" si="33">J716/L716</f>
        <v>-18.575910643976524</v>
      </c>
      <c r="N716" s="354" t="s">
        <v>395</v>
      </c>
      <c r="O716" s="354">
        <v>0</v>
      </c>
      <c r="P716" s="355" t="s">
        <v>396</v>
      </c>
      <c r="Q716" s="354" t="s">
        <v>346</v>
      </c>
      <c r="R716" s="377">
        <v>0</v>
      </c>
      <c r="S716" s="377">
        <v>0</v>
      </c>
      <c r="T716" s="377">
        <v>0</v>
      </c>
      <c r="U716" s="377">
        <v>0</v>
      </c>
      <c r="V716" s="377">
        <v>0</v>
      </c>
      <c r="W716" s="377">
        <v>0</v>
      </c>
    </row>
    <row r="717" spans="1:23" ht="30" x14ac:dyDescent="0.25">
      <c r="A717" s="348" t="s">
        <v>988</v>
      </c>
      <c r="B717" s="349">
        <v>40</v>
      </c>
      <c r="C717" s="423">
        <v>45200</v>
      </c>
      <c r="D717" s="427" t="s">
        <v>1597</v>
      </c>
      <c r="E717" s="352"/>
      <c r="F717" s="352">
        <v>6</v>
      </c>
      <c r="G717" s="352" t="s">
        <v>307</v>
      </c>
      <c r="H717" s="424" t="s">
        <v>1616</v>
      </c>
      <c r="I717" s="350" t="s">
        <v>476</v>
      </c>
      <c r="J717" s="556">
        <v>-29508.479382727273</v>
      </c>
      <c r="K717" s="350" t="s">
        <v>394</v>
      </c>
      <c r="L717" s="354">
        <v>2803.6597999999999</v>
      </c>
      <c r="M717" s="560">
        <f t="shared" si="33"/>
        <v>-10.524985728556395</v>
      </c>
      <c r="N717" s="354" t="s">
        <v>395</v>
      </c>
      <c r="O717" s="354">
        <v>0</v>
      </c>
      <c r="P717" s="355" t="s">
        <v>396</v>
      </c>
      <c r="Q717" s="354" t="s">
        <v>346</v>
      </c>
      <c r="R717" s="377">
        <v>0</v>
      </c>
      <c r="S717" s="377">
        <v>0</v>
      </c>
      <c r="T717" s="377">
        <v>0</v>
      </c>
      <c r="U717" s="377">
        <v>0</v>
      </c>
      <c r="V717" s="377">
        <v>0</v>
      </c>
      <c r="W717" s="377">
        <v>0</v>
      </c>
    </row>
    <row r="718" spans="1:23" ht="30" x14ac:dyDescent="0.25">
      <c r="A718" s="348" t="s">
        <v>988</v>
      </c>
      <c r="B718" s="349">
        <v>40</v>
      </c>
      <c r="C718" s="423">
        <v>45200</v>
      </c>
      <c r="D718" s="427" t="s">
        <v>1597</v>
      </c>
      <c r="E718" s="352"/>
      <c r="F718" s="352">
        <v>6</v>
      </c>
      <c r="G718" s="352" t="s">
        <v>308</v>
      </c>
      <c r="H718" s="424" t="s">
        <v>1617</v>
      </c>
      <c r="I718" s="350" t="s">
        <v>476</v>
      </c>
      <c r="J718" s="556">
        <v>-52080.533920909089</v>
      </c>
      <c r="K718" s="350" t="s">
        <v>394</v>
      </c>
      <c r="L718" s="354">
        <v>2803.6597999999999</v>
      </c>
      <c r="M718" s="560">
        <f t="shared" si="33"/>
        <v>-18.575910643976524</v>
      </c>
      <c r="N718" s="354" t="s">
        <v>395</v>
      </c>
      <c r="O718" s="354">
        <v>0</v>
      </c>
      <c r="P718" s="355" t="s">
        <v>396</v>
      </c>
      <c r="Q718" s="354" t="s">
        <v>346</v>
      </c>
      <c r="R718" s="377">
        <v>0</v>
      </c>
      <c r="S718" s="377">
        <v>0</v>
      </c>
      <c r="T718" s="377">
        <v>0</v>
      </c>
      <c r="U718" s="377">
        <v>0</v>
      </c>
      <c r="V718" s="377">
        <v>0</v>
      </c>
      <c r="W718" s="377">
        <v>0</v>
      </c>
    </row>
    <row r="719" spans="1:23" ht="30" x14ac:dyDescent="0.25">
      <c r="A719" s="348" t="s">
        <v>988</v>
      </c>
      <c r="B719" s="349">
        <v>40</v>
      </c>
      <c r="C719" s="423">
        <v>45200</v>
      </c>
      <c r="D719" s="427" t="s">
        <v>1597</v>
      </c>
      <c r="E719" s="352"/>
      <c r="F719" s="352">
        <v>6</v>
      </c>
      <c r="G719" s="352" t="s">
        <v>309</v>
      </c>
      <c r="H719" s="424" t="s">
        <v>1618</v>
      </c>
      <c r="I719" s="350" t="s">
        <v>476</v>
      </c>
      <c r="J719" s="556">
        <v>-229168.36755099997</v>
      </c>
      <c r="K719" s="350" t="s">
        <v>394</v>
      </c>
      <c r="L719" s="354">
        <v>2803.6597999999999</v>
      </c>
      <c r="M719" s="560">
        <f t="shared" si="33"/>
        <v>-81.739006833496703</v>
      </c>
      <c r="N719" s="354" t="s">
        <v>395</v>
      </c>
      <c r="O719" s="354">
        <v>0</v>
      </c>
      <c r="P719" s="355" t="s">
        <v>396</v>
      </c>
      <c r="Q719" s="354" t="s">
        <v>346</v>
      </c>
      <c r="R719" s="377">
        <v>0</v>
      </c>
      <c r="S719" s="377">
        <v>0</v>
      </c>
      <c r="T719" s="377">
        <v>0</v>
      </c>
      <c r="U719" s="377">
        <v>0</v>
      </c>
      <c r="V719" s="377">
        <v>0</v>
      </c>
      <c r="W719" s="377">
        <v>0</v>
      </c>
    </row>
    <row r="720" spans="1:23" ht="30" x14ac:dyDescent="0.25">
      <c r="A720" s="348" t="s">
        <v>988</v>
      </c>
      <c r="B720" s="349">
        <v>40</v>
      </c>
      <c r="C720" s="423">
        <v>45200</v>
      </c>
      <c r="D720" s="427" t="s">
        <v>1597</v>
      </c>
      <c r="E720" s="352"/>
      <c r="F720" s="352">
        <v>6</v>
      </c>
      <c r="G720" s="352" t="s">
        <v>310</v>
      </c>
      <c r="H720" s="424" t="s">
        <v>1619</v>
      </c>
      <c r="I720" s="350" t="s">
        <v>476</v>
      </c>
      <c r="J720" s="556">
        <v>-69440.711894545457</v>
      </c>
      <c r="K720" s="350" t="s">
        <v>394</v>
      </c>
      <c r="L720" s="354">
        <v>2803.6597999999999</v>
      </c>
      <c r="M720" s="560">
        <f t="shared" si="33"/>
        <v>-24.767880858635365</v>
      </c>
      <c r="N720" s="354" t="s">
        <v>395</v>
      </c>
      <c r="O720" s="354">
        <v>0</v>
      </c>
      <c r="P720" s="355" t="s">
        <v>396</v>
      </c>
      <c r="Q720" s="354" t="s">
        <v>346</v>
      </c>
      <c r="R720" s="377">
        <v>0</v>
      </c>
      <c r="S720" s="377">
        <v>0</v>
      </c>
      <c r="T720" s="377">
        <v>0</v>
      </c>
      <c r="U720" s="377">
        <v>0</v>
      </c>
      <c r="V720" s="377">
        <v>0</v>
      </c>
      <c r="W720" s="377">
        <v>0</v>
      </c>
    </row>
    <row r="721" spans="1:23" x14ac:dyDescent="0.25">
      <c r="A721" s="348" t="s">
        <v>988</v>
      </c>
      <c r="B721" s="349">
        <v>40</v>
      </c>
      <c r="C721" s="423">
        <v>45200</v>
      </c>
      <c r="D721" s="427" t="s">
        <v>1597</v>
      </c>
      <c r="E721" s="352"/>
      <c r="F721" s="352">
        <v>6</v>
      </c>
      <c r="G721" s="352" t="s">
        <v>311</v>
      </c>
      <c r="H721" s="424" t="s">
        <v>1620</v>
      </c>
      <c r="I721" s="350" t="s">
        <v>476</v>
      </c>
      <c r="J721" s="556">
        <v>-20834.705531818181</v>
      </c>
      <c r="K721" s="350" t="s">
        <v>394</v>
      </c>
      <c r="L721" s="354">
        <v>2803.6597999999999</v>
      </c>
      <c r="M721" s="560">
        <f t="shared" si="33"/>
        <v>-7.4312530827806507</v>
      </c>
      <c r="N721" s="354" t="s">
        <v>395</v>
      </c>
      <c r="O721" s="354">
        <v>0</v>
      </c>
      <c r="P721" s="355" t="s">
        <v>396</v>
      </c>
      <c r="Q721" s="354" t="s">
        <v>346</v>
      </c>
      <c r="R721" s="377">
        <v>0</v>
      </c>
      <c r="S721" s="377">
        <v>0</v>
      </c>
      <c r="T721" s="377">
        <v>0</v>
      </c>
      <c r="U721" s="377">
        <v>0</v>
      </c>
      <c r="V721" s="377">
        <v>0</v>
      </c>
      <c r="W721" s="377">
        <v>0</v>
      </c>
    </row>
    <row r="722" spans="1:23" x14ac:dyDescent="0.25">
      <c r="A722" s="348" t="s">
        <v>1650</v>
      </c>
      <c r="B722" s="379">
        <v>87</v>
      </c>
      <c r="C722" s="423">
        <v>45200</v>
      </c>
      <c r="D722" s="351">
        <v>44995</v>
      </c>
      <c r="E722" s="352">
        <v>4325</v>
      </c>
      <c r="F722" s="352">
        <v>6</v>
      </c>
      <c r="G722" s="428" t="s">
        <v>300</v>
      </c>
      <c r="H722" s="350" t="s">
        <v>1665</v>
      </c>
      <c r="I722" s="350" t="s">
        <v>393</v>
      </c>
      <c r="J722" s="556">
        <v>4286</v>
      </c>
      <c r="K722" s="353" t="s">
        <v>394</v>
      </c>
      <c r="L722" s="353">
        <v>2801.6</v>
      </c>
      <c r="M722" s="560">
        <f t="shared" si="33"/>
        <v>1.5298400913763563</v>
      </c>
      <c r="N722" s="354" t="s">
        <v>395</v>
      </c>
      <c r="O722" s="354">
        <v>0</v>
      </c>
      <c r="P722" s="355" t="s">
        <v>396</v>
      </c>
      <c r="Q722" s="354" t="s">
        <v>345</v>
      </c>
      <c r="R722" s="377">
        <v>0</v>
      </c>
      <c r="S722" s="377">
        <v>0</v>
      </c>
      <c r="T722" s="377">
        <v>0</v>
      </c>
      <c r="U722" s="377">
        <v>0</v>
      </c>
      <c r="V722" s="377">
        <v>0</v>
      </c>
      <c r="W722" s="377">
        <v>0</v>
      </c>
    </row>
    <row r="723" spans="1:23" x14ac:dyDescent="0.25">
      <c r="A723" s="348" t="s">
        <v>1650</v>
      </c>
      <c r="B723" s="379">
        <v>87</v>
      </c>
      <c r="C723" s="423">
        <v>45200</v>
      </c>
      <c r="D723" s="351">
        <v>44995</v>
      </c>
      <c r="E723" s="352">
        <v>4325</v>
      </c>
      <c r="F723" s="352">
        <v>6</v>
      </c>
      <c r="G723" s="428" t="s">
        <v>301</v>
      </c>
      <c r="H723" s="350" t="s">
        <v>1666</v>
      </c>
      <c r="I723" s="350" t="s">
        <v>393</v>
      </c>
      <c r="J723" s="556">
        <v>156703</v>
      </c>
      <c r="K723" s="353" t="s">
        <v>394</v>
      </c>
      <c r="L723" s="353">
        <v>2801.6</v>
      </c>
      <c r="M723" s="560">
        <f t="shared" si="33"/>
        <v>55.933395202741295</v>
      </c>
      <c r="N723" s="354" t="s">
        <v>395</v>
      </c>
      <c r="O723" s="354">
        <v>0</v>
      </c>
      <c r="P723" s="355" t="s">
        <v>396</v>
      </c>
      <c r="Q723" s="354" t="s">
        <v>345</v>
      </c>
      <c r="R723" s="377">
        <v>0</v>
      </c>
      <c r="S723" s="377">
        <v>0</v>
      </c>
      <c r="T723" s="377">
        <v>0</v>
      </c>
      <c r="U723" s="377">
        <v>0</v>
      </c>
      <c r="V723" s="377">
        <v>0</v>
      </c>
      <c r="W723" s="377">
        <v>0</v>
      </c>
    </row>
    <row r="724" spans="1:23" x14ac:dyDescent="0.25">
      <c r="A724" s="348" t="s">
        <v>1650</v>
      </c>
      <c r="B724" s="379">
        <v>87</v>
      </c>
      <c r="C724" s="423">
        <v>45200</v>
      </c>
      <c r="D724" s="351">
        <v>44995</v>
      </c>
      <c r="E724" s="352">
        <v>4325</v>
      </c>
      <c r="F724" s="352">
        <v>6</v>
      </c>
      <c r="G724" s="428" t="s">
        <v>302</v>
      </c>
      <c r="H724" s="350" t="s">
        <v>1667</v>
      </c>
      <c r="I724" s="350" t="s">
        <v>393</v>
      </c>
      <c r="J724" s="556">
        <v>4286</v>
      </c>
      <c r="K724" s="353" t="s">
        <v>394</v>
      </c>
      <c r="L724" s="353">
        <v>2801.6</v>
      </c>
      <c r="M724" s="560">
        <f t="shared" si="33"/>
        <v>1.5298400913763563</v>
      </c>
      <c r="N724" s="354" t="s">
        <v>395</v>
      </c>
      <c r="O724" s="354">
        <v>0</v>
      </c>
      <c r="P724" s="355" t="s">
        <v>396</v>
      </c>
      <c r="Q724" s="354" t="s">
        <v>345</v>
      </c>
      <c r="R724" s="377">
        <v>0</v>
      </c>
      <c r="S724" s="377">
        <v>0</v>
      </c>
      <c r="T724" s="377">
        <v>0</v>
      </c>
      <c r="U724" s="377">
        <v>0</v>
      </c>
      <c r="V724" s="377">
        <v>0</v>
      </c>
      <c r="W724" s="377">
        <v>0</v>
      </c>
    </row>
    <row r="725" spans="1:23" x14ac:dyDescent="0.25">
      <c r="A725" s="348" t="s">
        <v>1651</v>
      </c>
      <c r="B725" s="379">
        <v>87</v>
      </c>
      <c r="C725" s="423">
        <v>45200</v>
      </c>
      <c r="D725" s="351">
        <v>44995</v>
      </c>
      <c r="E725" s="352">
        <v>6341</v>
      </c>
      <c r="F725" s="352">
        <v>6</v>
      </c>
      <c r="G725" s="428" t="s">
        <v>325</v>
      </c>
      <c r="H725" s="350" t="s">
        <v>1159</v>
      </c>
      <c r="I725" s="350" t="s">
        <v>393</v>
      </c>
      <c r="J725" s="556">
        <v>1500</v>
      </c>
      <c r="K725" s="353" t="s">
        <v>394</v>
      </c>
      <c r="L725" s="353">
        <v>2801.6</v>
      </c>
      <c r="M725" s="560">
        <f t="shared" si="33"/>
        <v>0.53540833809251853</v>
      </c>
      <c r="N725" s="354" t="s">
        <v>395</v>
      </c>
      <c r="O725" s="354">
        <v>0</v>
      </c>
      <c r="P725" s="355" t="s">
        <v>396</v>
      </c>
      <c r="Q725" s="354" t="s">
        <v>345</v>
      </c>
      <c r="R725" s="377">
        <v>0</v>
      </c>
      <c r="S725" s="377">
        <v>0</v>
      </c>
      <c r="T725" s="377">
        <v>0</v>
      </c>
      <c r="U725" s="377">
        <v>0</v>
      </c>
      <c r="V725" s="377">
        <v>0</v>
      </c>
      <c r="W725" s="377">
        <v>0</v>
      </c>
    </row>
    <row r="726" spans="1:23" x14ac:dyDescent="0.25">
      <c r="A726" s="348" t="s">
        <v>1652</v>
      </c>
      <c r="B726" s="379">
        <v>88</v>
      </c>
      <c r="C726" s="423">
        <v>45200</v>
      </c>
      <c r="D726" s="427" t="s">
        <v>1653</v>
      </c>
      <c r="E726" s="352">
        <v>6176</v>
      </c>
      <c r="F726" s="352">
        <v>6</v>
      </c>
      <c r="G726" s="428" t="s">
        <v>324</v>
      </c>
      <c r="H726" s="350" t="s">
        <v>1109</v>
      </c>
      <c r="I726" s="350" t="s">
        <v>393</v>
      </c>
      <c r="J726" s="556">
        <v>90000</v>
      </c>
      <c r="K726" s="353" t="s">
        <v>394</v>
      </c>
      <c r="L726" s="353">
        <v>2801.6</v>
      </c>
      <c r="M726" s="560">
        <f t="shared" si="33"/>
        <v>32.124500285551115</v>
      </c>
      <c r="N726" s="354" t="s">
        <v>395</v>
      </c>
      <c r="O726" s="354">
        <v>0</v>
      </c>
      <c r="P726" s="355" t="s">
        <v>396</v>
      </c>
      <c r="Q726" s="354" t="s">
        <v>345</v>
      </c>
      <c r="R726" s="377">
        <v>0</v>
      </c>
      <c r="S726" s="377">
        <v>0</v>
      </c>
      <c r="T726" s="377">
        <v>0</v>
      </c>
      <c r="U726" s="377">
        <v>0</v>
      </c>
      <c r="V726" s="377">
        <v>0</v>
      </c>
      <c r="W726" s="377">
        <v>0</v>
      </c>
    </row>
    <row r="727" spans="1:23" x14ac:dyDescent="0.25">
      <c r="A727" s="348" t="s">
        <v>1652</v>
      </c>
      <c r="B727" s="379">
        <v>88</v>
      </c>
      <c r="C727" s="423">
        <v>45200</v>
      </c>
      <c r="D727" s="427" t="s">
        <v>1653</v>
      </c>
      <c r="E727" s="352">
        <v>6176</v>
      </c>
      <c r="F727" s="352">
        <v>6</v>
      </c>
      <c r="G727" s="428" t="s">
        <v>328</v>
      </c>
      <c r="H727" s="350" t="s">
        <v>1108</v>
      </c>
      <c r="I727" s="350" t="s">
        <v>393</v>
      </c>
      <c r="J727" s="556">
        <v>27000</v>
      </c>
      <c r="K727" s="353" t="s">
        <v>394</v>
      </c>
      <c r="L727" s="353">
        <v>2801.6</v>
      </c>
      <c r="M727" s="560">
        <f t="shared" si="33"/>
        <v>9.637350085665334</v>
      </c>
      <c r="N727" s="354" t="s">
        <v>395</v>
      </c>
      <c r="O727" s="354">
        <v>0</v>
      </c>
      <c r="P727" s="355" t="s">
        <v>396</v>
      </c>
      <c r="Q727" s="354" t="s">
        <v>345</v>
      </c>
      <c r="R727" s="377">
        <v>0</v>
      </c>
      <c r="S727" s="377">
        <v>0</v>
      </c>
      <c r="T727" s="377">
        <v>0</v>
      </c>
      <c r="U727" s="377">
        <v>0</v>
      </c>
      <c r="V727" s="377">
        <v>0</v>
      </c>
      <c r="W727" s="377">
        <v>0</v>
      </c>
    </row>
    <row r="728" spans="1:23" x14ac:dyDescent="0.25">
      <c r="A728" s="348" t="s">
        <v>1654</v>
      </c>
      <c r="B728" s="379">
        <v>89</v>
      </c>
      <c r="C728" s="423">
        <v>45200</v>
      </c>
      <c r="D728" s="427" t="s">
        <v>1653</v>
      </c>
      <c r="E728" s="352">
        <v>6176</v>
      </c>
      <c r="F728" s="352">
        <v>6</v>
      </c>
      <c r="G728" s="428" t="s">
        <v>1075</v>
      </c>
      <c r="H728" s="350" t="s">
        <v>1076</v>
      </c>
      <c r="I728" s="350" t="s">
        <v>393</v>
      </c>
      <c r="J728" s="556">
        <v>230000</v>
      </c>
      <c r="K728" s="353" t="s">
        <v>394</v>
      </c>
      <c r="L728" s="353">
        <v>2801.6</v>
      </c>
      <c r="M728" s="560">
        <f t="shared" si="33"/>
        <v>82.095945174186184</v>
      </c>
      <c r="N728" s="354" t="s">
        <v>395</v>
      </c>
      <c r="O728" s="354">
        <v>0</v>
      </c>
      <c r="P728" s="355" t="s">
        <v>396</v>
      </c>
      <c r="Q728" s="354" t="s">
        <v>345</v>
      </c>
      <c r="R728" s="377">
        <v>0</v>
      </c>
      <c r="S728" s="377">
        <v>0</v>
      </c>
      <c r="T728" s="377">
        <v>0</v>
      </c>
      <c r="U728" s="377">
        <v>0</v>
      </c>
      <c r="V728" s="377">
        <v>0</v>
      </c>
      <c r="W728" s="377">
        <v>0</v>
      </c>
    </row>
    <row r="729" spans="1:23" x14ac:dyDescent="0.25">
      <c r="A729" s="348" t="s">
        <v>1655</v>
      </c>
      <c r="B729" s="379">
        <v>90</v>
      </c>
      <c r="C729" s="423">
        <v>45200</v>
      </c>
      <c r="D729" s="427" t="s">
        <v>1653</v>
      </c>
      <c r="E729" s="352">
        <v>6176</v>
      </c>
      <c r="F729" s="352">
        <v>6</v>
      </c>
      <c r="G729" s="428" t="s">
        <v>325</v>
      </c>
      <c r="H729" s="350" t="s">
        <v>326</v>
      </c>
      <c r="I729" s="350" t="s">
        <v>393</v>
      </c>
      <c r="J729" s="556">
        <v>98000</v>
      </c>
      <c r="K729" s="353" t="s">
        <v>394</v>
      </c>
      <c r="L729" s="353">
        <v>2801.6</v>
      </c>
      <c r="M729" s="560">
        <f t="shared" si="33"/>
        <v>34.980011422044548</v>
      </c>
      <c r="N729" s="354" t="s">
        <v>395</v>
      </c>
      <c r="O729" s="354">
        <v>0</v>
      </c>
      <c r="P729" s="355" t="s">
        <v>396</v>
      </c>
      <c r="Q729" s="354" t="s">
        <v>345</v>
      </c>
      <c r="R729" s="377">
        <v>0</v>
      </c>
      <c r="S729" s="377">
        <v>0</v>
      </c>
      <c r="T729" s="377">
        <v>0</v>
      </c>
      <c r="U729" s="377">
        <v>0</v>
      </c>
      <c r="V729" s="377">
        <v>0</v>
      </c>
      <c r="W729" s="377">
        <v>0</v>
      </c>
    </row>
    <row r="730" spans="1:23" x14ac:dyDescent="0.25">
      <c r="A730" s="348" t="s">
        <v>1656</v>
      </c>
      <c r="B730" s="379">
        <v>91</v>
      </c>
      <c r="C730" s="423">
        <v>45200</v>
      </c>
      <c r="D730" s="427" t="s">
        <v>1657</v>
      </c>
      <c r="E730" s="352">
        <v>421</v>
      </c>
      <c r="F730" s="352">
        <v>6</v>
      </c>
      <c r="G730" s="428" t="s">
        <v>300</v>
      </c>
      <c r="H730" s="353" t="s">
        <v>1768</v>
      </c>
      <c r="I730" s="350" t="s">
        <v>393</v>
      </c>
      <c r="J730" s="556">
        <v>295714</v>
      </c>
      <c r="K730" s="353" t="s">
        <v>394</v>
      </c>
      <c r="L730" s="353">
        <v>2801.6</v>
      </c>
      <c r="M730" s="560">
        <f t="shared" si="33"/>
        <v>105.55182752712736</v>
      </c>
      <c r="N730" s="354" t="s">
        <v>395</v>
      </c>
      <c r="O730" s="354">
        <v>0</v>
      </c>
      <c r="P730" s="355" t="s">
        <v>396</v>
      </c>
      <c r="Q730" s="354" t="s">
        <v>345</v>
      </c>
      <c r="R730" s="377">
        <v>0</v>
      </c>
      <c r="S730" s="377">
        <v>0</v>
      </c>
      <c r="T730" s="377">
        <v>0</v>
      </c>
      <c r="U730" s="377">
        <v>0</v>
      </c>
      <c r="V730" s="377">
        <v>0</v>
      </c>
      <c r="W730" s="377">
        <v>0</v>
      </c>
    </row>
    <row r="731" spans="1:23" x14ac:dyDescent="0.25">
      <c r="A731" s="348" t="s">
        <v>1656</v>
      </c>
      <c r="B731" s="379">
        <v>91</v>
      </c>
      <c r="C731" s="423">
        <v>45200</v>
      </c>
      <c r="D731" s="427" t="s">
        <v>1657</v>
      </c>
      <c r="E731" s="352">
        <v>421</v>
      </c>
      <c r="F731" s="352">
        <v>6</v>
      </c>
      <c r="G731" s="428" t="s">
        <v>301</v>
      </c>
      <c r="H731" s="353" t="s">
        <v>1769</v>
      </c>
      <c r="I731" s="350" t="s">
        <v>393</v>
      </c>
      <c r="J731" s="556">
        <v>1265383</v>
      </c>
      <c r="K731" s="353" t="s">
        <v>394</v>
      </c>
      <c r="L731" s="353">
        <v>2801.6</v>
      </c>
      <c r="M731" s="560">
        <f t="shared" si="33"/>
        <v>451.66440605368365</v>
      </c>
      <c r="N731" s="354" t="s">
        <v>395</v>
      </c>
      <c r="O731" s="354">
        <v>0</v>
      </c>
      <c r="P731" s="355" t="s">
        <v>396</v>
      </c>
      <c r="Q731" s="354" t="s">
        <v>345</v>
      </c>
      <c r="R731" s="377">
        <v>0</v>
      </c>
      <c r="S731" s="377">
        <v>0</v>
      </c>
      <c r="T731" s="377">
        <v>0</v>
      </c>
      <c r="U731" s="377">
        <v>0</v>
      </c>
      <c r="V731" s="377">
        <v>0</v>
      </c>
      <c r="W731" s="377">
        <v>0</v>
      </c>
    </row>
    <row r="732" spans="1:23" x14ac:dyDescent="0.25">
      <c r="A732" s="348" t="s">
        <v>1656</v>
      </c>
      <c r="B732" s="379">
        <v>91</v>
      </c>
      <c r="C732" s="423">
        <v>45200</v>
      </c>
      <c r="D732" s="427" t="s">
        <v>1657</v>
      </c>
      <c r="E732" s="352">
        <v>421</v>
      </c>
      <c r="F732" s="352">
        <v>6</v>
      </c>
      <c r="G732" s="428" t="s">
        <v>302</v>
      </c>
      <c r="H732" s="353" t="s">
        <v>1668</v>
      </c>
      <c r="I732" s="350" t="s">
        <v>393</v>
      </c>
      <c r="J732" s="556">
        <v>295714</v>
      </c>
      <c r="K732" s="353" t="s">
        <v>394</v>
      </c>
      <c r="L732" s="353">
        <v>2801.6</v>
      </c>
      <c r="M732" s="560">
        <f t="shared" si="33"/>
        <v>105.55182752712736</v>
      </c>
      <c r="N732" s="354" t="s">
        <v>395</v>
      </c>
      <c r="O732" s="354">
        <v>0</v>
      </c>
      <c r="P732" s="355" t="s">
        <v>396</v>
      </c>
      <c r="Q732" s="354" t="s">
        <v>345</v>
      </c>
      <c r="R732" s="377">
        <v>0</v>
      </c>
      <c r="S732" s="377">
        <v>0</v>
      </c>
      <c r="T732" s="377">
        <v>0</v>
      </c>
      <c r="U732" s="377">
        <v>0</v>
      </c>
      <c r="V732" s="377">
        <v>0</v>
      </c>
      <c r="W732" s="377">
        <v>0</v>
      </c>
    </row>
    <row r="733" spans="1:23" x14ac:dyDescent="0.25">
      <c r="A733" s="348" t="s">
        <v>1658</v>
      </c>
      <c r="B733" s="379">
        <v>91</v>
      </c>
      <c r="C733" s="423">
        <v>45200</v>
      </c>
      <c r="D733" s="427" t="s">
        <v>1657</v>
      </c>
      <c r="E733" s="352">
        <v>421</v>
      </c>
      <c r="F733" s="352">
        <v>6</v>
      </c>
      <c r="G733" s="428" t="s">
        <v>303</v>
      </c>
      <c r="H733" s="350" t="s">
        <v>1669</v>
      </c>
      <c r="I733" s="350" t="s">
        <v>393</v>
      </c>
      <c r="J733" s="556">
        <v>70816</v>
      </c>
      <c r="K733" s="353" t="s">
        <v>394</v>
      </c>
      <c r="L733" s="353">
        <v>2801.6</v>
      </c>
      <c r="M733" s="560">
        <f t="shared" si="33"/>
        <v>25.276984580239862</v>
      </c>
      <c r="N733" s="354" t="s">
        <v>395</v>
      </c>
      <c r="O733" s="354">
        <v>0</v>
      </c>
      <c r="P733" s="355" t="s">
        <v>396</v>
      </c>
      <c r="Q733" s="354" t="s">
        <v>345</v>
      </c>
      <c r="R733" s="377">
        <v>0</v>
      </c>
      <c r="S733" s="377">
        <v>0</v>
      </c>
      <c r="T733" s="377">
        <v>0</v>
      </c>
      <c r="U733" s="377">
        <v>0</v>
      </c>
      <c r="V733" s="377">
        <v>0</v>
      </c>
      <c r="W733" s="377">
        <v>0</v>
      </c>
    </row>
    <row r="734" spans="1:23" x14ac:dyDescent="0.25">
      <c r="A734" s="348" t="s">
        <v>1656</v>
      </c>
      <c r="B734" s="379">
        <v>91</v>
      </c>
      <c r="C734" s="423">
        <v>45200</v>
      </c>
      <c r="D734" s="427" t="s">
        <v>1657</v>
      </c>
      <c r="E734" s="352">
        <v>421</v>
      </c>
      <c r="F734" s="352">
        <v>6</v>
      </c>
      <c r="G734" s="428" t="s">
        <v>304</v>
      </c>
      <c r="H734" s="353" t="s">
        <v>1670</v>
      </c>
      <c r="I734" s="350" t="s">
        <v>393</v>
      </c>
      <c r="J734" s="556">
        <v>124808</v>
      </c>
      <c r="K734" s="353" t="s">
        <v>394</v>
      </c>
      <c r="L734" s="353">
        <v>2801.6</v>
      </c>
      <c r="M734" s="560">
        <f t="shared" si="33"/>
        <v>44.548829240434038</v>
      </c>
      <c r="N734" s="354" t="s">
        <v>395</v>
      </c>
      <c r="O734" s="354">
        <v>0</v>
      </c>
      <c r="P734" s="355" t="s">
        <v>396</v>
      </c>
      <c r="Q734" s="354" t="s">
        <v>345</v>
      </c>
      <c r="R734" s="377">
        <v>0</v>
      </c>
      <c r="S734" s="377">
        <v>0</v>
      </c>
      <c r="T734" s="377">
        <v>0</v>
      </c>
      <c r="U734" s="377">
        <v>0</v>
      </c>
      <c r="V734" s="377">
        <v>0</v>
      </c>
      <c r="W734" s="377">
        <v>0</v>
      </c>
    </row>
    <row r="735" spans="1:23" x14ac:dyDescent="0.25">
      <c r="A735" s="348" t="s">
        <v>1658</v>
      </c>
      <c r="B735" s="379">
        <v>91</v>
      </c>
      <c r="C735" s="423">
        <v>45200</v>
      </c>
      <c r="D735" s="427" t="s">
        <v>1657</v>
      </c>
      <c r="E735" s="352">
        <v>421</v>
      </c>
      <c r="F735" s="352">
        <v>6</v>
      </c>
      <c r="G735" s="428" t="s">
        <v>305</v>
      </c>
      <c r="H735" s="353" t="s">
        <v>1671</v>
      </c>
      <c r="I735" s="350" t="s">
        <v>393</v>
      </c>
      <c r="J735" s="556">
        <v>133675</v>
      </c>
      <c r="K735" s="353" t="s">
        <v>394</v>
      </c>
      <c r="L735" s="353">
        <v>2801.6</v>
      </c>
      <c r="M735" s="560">
        <f t="shared" si="33"/>
        <v>47.71380639634495</v>
      </c>
      <c r="N735" s="354" t="s">
        <v>395</v>
      </c>
      <c r="O735" s="354">
        <v>0</v>
      </c>
      <c r="P735" s="355" t="s">
        <v>396</v>
      </c>
      <c r="Q735" s="354" t="s">
        <v>345</v>
      </c>
      <c r="R735" s="377">
        <v>0</v>
      </c>
      <c r="S735" s="377">
        <v>0</v>
      </c>
      <c r="T735" s="377">
        <v>0</v>
      </c>
      <c r="U735" s="377">
        <v>0</v>
      </c>
      <c r="V735" s="377">
        <v>0</v>
      </c>
      <c r="W735" s="377">
        <v>0</v>
      </c>
    </row>
    <row r="736" spans="1:23" x14ac:dyDescent="0.25">
      <c r="A736" s="348" t="s">
        <v>1658</v>
      </c>
      <c r="B736" s="379">
        <v>91</v>
      </c>
      <c r="C736" s="423">
        <v>45200</v>
      </c>
      <c r="D736" s="427" t="s">
        <v>1657</v>
      </c>
      <c r="E736" s="352">
        <v>421</v>
      </c>
      <c r="F736" s="352">
        <v>6</v>
      </c>
      <c r="G736" s="428" t="s">
        <v>323</v>
      </c>
      <c r="H736" s="350" t="s">
        <v>1672</v>
      </c>
      <c r="I736" s="350" t="s">
        <v>393</v>
      </c>
      <c r="J736" s="556">
        <v>26422</v>
      </c>
      <c r="K736" s="353" t="s">
        <v>394</v>
      </c>
      <c r="L736" s="353">
        <v>2801.6</v>
      </c>
      <c r="M736" s="560">
        <f t="shared" si="33"/>
        <v>9.4310394060536833</v>
      </c>
      <c r="N736" s="354" t="s">
        <v>395</v>
      </c>
      <c r="O736" s="354">
        <v>0</v>
      </c>
      <c r="P736" s="355" t="s">
        <v>396</v>
      </c>
      <c r="Q736" s="354" t="s">
        <v>345</v>
      </c>
      <c r="R736" s="377">
        <v>0</v>
      </c>
      <c r="S736" s="377">
        <v>0</v>
      </c>
      <c r="T736" s="377">
        <v>0</v>
      </c>
      <c r="U736" s="377">
        <v>0</v>
      </c>
      <c r="V736" s="377">
        <v>0</v>
      </c>
      <c r="W736" s="377">
        <v>0</v>
      </c>
    </row>
    <row r="737" spans="1:23" x14ac:dyDescent="0.25">
      <c r="A737" s="348" t="s">
        <v>1656</v>
      </c>
      <c r="B737" s="379">
        <v>91</v>
      </c>
      <c r="C737" s="423">
        <v>45200</v>
      </c>
      <c r="D737" s="427" t="s">
        <v>1657</v>
      </c>
      <c r="E737" s="352">
        <v>421</v>
      </c>
      <c r="F737" s="352">
        <v>6</v>
      </c>
      <c r="G737" s="428" t="s">
        <v>1128</v>
      </c>
      <c r="H737" s="350" t="s">
        <v>1673</v>
      </c>
      <c r="I737" s="350" t="s">
        <v>393</v>
      </c>
      <c r="J737" s="556">
        <v>150000</v>
      </c>
      <c r="K737" s="353" t="s">
        <v>394</v>
      </c>
      <c r="L737" s="353">
        <v>2801.6</v>
      </c>
      <c r="M737" s="560">
        <f t="shared" si="33"/>
        <v>53.540833809251858</v>
      </c>
      <c r="N737" s="354" t="s">
        <v>395</v>
      </c>
      <c r="O737" s="354">
        <v>0</v>
      </c>
      <c r="P737" s="355" t="s">
        <v>396</v>
      </c>
      <c r="Q737" s="354" t="s">
        <v>345</v>
      </c>
      <c r="R737" s="377">
        <v>0</v>
      </c>
      <c r="S737" s="377">
        <v>0</v>
      </c>
      <c r="T737" s="377">
        <v>0</v>
      </c>
      <c r="U737" s="377">
        <v>0</v>
      </c>
      <c r="V737" s="377">
        <v>0</v>
      </c>
      <c r="W737" s="377">
        <v>0</v>
      </c>
    </row>
    <row r="738" spans="1:23" x14ac:dyDescent="0.25">
      <c r="A738" s="348" t="s">
        <v>1659</v>
      </c>
      <c r="B738" s="379">
        <v>92</v>
      </c>
      <c r="C738" s="423">
        <v>45200</v>
      </c>
      <c r="D738" s="427" t="s">
        <v>1657</v>
      </c>
      <c r="E738" s="352">
        <v>6311</v>
      </c>
      <c r="F738" s="352">
        <v>6</v>
      </c>
      <c r="G738" s="428" t="s">
        <v>322</v>
      </c>
      <c r="H738" s="350" t="s">
        <v>1674</v>
      </c>
      <c r="I738" s="350" t="s">
        <v>393</v>
      </c>
      <c r="J738" s="556">
        <v>150000</v>
      </c>
      <c r="K738" s="353" t="s">
        <v>394</v>
      </c>
      <c r="L738" s="353">
        <v>2801.6</v>
      </c>
      <c r="M738" s="560">
        <f t="shared" si="33"/>
        <v>53.540833809251858</v>
      </c>
      <c r="N738" s="354" t="s">
        <v>395</v>
      </c>
      <c r="O738" s="354">
        <v>0</v>
      </c>
      <c r="P738" s="355" t="s">
        <v>396</v>
      </c>
      <c r="Q738" s="354" t="s">
        <v>345</v>
      </c>
      <c r="R738" s="377">
        <v>0</v>
      </c>
      <c r="S738" s="377">
        <v>0</v>
      </c>
      <c r="T738" s="377">
        <v>0</v>
      </c>
      <c r="U738" s="377">
        <v>0</v>
      </c>
      <c r="V738" s="377">
        <v>0</v>
      </c>
      <c r="W738" s="377">
        <v>0</v>
      </c>
    </row>
    <row r="739" spans="1:23" x14ac:dyDescent="0.25">
      <c r="A739" s="348" t="s">
        <v>1660</v>
      </c>
      <c r="B739" s="379">
        <v>93</v>
      </c>
      <c r="C739" s="423">
        <v>45200</v>
      </c>
      <c r="D739" s="427" t="s">
        <v>1661</v>
      </c>
      <c r="E739" s="352">
        <v>6171</v>
      </c>
      <c r="F739" s="352">
        <v>6</v>
      </c>
      <c r="G739" s="428" t="s">
        <v>327</v>
      </c>
      <c r="H739" s="350" t="s">
        <v>333</v>
      </c>
      <c r="I739" s="350" t="s">
        <v>393</v>
      </c>
      <c r="J739" s="556">
        <v>45000</v>
      </c>
      <c r="K739" s="353" t="s">
        <v>394</v>
      </c>
      <c r="L739" s="353">
        <v>2801.6</v>
      </c>
      <c r="M739" s="560">
        <f t="shared" si="33"/>
        <v>16.062250142775557</v>
      </c>
      <c r="N739" s="354" t="s">
        <v>395</v>
      </c>
      <c r="O739" s="354">
        <v>0</v>
      </c>
      <c r="P739" s="355" t="s">
        <v>396</v>
      </c>
      <c r="Q739" s="354" t="s">
        <v>345</v>
      </c>
      <c r="R739" s="377">
        <v>0</v>
      </c>
      <c r="S739" s="377">
        <v>0</v>
      </c>
      <c r="T739" s="377">
        <v>0</v>
      </c>
      <c r="U739" s="377">
        <v>0</v>
      </c>
      <c r="V739" s="377">
        <v>0</v>
      </c>
      <c r="W739" s="377">
        <v>0</v>
      </c>
    </row>
    <row r="740" spans="1:23" x14ac:dyDescent="0.25">
      <c r="A740" s="353" t="s">
        <v>1662</v>
      </c>
      <c r="B740" s="377">
        <v>87</v>
      </c>
      <c r="C740" s="423">
        <v>45200</v>
      </c>
      <c r="D740" s="429" t="s">
        <v>1661</v>
      </c>
      <c r="E740" s="353">
        <v>6341</v>
      </c>
      <c r="F740" s="352">
        <v>6</v>
      </c>
      <c r="G740" s="353" t="s">
        <v>325</v>
      </c>
      <c r="H740" s="353" t="s">
        <v>1675</v>
      </c>
      <c r="I740" s="353" t="s">
        <v>393</v>
      </c>
      <c r="J740" s="620">
        <v>3750</v>
      </c>
      <c r="K740" s="353" t="s">
        <v>394</v>
      </c>
      <c r="L740" s="353">
        <v>2801.6</v>
      </c>
      <c r="M740" s="560">
        <f t="shared" si="33"/>
        <v>1.3385208452312964</v>
      </c>
      <c r="N740" s="354" t="s">
        <v>395</v>
      </c>
      <c r="O740" s="354">
        <v>0</v>
      </c>
      <c r="P740" s="355" t="s">
        <v>396</v>
      </c>
      <c r="Q740" s="354" t="s">
        <v>345</v>
      </c>
      <c r="R740" s="377">
        <v>0</v>
      </c>
      <c r="S740" s="377">
        <v>0</v>
      </c>
      <c r="T740" s="377">
        <v>0</v>
      </c>
      <c r="U740" s="377">
        <v>0</v>
      </c>
      <c r="V740" s="377">
        <v>0</v>
      </c>
      <c r="W740" s="377">
        <v>0</v>
      </c>
    </row>
    <row r="741" spans="1:23" x14ac:dyDescent="0.25">
      <c r="A741" s="353" t="s">
        <v>1663</v>
      </c>
      <c r="B741" s="377">
        <v>87</v>
      </c>
      <c r="C741" s="423">
        <v>45200</v>
      </c>
      <c r="D741" s="429" t="s">
        <v>1664</v>
      </c>
      <c r="E741" s="353">
        <v>6341</v>
      </c>
      <c r="F741" s="352">
        <v>6</v>
      </c>
      <c r="G741" s="353" t="s">
        <v>325</v>
      </c>
      <c r="H741" s="353" t="s">
        <v>1675</v>
      </c>
      <c r="I741" s="353" t="s">
        <v>393</v>
      </c>
      <c r="J741" s="556">
        <v>6000</v>
      </c>
      <c r="K741" s="353" t="s">
        <v>394</v>
      </c>
      <c r="L741" s="353">
        <v>2801.6</v>
      </c>
      <c r="M741" s="560">
        <f t="shared" si="33"/>
        <v>2.1416333523700741</v>
      </c>
      <c r="N741" s="354" t="s">
        <v>395</v>
      </c>
      <c r="O741" s="354">
        <v>0</v>
      </c>
      <c r="P741" s="355" t="s">
        <v>396</v>
      </c>
      <c r="Q741" s="354" t="s">
        <v>345</v>
      </c>
      <c r="R741" s="377">
        <v>0</v>
      </c>
      <c r="S741" s="377">
        <v>0</v>
      </c>
      <c r="T741" s="377">
        <v>0</v>
      </c>
      <c r="U741" s="377">
        <v>0</v>
      </c>
      <c r="V741" s="377">
        <v>0</v>
      </c>
      <c r="W741" s="377">
        <v>0</v>
      </c>
    </row>
    <row r="742" spans="1:23" x14ac:dyDescent="0.25">
      <c r="A742" s="348" t="s">
        <v>457</v>
      </c>
      <c r="B742" s="349">
        <v>5723</v>
      </c>
      <c r="C742" s="352" t="s">
        <v>1733</v>
      </c>
      <c r="D742" s="351">
        <v>45230</v>
      </c>
      <c r="E742" s="352">
        <v>3600</v>
      </c>
      <c r="F742" s="352">
        <v>7</v>
      </c>
      <c r="H742" s="350" t="s">
        <v>1734</v>
      </c>
      <c r="I742" s="350" t="s">
        <v>393</v>
      </c>
      <c r="J742" s="354">
        <v>45000</v>
      </c>
      <c r="K742" s="350" t="s">
        <v>394</v>
      </c>
      <c r="L742" s="354">
        <v>2.8998300000000001E-4</v>
      </c>
      <c r="M742" s="354">
        <v>15.93</v>
      </c>
      <c r="N742" s="350" t="s">
        <v>395</v>
      </c>
      <c r="O742" s="354">
        <v>13.05</v>
      </c>
      <c r="P742" s="355" t="s">
        <v>396</v>
      </c>
      <c r="Q742" s="354" t="s">
        <v>404</v>
      </c>
      <c r="R742" s="355" t="s">
        <v>405</v>
      </c>
      <c r="S742" s="355">
        <v>0</v>
      </c>
      <c r="T742" s="350" t="s">
        <v>410</v>
      </c>
      <c r="U742" s="351">
        <v>45235</v>
      </c>
      <c r="V742" s="351">
        <v>45236</v>
      </c>
      <c r="W742" s="350" t="s">
        <v>407</v>
      </c>
    </row>
    <row r="743" spans="1:23" x14ac:dyDescent="0.25">
      <c r="A743" s="348" t="s">
        <v>1721</v>
      </c>
      <c r="B743" s="349">
        <v>5611</v>
      </c>
      <c r="C743" s="352" t="s">
        <v>1733</v>
      </c>
      <c r="D743" s="351">
        <v>45202</v>
      </c>
      <c r="E743" s="352">
        <v>3410</v>
      </c>
      <c r="F743" s="352">
        <v>7</v>
      </c>
      <c r="H743" s="350" t="s">
        <v>1735</v>
      </c>
      <c r="I743" s="350" t="s">
        <v>393</v>
      </c>
      <c r="J743" s="354">
        <v>200000</v>
      </c>
      <c r="K743" s="350" t="s">
        <v>394</v>
      </c>
      <c r="L743" s="354">
        <v>2.8998300000000001E-4</v>
      </c>
      <c r="M743" s="354">
        <v>70.8</v>
      </c>
      <c r="N743" s="350" t="s">
        <v>395</v>
      </c>
      <c r="O743" s="354">
        <v>58</v>
      </c>
      <c r="P743" s="355" t="s">
        <v>396</v>
      </c>
      <c r="Q743" s="354" t="s">
        <v>404</v>
      </c>
      <c r="R743" s="355" t="s">
        <v>405</v>
      </c>
      <c r="S743" s="355">
        <v>0</v>
      </c>
      <c r="T743" s="350" t="s">
        <v>410</v>
      </c>
      <c r="U743" s="351">
        <v>45234</v>
      </c>
      <c r="V743" s="351">
        <v>45236</v>
      </c>
      <c r="W743" s="350" t="s">
        <v>407</v>
      </c>
    </row>
    <row r="744" spans="1:23" x14ac:dyDescent="0.25">
      <c r="A744" s="348" t="s">
        <v>1722</v>
      </c>
      <c r="B744" s="349">
        <v>5756</v>
      </c>
      <c r="C744" s="352" t="s">
        <v>1733</v>
      </c>
      <c r="D744" s="351">
        <v>45226</v>
      </c>
      <c r="E744" s="352">
        <v>3350</v>
      </c>
      <c r="F744" s="352">
        <v>5</v>
      </c>
      <c r="H744" s="350" t="s">
        <v>1736</v>
      </c>
      <c r="I744" s="350" t="s">
        <v>393</v>
      </c>
      <c r="J744" s="354">
        <v>232600</v>
      </c>
      <c r="K744" s="350" t="s">
        <v>394</v>
      </c>
      <c r="L744" s="354">
        <v>2.8998300000000001E-4</v>
      </c>
      <c r="M744" s="354">
        <v>82.34</v>
      </c>
      <c r="N744" s="350" t="s">
        <v>395</v>
      </c>
      <c r="O744" s="354">
        <v>67.45</v>
      </c>
      <c r="P744" s="355" t="s">
        <v>396</v>
      </c>
      <c r="Q744" s="354" t="s">
        <v>404</v>
      </c>
      <c r="R744" s="355" t="s">
        <v>405</v>
      </c>
      <c r="S744" s="355">
        <v>0</v>
      </c>
      <c r="T744" s="350" t="s">
        <v>410</v>
      </c>
      <c r="U744" s="351">
        <v>45235</v>
      </c>
      <c r="V744" s="351">
        <v>45236</v>
      </c>
      <c r="W744" s="350" t="s">
        <v>407</v>
      </c>
    </row>
    <row r="745" spans="1:23" x14ac:dyDescent="0.25">
      <c r="A745" s="348" t="s">
        <v>1723</v>
      </c>
      <c r="B745" s="349">
        <v>5700</v>
      </c>
      <c r="C745" s="352" t="s">
        <v>1733</v>
      </c>
      <c r="D745" s="351">
        <v>45205</v>
      </c>
      <c r="E745" s="352">
        <v>3490</v>
      </c>
      <c r="F745" s="352">
        <v>7</v>
      </c>
      <c r="H745" s="350" t="s">
        <v>461</v>
      </c>
      <c r="I745" s="350" t="s">
        <v>393</v>
      </c>
      <c r="J745" s="354">
        <v>96500</v>
      </c>
      <c r="K745" s="350" t="s">
        <v>394</v>
      </c>
      <c r="L745" s="354">
        <v>2.8998300000000001E-4</v>
      </c>
      <c r="M745" s="354">
        <v>34.159999999999997</v>
      </c>
      <c r="N745" s="350" t="s">
        <v>395</v>
      </c>
      <c r="O745" s="354">
        <v>27.98</v>
      </c>
      <c r="P745" s="355" t="s">
        <v>396</v>
      </c>
      <c r="Q745" s="354" t="s">
        <v>404</v>
      </c>
      <c r="R745" s="355" t="s">
        <v>405</v>
      </c>
      <c r="S745" s="355">
        <v>0</v>
      </c>
      <c r="T745" s="350" t="s">
        <v>410</v>
      </c>
      <c r="U745" s="351">
        <v>45235</v>
      </c>
      <c r="V745" s="351">
        <v>45236</v>
      </c>
      <c r="W745" s="350" t="s">
        <v>407</v>
      </c>
    </row>
    <row r="746" spans="1:23" x14ac:dyDescent="0.25">
      <c r="A746" s="348" t="s">
        <v>1724</v>
      </c>
      <c r="B746" s="349">
        <v>5703</v>
      </c>
      <c r="C746" s="352" t="s">
        <v>1733</v>
      </c>
      <c r="D746" s="351">
        <v>45208</v>
      </c>
      <c r="E746" s="352">
        <v>3490</v>
      </c>
      <c r="F746" s="352">
        <v>7</v>
      </c>
      <c r="H746" s="350" t="s">
        <v>1478</v>
      </c>
      <c r="I746" s="350" t="s">
        <v>393</v>
      </c>
      <c r="J746" s="354">
        <v>50000</v>
      </c>
      <c r="K746" s="350" t="s">
        <v>394</v>
      </c>
      <c r="L746" s="354">
        <v>2.8998300000000001E-4</v>
      </c>
      <c r="M746" s="354">
        <v>17.7</v>
      </c>
      <c r="N746" s="350" t="s">
        <v>395</v>
      </c>
      <c r="O746" s="354">
        <v>14.5</v>
      </c>
      <c r="P746" s="355" t="s">
        <v>396</v>
      </c>
      <c r="Q746" s="354" t="s">
        <v>404</v>
      </c>
      <c r="R746" s="355" t="s">
        <v>405</v>
      </c>
      <c r="S746" s="355">
        <v>0</v>
      </c>
      <c r="T746" s="350" t="s">
        <v>410</v>
      </c>
      <c r="U746" s="351">
        <v>45235</v>
      </c>
      <c r="V746" s="351">
        <v>45236</v>
      </c>
      <c r="W746" s="350" t="s">
        <v>407</v>
      </c>
    </row>
    <row r="747" spans="1:23" x14ac:dyDescent="0.25">
      <c r="A747" s="348" t="s">
        <v>1725</v>
      </c>
      <c r="B747" s="349">
        <v>5705</v>
      </c>
      <c r="C747" s="352" t="s">
        <v>1733</v>
      </c>
      <c r="D747" s="351">
        <v>45211</v>
      </c>
      <c r="E747" s="352">
        <v>3490</v>
      </c>
      <c r="F747" s="352">
        <v>7</v>
      </c>
      <c r="H747" s="350" t="s">
        <v>1737</v>
      </c>
      <c r="I747" s="350" t="s">
        <v>393</v>
      </c>
      <c r="J747" s="354">
        <v>4000</v>
      </c>
      <c r="K747" s="350" t="s">
        <v>394</v>
      </c>
      <c r="L747" s="354">
        <v>2.8998300000000001E-4</v>
      </c>
      <c r="M747" s="354">
        <v>1.42</v>
      </c>
      <c r="N747" s="350" t="s">
        <v>395</v>
      </c>
      <c r="O747" s="354">
        <v>1.1599999999999999</v>
      </c>
      <c r="P747" s="355" t="s">
        <v>396</v>
      </c>
      <c r="Q747" s="354" t="s">
        <v>404</v>
      </c>
      <c r="R747" s="355" t="s">
        <v>405</v>
      </c>
      <c r="S747" s="355">
        <v>0</v>
      </c>
      <c r="T747" s="350" t="s">
        <v>410</v>
      </c>
      <c r="U747" s="351">
        <v>45235</v>
      </c>
      <c r="V747" s="351">
        <v>45236</v>
      </c>
      <c r="W747" s="350" t="s">
        <v>407</v>
      </c>
    </row>
    <row r="748" spans="1:23" x14ac:dyDescent="0.25">
      <c r="A748" s="348" t="s">
        <v>1726</v>
      </c>
      <c r="B748" s="349">
        <v>5709</v>
      </c>
      <c r="C748" s="352" t="s">
        <v>1733</v>
      </c>
      <c r="D748" s="351">
        <v>45216</v>
      </c>
      <c r="E748" s="352">
        <v>3490</v>
      </c>
      <c r="F748" s="352">
        <v>7</v>
      </c>
      <c r="H748" s="350" t="s">
        <v>1738</v>
      </c>
      <c r="I748" s="350" t="s">
        <v>393</v>
      </c>
      <c r="J748" s="354">
        <v>7000</v>
      </c>
      <c r="K748" s="350" t="s">
        <v>394</v>
      </c>
      <c r="L748" s="354">
        <v>2.8998300000000001E-4</v>
      </c>
      <c r="M748" s="354">
        <v>2.48</v>
      </c>
      <c r="N748" s="350" t="s">
        <v>395</v>
      </c>
      <c r="O748" s="354">
        <v>2.0299999999999998</v>
      </c>
      <c r="P748" s="355" t="s">
        <v>396</v>
      </c>
      <c r="Q748" s="354" t="s">
        <v>404</v>
      </c>
      <c r="R748" s="355" t="s">
        <v>405</v>
      </c>
      <c r="S748" s="355">
        <v>0</v>
      </c>
      <c r="T748" s="350" t="s">
        <v>410</v>
      </c>
      <c r="U748" s="351">
        <v>45235</v>
      </c>
      <c r="V748" s="351">
        <v>45236</v>
      </c>
      <c r="W748" s="350" t="s">
        <v>407</v>
      </c>
    </row>
    <row r="749" spans="1:23" x14ac:dyDescent="0.25">
      <c r="A749" s="348" t="s">
        <v>1727</v>
      </c>
      <c r="B749" s="349">
        <v>5713</v>
      </c>
      <c r="C749" s="352" t="s">
        <v>1733</v>
      </c>
      <c r="D749" s="351">
        <v>45222</v>
      </c>
      <c r="E749" s="352">
        <v>3340</v>
      </c>
      <c r="F749" s="352">
        <v>7</v>
      </c>
      <c r="H749" s="350" t="s">
        <v>1739</v>
      </c>
      <c r="I749" s="350" t="s">
        <v>393</v>
      </c>
      <c r="J749" s="354">
        <v>40000</v>
      </c>
      <c r="K749" s="350" t="s">
        <v>394</v>
      </c>
      <c r="L749" s="354">
        <v>2.8998300000000001E-4</v>
      </c>
      <c r="M749" s="354">
        <v>14.16</v>
      </c>
      <c r="N749" s="350" t="s">
        <v>395</v>
      </c>
      <c r="O749" s="354">
        <v>11.6</v>
      </c>
      <c r="P749" s="355" t="s">
        <v>396</v>
      </c>
      <c r="Q749" s="354" t="s">
        <v>404</v>
      </c>
      <c r="R749" s="355" t="s">
        <v>405</v>
      </c>
      <c r="S749" s="355">
        <v>0</v>
      </c>
      <c r="T749" s="350" t="s">
        <v>410</v>
      </c>
      <c r="U749" s="351">
        <v>45235</v>
      </c>
      <c r="V749" s="351">
        <v>45236</v>
      </c>
      <c r="W749" s="350" t="s">
        <v>407</v>
      </c>
    </row>
    <row r="750" spans="1:23" x14ac:dyDescent="0.25">
      <c r="A750" s="348" t="s">
        <v>1728</v>
      </c>
      <c r="B750" s="349">
        <v>5719</v>
      </c>
      <c r="C750" s="352" t="s">
        <v>1733</v>
      </c>
      <c r="D750" s="351">
        <v>45225</v>
      </c>
      <c r="E750" s="352">
        <v>3490</v>
      </c>
      <c r="F750" s="352">
        <v>7</v>
      </c>
      <c r="H750" s="350" t="s">
        <v>1740</v>
      </c>
      <c r="I750" s="350" t="s">
        <v>393</v>
      </c>
      <c r="J750" s="354">
        <v>30000</v>
      </c>
      <c r="K750" s="350" t="s">
        <v>394</v>
      </c>
      <c r="L750" s="354">
        <v>2.8998300000000001E-4</v>
      </c>
      <c r="M750" s="354">
        <v>10.62</v>
      </c>
      <c r="N750" s="350" t="s">
        <v>395</v>
      </c>
      <c r="O750" s="354">
        <v>8.6999999999999993</v>
      </c>
      <c r="P750" s="355" t="s">
        <v>396</v>
      </c>
      <c r="Q750" s="354" t="s">
        <v>404</v>
      </c>
      <c r="R750" s="355" t="s">
        <v>405</v>
      </c>
      <c r="S750" s="355">
        <v>0</v>
      </c>
      <c r="T750" s="350" t="s">
        <v>410</v>
      </c>
      <c r="U750" s="351">
        <v>45235</v>
      </c>
      <c r="V750" s="351">
        <v>45236</v>
      </c>
      <c r="W750" s="350" t="s">
        <v>407</v>
      </c>
    </row>
    <row r="751" spans="1:23" x14ac:dyDescent="0.25">
      <c r="A751" s="348" t="s">
        <v>1729</v>
      </c>
      <c r="B751" s="349">
        <v>5615</v>
      </c>
      <c r="C751" s="352" t="s">
        <v>1733</v>
      </c>
      <c r="D751" s="351">
        <v>45201</v>
      </c>
      <c r="E751" s="352">
        <v>3170</v>
      </c>
      <c r="F751" s="352">
        <v>1</v>
      </c>
      <c r="H751" s="350" t="s">
        <v>1741</v>
      </c>
      <c r="I751" s="350" t="s">
        <v>393</v>
      </c>
      <c r="J751" s="354">
        <v>1500000</v>
      </c>
      <c r="K751" s="350" t="s">
        <v>394</v>
      </c>
      <c r="L751" s="354">
        <v>2.8998300000000001E-4</v>
      </c>
      <c r="M751" s="354">
        <v>530.97</v>
      </c>
      <c r="N751" s="350" t="s">
        <v>395</v>
      </c>
      <c r="O751" s="354">
        <v>434.97</v>
      </c>
      <c r="P751" s="355" t="s">
        <v>396</v>
      </c>
      <c r="Q751" s="354" t="s">
        <v>404</v>
      </c>
      <c r="R751" s="355" t="s">
        <v>405</v>
      </c>
      <c r="S751" s="355">
        <v>0</v>
      </c>
      <c r="T751" s="350" t="s">
        <v>410</v>
      </c>
      <c r="U751" s="351">
        <v>45234</v>
      </c>
      <c r="V751" s="351">
        <v>45236</v>
      </c>
      <c r="W751" s="350" t="s">
        <v>407</v>
      </c>
    </row>
    <row r="752" spans="1:23" x14ac:dyDescent="0.25">
      <c r="A752" s="348" t="s">
        <v>1730</v>
      </c>
      <c r="B752" s="349">
        <v>5729</v>
      </c>
      <c r="C752" s="352" t="s">
        <v>1733</v>
      </c>
      <c r="D752" s="351">
        <v>45210</v>
      </c>
      <c r="E752" s="352">
        <v>3340</v>
      </c>
      <c r="F752" s="352">
        <v>5</v>
      </c>
      <c r="H752" s="350" t="s">
        <v>1742</v>
      </c>
      <c r="I752" s="350" t="s">
        <v>393</v>
      </c>
      <c r="J752" s="354">
        <v>214760</v>
      </c>
      <c r="K752" s="350" t="s">
        <v>394</v>
      </c>
      <c r="L752" s="354">
        <v>2.8998300000000001E-4</v>
      </c>
      <c r="M752" s="354">
        <v>76.02</v>
      </c>
      <c r="N752" s="350" t="s">
        <v>395</v>
      </c>
      <c r="O752" s="354">
        <v>62.28</v>
      </c>
      <c r="P752" s="355" t="s">
        <v>396</v>
      </c>
      <c r="Q752" s="354" t="s">
        <v>404</v>
      </c>
      <c r="R752" s="355" t="s">
        <v>405</v>
      </c>
      <c r="S752" s="355">
        <v>0</v>
      </c>
      <c r="T752" s="350" t="s">
        <v>410</v>
      </c>
      <c r="U752" s="351">
        <v>45235</v>
      </c>
      <c r="V752" s="351">
        <v>45236</v>
      </c>
      <c r="W752" s="350" t="s">
        <v>407</v>
      </c>
    </row>
    <row r="753" spans="1:23" x14ac:dyDescent="0.25">
      <c r="A753" s="348" t="s">
        <v>1731</v>
      </c>
      <c r="B753" s="349">
        <v>5619</v>
      </c>
      <c r="C753" s="352" t="s">
        <v>1733</v>
      </c>
      <c r="D753" s="351">
        <v>45222</v>
      </c>
      <c r="E753" s="352">
        <v>3400</v>
      </c>
      <c r="F753" s="352">
        <v>7</v>
      </c>
      <c r="H753" s="350" t="s">
        <v>1743</v>
      </c>
      <c r="I753" s="350" t="s">
        <v>393</v>
      </c>
      <c r="J753" s="354">
        <v>107000</v>
      </c>
      <c r="K753" s="350" t="s">
        <v>394</v>
      </c>
      <c r="L753" s="354">
        <v>2.8998300000000001E-4</v>
      </c>
      <c r="M753" s="354">
        <v>37.880000000000003</v>
      </c>
      <c r="N753" s="350" t="s">
        <v>395</v>
      </c>
      <c r="O753" s="354">
        <v>31.03</v>
      </c>
      <c r="P753" s="355" t="s">
        <v>396</v>
      </c>
      <c r="Q753" s="354" t="s">
        <v>404</v>
      </c>
      <c r="R753" s="355" t="s">
        <v>405</v>
      </c>
      <c r="S753" s="355">
        <v>0</v>
      </c>
      <c r="T753" s="350" t="s">
        <v>410</v>
      </c>
      <c r="U753" s="351">
        <v>45235</v>
      </c>
      <c r="V753" s="351">
        <v>45236</v>
      </c>
      <c r="W753" s="350" t="s">
        <v>407</v>
      </c>
    </row>
    <row r="754" spans="1:23" x14ac:dyDescent="0.25">
      <c r="A754" s="348" t="s">
        <v>1732</v>
      </c>
      <c r="B754" s="349">
        <v>5632</v>
      </c>
      <c r="C754" s="352" t="s">
        <v>1733</v>
      </c>
      <c r="D754" s="351">
        <v>45197</v>
      </c>
      <c r="E754" s="352">
        <v>3460</v>
      </c>
      <c r="F754" s="352">
        <v>3</v>
      </c>
      <c r="H754" s="350" t="s">
        <v>1744</v>
      </c>
      <c r="I754" s="350" t="s">
        <v>393</v>
      </c>
      <c r="J754" s="354">
        <v>400000</v>
      </c>
      <c r="K754" s="350" t="s">
        <v>394</v>
      </c>
      <c r="L754" s="354">
        <v>2.8998300000000001E-4</v>
      </c>
      <c r="M754" s="354">
        <v>141.59</v>
      </c>
      <c r="N754" s="350" t="s">
        <v>395</v>
      </c>
      <c r="O754" s="354">
        <v>115.99</v>
      </c>
      <c r="P754" s="355" t="s">
        <v>396</v>
      </c>
      <c r="Q754" s="354" t="s">
        <v>404</v>
      </c>
      <c r="R754" s="355" t="s">
        <v>405</v>
      </c>
      <c r="S754" s="355">
        <v>0</v>
      </c>
      <c r="T754" s="350" t="s">
        <v>410</v>
      </c>
      <c r="U754" s="351">
        <v>45235</v>
      </c>
      <c r="V754" s="351">
        <v>45236</v>
      </c>
      <c r="W754" s="350" t="s">
        <v>407</v>
      </c>
    </row>
    <row r="755" spans="1:23" x14ac:dyDescent="0.25">
      <c r="A755" s="348" t="s">
        <v>1732</v>
      </c>
      <c r="B755" s="349">
        <v>5632</v>
      </c>
      <c r="C755" s="352" t="s">
        <v>1733</v>
      </c>
      <c r="D755" s="351">
        <v>45197</v>
      </c>
      <c r="E755" s="352">
        <v>3460</v>
      </c>
      <c r="F755" s="352">
        <v>3</v>
      </c>
      <c r="H755" s="350" t="s">
        <v>1759</v>
      </c>
      <c r="I755" s="350" t="s">
        <v>393</v>
      </c>
      <c r="J755" s="354">
        <v>367000</v>
      </c>
      <c r="K755" s="350" t="s">
        <v>394</v>
      </c>
      <c r="L755" s="354">
        <v>2.8998300000000001E-4</v>
      </c>
      <c r="M755" s="354">
        <v>129.91</v>
      </c>
      <c r="N755" s="350" t="s">
        <v>395</v>
      </c>
      <c r="O755" s="354">
        <v>106.42</v>
      </c>
      <c r="P755" s="355" t="s">
        <v>396</v>
      </c>
      <c r="Q755" s="354" t="s">
        <v>404</v>
      </c>
      <c r="R755" s="355" t="s">
        <v>405</v>
      </c>
      <c r="S755" s="355">
        <v>0</v>
      </c>
      <c r="T755" s="350" t="s">
        <v>410</v>
      </c>
      <c r="U755" s="351">
        <v>45235</v>
      </c>
      <c r="V755" s="351">
        <v>45236</v>
      </c>
      <c r="W755" s="350" t="s">
        <v>407</v>
      </c>
    </row>
    <row r="756" spans="1:23" x14ac:dyDescent="0.25">
      <c r="A756" s="348" t="s">
        <v>1745</v>
      </c>
      <c r="B756" s="349">
        <v>5622</v>
      </c>
      <c r="C756" s="352" t="s">
        <v>1733</v>
      </c>
      <c r="D756" s="351">
        <v>45223</v>
      </c>
      <c r="E756" s="352">
        <v>3410</v>
      </c>
      <c r="F756" s="352">
        <v>7</v>
      </c>
      <c r="H756" s="350" t="s">
        <v>1749</v>
      </c>
      <c r="I756" s="350" t="s">
        <v>393</v>
      </c>
      <c r="J756" s="354">
        <v>50000</v>
      </c>
      <c r="K756" s="350" t="s">
        <v>394</v>
      </c>
      <c r="L756" s="354">
        <v>2.8998300000000001E-4</v>
      </c>
      <c r="M756" s="354">
        <v>17.7</v>
      </c>
      <c r="N756" s="350" t="s">
        <v>395</v>
      </c>
      <c r="O756" s="354">
        <v>14.5</v>
      </c>
      <c r="P756" s="355" t="s">
        <v>396</v>
      </c>
      <c r="Q756" s="354" t="s">
        <v>404</v>
      </c>
      <c r="R756" s="355" t="s">
        <v>405</v>
      </c>
      <c r="S756" s="355">
        <v>0</v>
      </c>
      <c r="T756" s="350" t="s">
        <v>410</v>
      </c>
      <c r="U756" s="351">
        <v>45235</v>
      </c>
      <c r="V756" s="351">
        <v>45236</v>
      </c>
      <c r="W756" s="350" t="s">
        <v>407</v>
      </c>
    </row>
    <row r="757" spans="1:23" x14ac:dyDescent="0.25">
      <c r="A757" s="348" t="s">
        <v>1746</v>
      </c>
      <c r="B757" s="349">
        <v>5617</v>
      </c>
      <c r="C757" s="352" t="s">
        <v>1733</v>
      </c>
      <c r="D757" s="351">
        <v>45203</v>
      </c>
      <c r="E757" s="352">
        <v>3490</v>
      </c>
      <c r="F757" s="352">
        <v>7</v>
      </c>
      <c r="H757" s="350" t="s">
        <v>461</v>
      </c>
      <c r="I757" s="350" t="s">
        <v>393</v>
      </c>
      <c r="J757" s="354">
        <v>200000</v>
      </c>
      <c r="K757" s="350" t="s">
        <v>394</v>
      </c>
      <c r="L757" s="354">
        <v>2.8998300000000001E-4</v>
      </c>
      <c r="M757" s="354">
        <v>70.8</v>
      </c>
      <c r="N757" s="350" t="s">
        <v>395</v>
      </c>
      <c r="O757" s="354">
        <v>58</v>
      </c>
      <c r="P757" s="355" t="s">
        <v>396</v>
      </c>
      <c r="Q757" s="354" t="s">
        <v>404</v>
      </c>
      <c r="R757" s="355" t="s">
        <v>405</v>
      </c>
      <c r="S757" s="355">
        <v>0</v>
      </c>
      <c r="T757" s="350" t="s">
        <v>410</v>
      </c>
      <c r="U757" s="351">
        <v>45234</v>
      </c>
      <c r="V757" s="351">
        <v>45236</v>
      </c>
      <c r="W757" s="350" t="s">
        <v>407</v>
      </c>
    </row>
    <row r="758" spans="1:23" x14ac:dyDescent="0.25">
      <c r="A758" s="348" t="s">
        <v>1747</v>
      </c>
      <c r="B758" s="349">
        <v>5734</v>
      </c>
      <c r="C758" s="352" t="s">
        <v>1733</v>
      </c>
      <c r="D758" s="351">
        <v>45209</v>
      </c>
      <c r="E758" s="352">
        <v>3420</v>
      </c>
      <c r="F758" s="352">
        <v>7</v>
      </c>
      <c r="H758" s="350" t="s">
        <v>1750</v>
      </c>
      <c r="I758" s="350" t="s">
        <v>393</v>
      </c>
      <c r="J758" s="354">
        <v>500000</v>
      </c>
      <c r="K758" s="350" t="s">
        <v>394</v>
      </c>
      <c r="L758" s="354">
        <v>2.8998300000000001E-4</v>
      </c>
      <c r="M758" s="354">
        <v>176.99</v>
      </c>
      <c r="N758" s="350" t="s">
        <v>395</v>
      </c>
      <c r="O758" s="354">
        <v>144.99</v>
      </c>
      <c r="P758" s="355" t="s">
        <v>396</v>
      </c>
      <c r="Q758" s="354" t="s">
        <v>404</v>
      </c>
      <c r="R758" s="355" t="s">
        <v>405</v>
      </c>
      <c r="S758" s="355">
        <v>0</v>
      </c>
      <c r="T758" s="350" t="s">
        <v>410</v>
      </c>
      <c r="U758" s="351">
        <v>45235</v>
      </c>
      <c r="V758" s="351">
        <v>45236</v>
      </c>
      <c r="W758" s="350" t="s">
        <v>407</v>
      </c>
    </row>
    <row r="759" spans="1:23" x14ac:dyDescent="0.25">
      <c r="A759" s="348" t="s">
        <v>1748</v>
      </c>
      <c r="B759" s="349">
        <v>5608</v>
      </c>
      <c r="C759" s="352" t="s">
        <v>1733</v>
      </c>
      <c r="D759" s="351">
        <v>45229</v>
      </c>
      <c r="E759" s="352">
        <v>3110</v>
      </c>
      <c r="F759" s="352">
        <v>1</v>
      </c>
      <c r="H759" s="350" t="s">
        <v>437</v>
      </c>
      <c r="I759" s="350" t="s">
        <v>393</v>
      </c>
      <c r="J759" s="354">
        <v>2043487.1</v>
      </c>
      <c r="K759" s="350" t="s">
        <v>394</v>
      </c>
      <c r="L759" s="354">
        <v>2.8998300000000001E-4</v>
      </c>
      <c r="M759" s="354">
        <v>723.36</v>
      </c>
      <c r="N759" s="350" t="s">
        <v>395</v>
      </c>
      <c r="O759" s="354">
        <v>613.04999999999995</v>
      </c>
      <c r="P759" s="355" t="s">
        <v>396</v>
      </c>
      <c r="Q759" s="354" t="s">
        <v>404</v>
      </c>
      <c r="R759" s="355" t="s">
        <v>405</v>
      </c>
      <c r="S759" s="355">
        <v>102955</v>
      </c>
      <c r="T759" s="350" t="s">
        <v>406</v>
      </c>
      <c r="U759" s="351">
        <v>45233</v>
      </c>
      <c r="V759" s="351">
        <v>45232</v>
      </c>
      <c r="W759" s="350" t="s">
        <v>407</v>
      </c>
    </row>
    <row r="760" spans="1:23" x14ac:dyDescent="0.25">
      <c r="A760" s="348" t="s">
        <v>1748</v>
      </c>
      <c r="B760" s="349">
        <v>5608</v>
      </c>
      <c r="C760" s="352" t="s">
        <v>1733</v>
      </c>
      <c r="D760" s="351">
        <v>45229</v>
      </c>
      <c r="E760" s="352">
        <v>3110</v>
      </c>
      <c r="F760" s="352">
        <v>1</v>
      </c>
      <c r="H760" s="350" t="s">
        <v>437</v>
      </c>
      <c r="I760" s="350" t="s">
        <v>393</v>
      </c>
      <c r="J760" s="354">
        <v>595528.80000000005</v>
      </c>
      <c r="K760" s="350" t="s">
        <v>394</v>
      </c>
      <c r="L760" s="354">
        <v>2.8998300000000001E-4</v>
      </c>
      <c r="M760" s="354">
        <v>210.81</v>
      </c>
      <c r="N760" s="350" t="s">
        <v>395</v>
      </c>
      <c r="O760" s="354">
        <v>178.66</v>
      </c>
      <c r="P760" s="355" t="s">
        <v>396</v>
      </c>
      <c r="Q760" s="354" t="s">
        <v>404</v>
      </c>
      <c r="R760" s="355" t="s">
        <v>405</v>
      </c>
      <c r="S760" s="355">
        <v>103265</v>
      </c>
      <c r="T760" s="350" t="s">
        <v>406</v>
      </c>
      <c r="U760" s="351">
        <v>45233</v>
      </c>
      <c r="V760" s="351">
        <v>45232</v>
      </c>
      <c r="W760" s="350" t="s">
        <v>407</v>
      </c>
    </row>
    <row r="761" spans="1:23" x14ac:dyDescent="0.25">
      <c r="A761" s="348" t="s">
        <v>1748</v>
      </c>
      <c r="B761" s="349">
        <v>5608</v>
      </c>
      <c r="C761" s="352" t="s">
        <v>1733</v>
      </c>
      <c r="D761" s="351">
        <v>45229</v>
      </c>
      <c r="E761" s="352">
        <v>3110</v>
      </c>
      <c r="F761" s="352">
        <v>1</v>
      </c>
      <c r="H761" s="350" t="s">
        <v>437</v>
      </c>
      <c r="I761" s="350" t="s">
        <v>393</v>
      </c>
      <c r="J761" s="354">
        <v>5592445</v>
      </c>
      <c r="K761" s="350" t="s">
        <v>394</v>
      </c>
      <c r="L761" s="354">
        <v>2.8998300000000001E-4</v>
      </c>
      <c r="M761" s="354">
        <v>1979.62</v>
      </c>
      <c r="N761" s="350" t="s">
        <v>395</v>
      </c>
      <c r="O761" s="354">
        <v>1677.73</v>
      </c>
      <c r="P761" s="355" t="s">
        <v>396</v>
      </c>
      <c r="Q761" s="354" t="s">
        <v>404</v>
      </c>
      <c r="R761" s="355" t="s">
        <v>405</v>
      </c>
      <c r="S761" s="355">
        <v>117871</v>
      </c>
      <c r="T761" s="350" t="s">
        <v>406</v>
      </c>
      <c r="U761" s="351">
        <v>45233</v>
      </c>
      <c r="V761" s="351">
        <v>45232</v>
      </c>
      <c r="W761" s="350" t="s">
        <v>407</v>
      </c>
    </row>
    <row r="762" spans="1:23" x14ac:dyDescent="0.25">
      <c r="A762" s="348" t="s">
        <v>1748</v>
      </c>
      <c r="B762" s="349">
        <v>5608</v>
      </c>
      <c r="C762" s="352" t="s">
        <v>1733</v>
      </c>
      <c r="D762" s="351">
        <v>45229</v>
      </c>
      <c r="E762" s="352">
        <v>3110</v>
      </c>
      <c r="F762" s="352">
        <v>1</v>
      </c>
      <c r="H762" s="350" t="s">
        <v>437</v>
      </c>
      <c r="I762" s="350" t="s">
        <v>393</v>
      </c>
      <c r="J762" s="354">
        <v>3083644.8</v>
      </c>
      <c r="K762" s="350" t="s">
        <v>394</v>
      </c>
      <c r="L762" s="354">
        <v>2.8998300000000001E-4</v>
      </c>
      <c r="M762" s="354">
        <v>1091.55</v>
      </c>
      <c r="N762" s="350" t="s">
        <v>395</v>
      </c>
      <c r="O762" s="354">
        <v>925.09</v>
      </c>
      <c r="P762" s="355" t="s">
        <v>396</v>
      </c>
      <c r="Q762" s="354" t="s">
        <v>404</v>
      </c>
      <c r="R762" s="355" t="s">
        <v>405</v>
      </c>
      <c r="S762" s="355">
        <v>103321</v>
      </c>
      <c r="T762" s="350" t="s">
        <v>406</v>
      </c>
      <c r="U762" s="351">
        <v>45233</v>
      </c>
      <c r="V762" s="351">
        <v>45232</v>
      </c>
      <c r="W762" s="350" t="s">
        <v>407</v>
      </c>
    </row>
    <row r="763" spans="1:23" x14ac:dyDescent="0.25">
      <c r="A763" s="348" t="s">
        <v>1748</v>
      </c>
      <c r="B763" s="349">
        <v>5608</v>
      </c>
      <c r="C763" s="352" t="s">
        <v>1733</v>
      </c>
      <c r="D763" s="351">
        <v>45229</v>
      </c>
      <c r="E763" s="352">
        <v>3110</v>
      </c>
      <c r="F763" s="352">
        <v>1</v>
      </c>
      <c r="H763" s="350" t="s">
        <v>437</v>
      </c>
      <c r="I763" s="350" t="s">
        <v>393</v>
      </c>
      <c r="J763" s="354">
        <v>598983.6</v>
      </c>
      <c r="K763" s="350" t="s">
        <v>394</v>
      </c>
      <c r="L763" s="354">
        <v>2.8998300000000001E-4</v>
      </c>
      <c r="M763" s="354">
        <v>212.03</v>
      </c>
      <c r="N763" s="350" t="s">
        <v>395</v>
      </c>
      <c r="O763" s="354">
        <v>179.7</v>
      </c>
      <c r="P763" s="355" t="s">
        <v>396</v>
      </c>
      <c r="Q763" s="354" t="s">
        <v>404</v>
      </c>
      <c r="R763" s="355" t="s">
        <v>405</v>
      </c>
      <c r="S763" s="355">
        <v>117427</v>
      </c>
      <c r="T763" s="350" t="s">
        <v>406</v>
      </c>
      <c r="U763" s="351">
        <v>45233</v>
      </c>
      <c r="V763" s="351">
        <v>45232</v>
      </c>
      <c r="W763" s="350" t="s">
        <v>407</v>
      </c>
    </row>
    <row r="764" spans="1:23" x14ac:dyDescent="0.25">
      <c r="A764" s="348" t="s">
        <v>1748</v>
      </c>
      <c r="B764" s="349">
        <v>5608</v>
      </c>
      <c r="C764" s="352" t="s">
        <v>1733</v>
      </c>
      <c r="D764" s="351">
        <v>45229</v>
      </c>
      <c r="E764" s="352">
        <v>3110</v>
      </c>
      <c r="F764" s="352">
        <v>1</v>
      </c>
      <c r="H764" s="350" t="s">
        <v>437</v>
      </c>
      <c r="I764" s="350" t="s">
        <v>393</v>
      </c>
      <c r="J764" s="354">
        <v>3194579.2</v>
      </c>
      <c r="K764" s="350" t="s">
        <v>394</v>
      </c>
      <c r="L764" s="354">
        <v>2.8998300000000001E-4</v>
      </c>
      <c r="M764" s="354">
        <v>1130.82</v>
      </c>
      <c r="N764" s="350" t="s">
        <v>395</v>
      </c>
      <c r="O764" s="354">
        <v>958.37</v>
      </c>
      <c r="P764" s="355" t="s">
        <v>396</v>
      </c>
      <c r="Q764" s="354" t="s">
        <v>404</v>
      </c>
      <c r="R764" s="355" t="s">
        <v>405</v>
      </c>
      <c r="S764" s="355">
        <v>117872</v>
      </c>
      <c r="T764" s="350" t="s">
        <v>406</v>
      </c>
      <c r="U764" s="351">
        <v>45233</v>
      </c>
      <c r="V764" s="351">
        <v>45232</v>
      </c>
      <c r="W764" s="350" t="s">
        <v>407</v>
      </c>
    </row>
    <row r="765" spans="1:23" x14ac:dyDescent="0.25">
      <c r="A765" s="348" t="s">
        <v>1748</v>
      </c>
      <c r="B765" s="349">
        <v>5608</v>
      </c>
      <c r="C765" s="352" t="s">
        <v>1733</v>
      </c>
      <c r="D765" s="351">
        <v>45229</v>
      </c>
      <c r="E765" s="352">
        <v>3110</v>
      </c>
      <c r="F765" s="352">
        <v>1</v>
      </c>
      <c r="H765" s="350" t="s">
        <v>437</v>
      </c>
      <c r="I765" s="350" t="s">
        <v>393</v>
      </c>
      <c r="J765" s="354">
        <v>802216.5</v>
      </c>
      <c r="K765" s="350" t="s">
        <v>394</v>
      </c>
      <c r="L765" s="354">
        <v>2.8998300000000001E-4</v>
      </c>
      <c r="M765" s="354">
        <v>283.97000000000003</v>
      </c>
      <c r="N765" s="350" t="s">
        <v>395</v>
      </c>
      <c r="O765" s="354">
        <v>240.66</v>
      </c>
      <c r="P765" s="355" t="s">
        <v>396</v>
      </c>
      <c r="Q765" s="354" t="s">
        <v>404</v>
      </c>
      <c r="R765" s="355" t="s">
        <v>405</v>
      </c>
      <c r="S765" s="355">
        <v>103328</v>
      </c>
      <c r="T765" s="350" t="s">
        <v>406</v>
      </c>
      <c r="U765" s="351">
        <v>45233</v>
      </c>
      <c r="V765" s="351">
        <v>45232</v>
      </c>
      <c r="W765" s="350" t="s">
        <v>407</v>
      </c>
    </row>
    <row r="766" spans="1:23" x14ac:dyDescent="0.25">
      <c r="A766" s="348" t="s">
        <v>1748</v>
      </c>
      <c r="B766" s="349">
        <v>5608</v>
      </c>
      <c r="C766" s="352" t="s">
        <v>1733</v>
      </c>
      <c r="D766" s="351">
        <v>45229</v>
      </c>
      <c r="E766" s="352">
        <v>3110</v>
      </c>
      <c r="F766" s="352">
        <v>1</v>
      </c>
      <c r="H766" s="350" t="s">
        <v>437</v>
      </c>
      <c r="I766" s="350" t="s">
        <v>393</v>
      </c>
      <c r="J766" s="354">
        <v>684495.7</v>
      </c>
      <c r="K766" s="350" t="s">
        <v>394</v>
      </c>
      <c r="L766" s="354">
        <v>2.8998300000000001E-4</v>
      </c>
      <c r="M766" s="354">
        <v>242.3</v>
      </c>
      <c r="N766" s="350" t="s">
        <v>395</v>
      </c>
      <c r="O766" s="354">
        <v>205.35</v>
      </c>
      <c r="P766" s="355" t="s">
        <v>396</v>
      </c>
      <c r="Q766" s="354" t="s">
        <v>404</v>
      </c>
      <c r="R766" s="355" t="s">
        <v>405</v>
      </c>
      <c r="S766" s="355">
        <v>117293</v>
      </c>
      <c r="T766" s="350" t="s">
        <v>406</v>
      </c>
      <c r="U766" s="351">
        <v>45233</v>
      </c>
      <c r="V766" s="351">
        <v>45232</v>
      </c>
      <c r="W766" s="350" t="s">
        <v>407</v>
      </c>
    </row>
    <row r="767" spans="1:23" x14ac:dyDescent="0.25">
      <c r="A767" s="348" t="s">
        <v>1748</v>
      </c>
      <c r="B767" s="349">
        <v>5608</v>
      </c>
      <c r="C767" s="352" t="s">
        <v>1733</v>
      </c>
      <c r="D767" s="351">
        <v>45229</v>
      </c>
      <c r="E767" s="352">
        <v>3120</v>
      </c>
      <c r="F767" s="352">
        <v>1</v>
      </c>
      <c r="H767" s="350" t="s">
        <v>438</v>
      </c>
      <c r="I767" s="350" t="s">
        <v>393</v>
      </c>
      <c r="J767" s="354">
        <v>4410</v>
      </c>
      <c r="K767" s="350" t="s">
        <v>394</v>
      </c>
      <c r="L767" s="354">
        <v>2.8998300000000001E-4</v>
      </c>
      <c r="M767" s="354">
        <v>1.56</v>
      </c>
      <c r="N767" s="350" t="s">
        <v>395</v>
      </c>
      <c r="O767" s="354">
        <v>1.32</v>
      </c>
      <c r="P767" s="355" t="s">
        <v>396</v>
      </c>
      <c r="Q767" s="354" t="s">
        <v>404</v>
      </c>
      <c r="R767" s="355" t="s">
        <v>405</v>
      </c>
      <c r="S767" s="355">
        <v>103265</v>
      </c>
      <c r="T767" s="350" t="s">
        <v>406</v>
      </c>
      <c r="U767" s="351">
        <v>45233</v>
      </c>
      <c r="V767" s="351">
        <v>45232</v>
      </c>
      <c r="W767" s="350" t="s">
        <v>407</v>
      </c>
    </row>
    <row r="768" spans="1:23" x14ac:dyDescent="0.25">
      <c r="A768" s="348" t="s">
        <v>1748</v>
      </c>
      <c r="B768" s="349">
        <v>5608</v>
      </c>
      <c r="C768" s="352" t="s">
        <v>1733</v>
      </c>
      <c r="D768" s="351">
        <v>45229</v>
      </c>
      <c r="E768" s="352">
        <v>3120</v>
      </c>
      <c r="F768" s="352">
        <v>1</v>
      </c>
      <c r="H768" s="350" t="s">
        <v>438</v>
      </c>
      <c r="I768" s="350" t="s">
        <v>393</v>
      </c>
      <c r="J768" s="354">
        <v>29400</v>
      </c>
      <c r="K768" s="350" t="s">
        <v>394</v>
      </c>
      <c r="L768" s="354">
        <v>2.8998300000000001E-4</v>
      </c>
      <c r="M768" s="354">
        <v>10.41</v>
      </c>
      <c r="N768" s="350" t="s">
        <v>395</v>
      </c>
      <c r="O768" s="354">
        <v>8.82</v>
      </c>
      <c r="P768" s="355" t="s">
        <v>396</v>
      </c>
      <c r="Q768" s="354" t="s">
        <v>404</v>
      </c>
      <c r="R768" s="355" t="s">
        <v>405</v>
      </c>
      <c r="S768" s="355">
        <v>117871</v>
      </c>
      <c r="T768" s="350" t="s">
        <v>406</v>
      </c>
      <c r="U768" s="351">
        <v>45233</v>
      </c>
      <c r="V768" s="351">
        <v>45232</v>
      </c>
      <c r="W768" s="350" t="s">
        <v>407</v>
      </c>
    </row>
    <row r="769" spans="1:23" x14ac:dyDescent="0.25">
      <c r="A769" s="348" t="s">
        <v>1748</v>
      </c>
      <c r="B769" s="349">
        <v>5608</v>
      </c>
      <c r="C769" s="352" t="s">
        <v>1733</v>
      </c>
      <c r="D769" s="351">
        <v>45229</v>
      </c>
      <c r="E769" s="352">
        <v>3120</v>
      </c>
      <c r="F769" s="352">
        <v>1</v>
      </c>
      <c r="G769" s="352"/>
      <c r="H769" s="350" t="s">
        <v>438</v>
      </c>
      <c r="I769" s="350" t="s">
        <v>393</v>
      </c>
      <c r="J769" s="354">
        <v>23520</v>
      </c>
      <c r="K769" s="350" t="s">
        <v>394</v>
      </c>
      <c r="L769" s="354">
        <v>2.8998300000000001E-4</v>
      </c>
      <c r="M769" s="354">
        <v>8.33</v>
      </c>
      <c r="N769" s="350" t="s">
        <v>395</v>
      </c>
      <c r="O769" s="354">
        <v>7.06</v>
      </c>
      <c r="P769" s="355" t="s">
        <v>396</v>
      </c>
      <c r="Q769" s="354" t="s">
        <v>404</v>
      </c>
      <c r="R769" s="355" t="s">
        <v>405</v>
      </c>
      <c r="S769" s="355">
        <v>103321</v>
      </c>
      <c r="T769" s="350" t="s">
        <v>406</v>
      </c>
      <c r="U769" s="351">
        <v>45233</v>
      </c>
      <c r="V769" s="351">
        <v>45232</v>
      </c>
      <c r="W769" s="350" t="s">
        <v>407</v>
      </c>
    </row>
    <row r="770" spans="1:23" x14ac:dyDescent="0.25">
      <c r="A770" s="348" t="s">
        <v>1748</v>
      </c>
      <c r="B770" s="349">
        <v>5608</v>
      </c>
      <c r="C770" s="352" t="s">
        <v>1733</v>
      </c>
      <c r="D770" s="351">
        <v>45229</v>
      </c>
      <c r="E770" s="352">
        <v>3120</v>
      </c>
      <c r="F770" s="352">
        <v>1</v>
      </c>
      <c r="G770" s="351"/>
      <c r="H770" s="350" t="s">
        <v>438</v>
      </c>
      <c r="I770" s="350" t="s">
        <v>393</v>
      </c>
      <c r="J770" s="354">
        <v>4410</v>
      </c>
      <c r="K770" s="350" t="s">
        <v>394</v>
      </c>
      <c r="L770" s="354">
        <v>2.8998300000000001E-4</v>
      </c>
      <c r="M770" s="354">
        <v>1.56</v>
      </c>
      <c r="N770" s="350" t="s">
        <v>395</v>
      </c>
      <c r="O770" s="354">
        <v>1.32</v>
      </c>
      <c r="P770" s="355" t="s">
        <v>396</v>
      </c>
      <c r="Q770" s="354" t="s">
        <v>404</v>
      </c>
      <c r="R770" s="355" t="s">
        <v>405</v>
      </c>
      <c r="S770" s="355">
        <v>117427</v>
      </c>
      <c r="T770" s="350" t="s">
        <v>406</v>
      </c>
      <c r="U770" s="351">
        <v>45233</v>
      </c>
      <c r="V770" s="351">
        <v>45232</v>
      </c>
      <c r="W770" s="350" t="s">
        <v>407</v>
      </c>
    </row>
    <row r="771" spans="1:23" x14ac:dyDescent="0.25">
      <c r="A771" s="348" t="s">
        <v>1748</v>
      </c>
      <c r="B771" s="349">
        <v>5608</v>
      </c>
      <c r="C771" s="352" t="s">
        <v>1733</v>
      </c>
      <c r="D771" s="351">
        <v>45229</v>
      </c>
      <c r="E771" s="352">
        <v>3120</v>
      </c>
      <c r="F771" s="352">
        <v>1</v>
      </c>
      <c r="G771" s="351"/>
      <c r="H771" s="350" t="s">
        <v>438</v>
      </c>
      <c r="I771" s="350" t="s">
        <v>393</v>
      </c>
      <c r="J771" s="354">
        <v>23520</v>
      </c>
      <c r="K771" s="350" t="s">
        <v>394</v>
      </c>
      <c r="L771" s="354">
        <v>2.8998300000000001E-4</v>
      </c>
      <c r="M771" s="354">
        <v>8.33</v>
      </c>
      <c r="N771" s="350" t="s">
        <v>395</v>
      </c>
      <c r="O771" s="354">
        <v>7.06</v>
      </c>
      <c r="P771" s="355" t="s">
        <v>396</v>
      </c>
      <c r="Q771" s="354" t="s">
        <v>404</v>
      </c>
      <c r="R771" s="355" t="s">
        <v>405</v>
      </c>
      <c r="S771" s="355">
        <v>117872</v>
      </c>
      <c r="T771" s="350" t="s">
        <v>406</v>
      </c>
      <c r="U771" s="351">
        <v>45233</v>
      </c>
      <c r="V771" s="351">
        <v>45232</v>
      </c>
      <c r="W771" s="350" t="s">
        <v>407</v>
      </c>
    </row>
    <row r="772" spans="1:23" x14ac:dyDescent="0.25">
      <c r="A772" s="348" t="s">
        <v>1748</v>
      </c>
      <c r="B772" s="349">
        <v>5608</v>
      </c>
      <c r="C772" s="352" t="s">
        <v>1733</v>
      </c>
      <c r="D772" s="351">
        <v>45229</v>
      </c>
      <c r="E772" s="352">
        <v>3120</v>
      </c>
      <c r="F772" s="352">
        <v>1</v>
      </c>
      <c r="G772" s="351"/>
      <c r="H772" s="350" t="s">
        <v>438</v>
      </c>
      <c r="I772" s="350" t="s">
        <v>393</v>
      </c>
      <c r="J772" s="354">
        <v>14700</v>
      </c>
      <c r="K772" s="350" t="s">
        <v>394</v>
      </c>
      <c r="L772" s="354">
        <v>2.8998300000000001E-4</v>
      </c>
      <c r="M772" s="354">
        <v>5.2</v>
      </c>
      <c r="N772" s="350" t="s">
        <v>395</v>
      </c>
      <c r="O772" s="354">
        <v>4.41</v>
      </c>
      <c r="P772" s="355" t="s">
        <v>396</v>
      </c>
      <c r="Q772" s="354" t="s">
        <v>404</v>
      </c>
      <c r="R772" s="355" t="s">
        <v>405</v>
      </c>
      <c r="S772" s="355">
        <v>103328</v>
      </c>
      <c r="T772" s="350" t="s">
        <v>406</v>
      </c>
      <c r="U772" s="351">
        <v>45233</v>
      </c>
      <c r="V772" s="351">
        <v>45232</v>
      </c>
      <c r="W772" s="350" t="s">
        <v>407</v>
      </c>
    </row>
    <row r="773" spans="1:23" x14ac:dyDescent="0.25">
      <c r="A773" s="348" t="s">
        <v>1748</v>
      </c>
      <c r="B773" s="349">
        <v>5608</v>
      </c>
      <c r="C773" s="352" t="s">
        <v>1733</v>
      </c>
      <c r="D773" s="351">
        <v>45229</v>
      </c>
      <c r="E773" s="352">
        <v>3120</v>
      </c>
      <c r="F773" s="352">
        <v>1</v>
      </c>
      <c r="G773" s="351"/>
      <c r="H773" s="350" t="s">
        <v>438</v>
      </c>
      <c r="I773" s="350" t="s">
        <v>393</v>
      </c>
      <c r="J773" s="354">
        <v>2940</v>
      </c>
      <c r="K773" s="350" t="s">
        <v>394</v>
      </c>
      <c r="L773" s="354">
        <v>2.8998300000000001E-4</v>
      </c>
      <c r="M773" s="354">
        <v>1.04</v>
      </c>
      <c r="N773" s="350" t="s">
        <v>395</v>
      </c>
      <c r="O773" s="354">
        <v>0.88</v>
      </c>
      <c r="P773" s="355" t="s">
        <v>396</v>
      </c>
      <c r="Q773" s="354" t="s">
        <v>404</v>
      </c>
      <c r="R773" s="355" t="s">
        <v>405</v>
      </c>
      <c r="S773" s="355">
        <v>117293</v>
      </c>
      <c r="T773" s="350" t="s">
        <v>406</v>
      </c>
      <c r="U773" s="351">
        <v>45233</v>
      </c>
      <c r="V773" s="351">
        <v>45232</v>
      </c>
      <c r="W773" s="350" t="s">
        <v>407</v>
      </c>
    </row>
    <row r="774" spans="1:23" x14ac:dyDescent="0.25">
      <c r="A774" s="348" t="s">
        <v>1748</v>
      </c>
      <c r="B774" s="349">
        <v>5608</v>
      </c>
      <c r="C774" s="352" t="s">
        <v>1733</v>
      </c>
      <c r="D774" s="351">
        <v>45229</v>
      </c>
      <c r="E774" s="352">
        <v>3130</v>
      </c>
      <c r="F774" s="352">
        <v>1</v>
      </c>
      <c r="G774" s="351"/>
      <c r="H774" s="350" t="s">
        <v>439</v>
      </c>
      <c r="I774" s="350" t="s">
        <v>393</v>
      </c>
      <c r="J774" s="354">
        <v>204348.7</v>
      </c>
      <c r="K774" s="350" t="s">
        <v>394</v>
      </c>
      <c r="L774" s="354">
        <v>2.8998300000000001E-4</v>
      </c>
      <c r="M774" s="354">
        <v>72.34</v>
      </c>
      <c r="N774" s="350" t="s">
        <v>395</v>
      </c>
      <c r="O774" s="354">
        <v>61.3</v>
      </c>
      <c r="P774" s="355" t="s">
        <v>396</v>
      </c>
      <c r="Q774" s="354" t="s">
        <v>404</v>
      </c>
      <c r="R774" s="355" t="s">
        <v>405</v>
      </c>
      <c r="S774" s="355">
        <v>102955</v>
      </c>
      <c r="T774" s="350" t="s">
        <v>406</v>
      </c>
      <c r="U774" s="351">
        <v>45233</v>
      </c>
      <c r="V774" s="351">
        <v>45232</v>
      </c>
      <c r="W774" s="350" t="s">
        <v>407</v>
      </c>
    </row>
    <row r="775" spans="1:23" x14ac:dyDescent="0.25">
      <c r="A775" s="348" t="s">
        <v>1748</v>
      </c>
      <c r="B775" s="349">
        <v>5608</v>
      </c>
      <c r="C775" s="352" t="s">
        <v>1733</v>
      </c>
      <c r="D775" s="351">
        <v>45229</v>
      </c>
      <c r="E775" s="352">
        <v>3130</v>
      </c>
      <c r="F775" s="352">
        <v>1</v>
      </c>
      <c r="G775" s="351"/>
      <c r="H775" s="350" t="s">
        <v>439</v>
      </c>
      <c r="I775" s="350" t="s">
        <v>393</v>
      </c>
      <c r="J775" s="354">
        <v>55502.85</v>
      </c>
      <c r="K775" s="350" t="s">
        <v>394</v>
      </c>
      <c r="L775" s="354">
        <v>2.8998300000000001E-4</v>
      </c>
      <c r="M775" s="354">
        <v>19.649999999999999</v>
      </c>
      <c r="N775" s="350" t="s">
        <v>395</v>
      </c>
      <c r="O775" s="354">
        <v>16.649999999999999</v>
      </c>
      <c r="P775" s="355" t="s">
        <v>396</v>
      </c>
      <c r="Q775" s="354" t="s">
        <v>404</v>
      </c>
      <c r="R775" s="355" t="s">
        <v>405</v>
      </c>
      <c r="S775" s="355">
        <v>103265</v>
      </c>
      <c r="T775" s="350" t="s">
        <v>406</v>
      </c>
      <c r="U775" s="351">
        <v>45233</v>
      </c>
      <c r="V775" s="351">
        <v>45232</v>
      </c>
      <c r="W775" s="350" t="s">
        <v>407</v>
      </c>
    </row>
    <row r="776" spans="1:23" x14ac:dyDescent="0.25">
      <c r="A776" s="348" t="s">
        <v>1748</v>
      </c>
      <c r="B776" s="349">
        <v>5608</v>
      </c>
      <c r="C776" s="352" t="s">
        <v>1733</v>
      </c>
      <c r="D776" s="351">
        <v>45229</v>
      </c>
      <c r="E776" s="352">
        <v>3130</v>
      </c>
      <c r="F776" s="352">
        <v>1</v>
      </c>
      <c r="G776" s="351"/>
      <c r="H776" s="350" t="s">
        <v>439</v>
      </c>
      <c r="I776" s="350" t="s">
        <v>393</v>
      </c>
      <c r="J776" s="354">
        <v>532244</v>
      </c>
      <c r="K776" s="350" t="s">
        <v>394</v>
      </c>
      <c r="L776" s="354">
        <v>2.8998300000000001E-4</v>
      </c>
      <c r="M776" s="354">
        <v>188.4</v>
      </c>
      <c r="N776" s="350" t="s">
        <v>395</v>
      </c>
      <c r="O776" s="354">
        <v>159.66999999999999</v>
      </c>
      <c r="P776" s="355" t="s">
        <v>396</v>
      </c>
      <c r="Q776" s="354" t="s">
        <v>404</v>
      </c>
      <c r="R776" s="355" t="s">
        <v>405</v>
      </c>
      <c r="S776" s="355">
        <v>117871</v>
      </c>
      <c r="T776" s="350" t="s">
        <v>406</v>
      </c>
      <c r="U776" s="351">
        <v>45233</v>
      </c>
      <c r="V776" s="351">
        <v>45232</v>
      </c>
      <c r="W776" s="350" t="s">
        <v>407</v>
      </c>
    </row>
    <row r="777" spans="1:23" x14ac:dyDescent="0.25">
      <c r="A777" s="348" t="s">
        <v>1748</v>
      </c>
      <c r="B777" s="349">
        <v>5608</v>
      </c>
      <c r="C777" s="352" t="s">
        <v>1733</v>
      </c>
      <c r="D777" s="351">
        <v>45229</v>
      </c>
      <c r="E777" s="352">
        <v>3130</v>
      </c>
      <c r="F777" s="352">
        <v>1</v>
      </c>
      <c r="G777" s="351"/>
      <c r="H777" s="350" t="s">
        <v>439</v>
      </c>
      <c r="I777" s="350" t="s">
        <v>393</v>
      </c>
      <c r="J777" s="354">
        <v>286764.79999999999</v>
      </c>
      <c r="K777" s="350" t="s">
        <v>394</v>
      </c>
      <c r="L777" s="354">
        <v>2.8998300000000001E-4</v>
      </c>
      <c r="M777" s="354">
        <v>101.51</v>
      </c>
      <c r="N777" s="350" t="s">
        <v>395</v>
      </c>
      <c r="O777" s="354">
        <v>86.03</v>
      </c>
      <c r="P777" s="355" t="s">
        <v>396</v>
      </c>
      <c r="Q777" s="354" t="s">
        <v>404</v>
      </c>
      <c r="R777" s="355" t="s">
        <v>405</v>
      </c>
      <c r="S777" s="355">
        <v>103321</v>
      </c>
      <c r="T777" s="350" t="s">
        <v>406</v>
      </c>
      <c r="U777" s="351">
        <v>45233</v>
      </c>
      <c r="V777" s="351">
        <v>45232</v>
      </c>
      <c r="W777" s="350" t="s">
        <v>407</v>
      </c>
    </row>
    <row r="778" spans="1:23" x14ac:dyDescent="0.25">
      <c r="A778" s="348" t="s">
        <v>1748</v>
      </c>
      <c r="B778" s="349">
        <v>5608</v>
      </c>
      <c r="C778" s="352" t="s">
        <v>1733</v>
      </c>
      <c r="D778" s="351">
        <v>45229</v>
      </c>
      <c r="E778" s="352">
        <v>3130</v>
      </c>
      <c r="F778" s="352">
        <v>1</v>
      </c>
      <c r="G778" s="351"/>
      <c r="H778" s="350" t="s">
        <v>439</v>
      </c>
      <c r="I778" s="350" t="s">
        <v>393</v>
      </c>
      <c r="J778" s="354">
        <v>55848.3</v>
      </c>
      <c r="K778" s="350" t="s">
        <v>394</v>
      </c>
      <c r="L778" s="354">
        <v>2.8998300000000001E-4</v>
      </c>
      <c r="M778" s="354">
        <v>19.77</v>
      </c>
      <c r="N778" s="350" t="s">
        <v>395</v>
      </c>
      <c r="O778" s="354">
        <v>16.75</v>
      </c>
      <c r="P778" s="355" t="s">
        <v>396</v>
      </c>
      <c r="Q778" s="354" t="s">
        <v>404</v>
      </c>
      <c r="R778" s="355" t="s">
        <v>405</v>
      </c>
      <c r="S778" s="355">
        <v>117427</v>
      </c>
      <c r="T778" s="350" t="s">
        <v>406</v>
      </c>
      <c r="U778" s="351">
        <v>45233</v>
      </c>
      <c r="V778" s="351">
        <v>45232</v>
      </c>
      <c r="W778" s="350" t="s">
        <v>407</v>
      </c>
    </row>
    <row r="779" spans="1:23" x14ac:dyDescent="0.25">
      <c r="A779" s="348" t="s">
        <v>1748</v>
      </c>
      <c r="B779" s="349">
        <v>5608</v>
      </c>
      <c r="C779" s="352" t="s">
        <v>1733</v>
      </c>
      <c r="D779" s="351">
        <v>45229</v>
      </c>
      <c r="E779" s="352">
        <v>3130</v>
      </c>
      <c r="F779" s="352">
        <v>1</v>
      </c>
      <c r="G779" s="351"/>
      <c r="H779" s="350" t="s">
        <v>439</v>
      </c>
      <c r="I779" s="350" t="s">
        <v>393</v>
      </c>
      <c r="J779" s="354">
        <v>297857.59999999998</v>
      </c>
      <c r="K779" s="350" t="s">
        <v>394</v>
      </c>
      <c r="L779" s="354">
        <v>2.8998300000000001E-4</v>
      </c>
      <c r="M779" s="354">
        <v>105.44</v>
      </c>
      <c r="N779" s="350" t="s">
        <v>395</v>
      </c>
      <c r="O779" s="354">
        <v>89.36</v>
      </c>
      <c r="P779" s="355" t="s">
        <v>396</v>
      </c>
      <c r="Q779" s="354" t="s">
        <v>404</v>
      </c>
      <c r="R779" s="355" t="s">
        <v>405</v>
      </c>
      <c r="S779" s="355">
        <v>117872</v>
      </c>
      <c r="T779" s="350" t="s">
        <v>406</v>
      </c>
      <c r="U779" s="351">
        <v>45233</v>
      </c>
      <c r="V779" s="351">
        <v>45232</v>
      </c>
      <c r="W779" s="350" t="s">
        <v>407</v>
      </c>
    </row>
    <row r="780" spans="1:23" x14ac:dyDescent="0.25">
      <c r="A780" s="348" t="s">
        <v>1748</v>
      </c>
      <c r="B780" s="349">
        <v>5608</v>
      </c>
      <c r="C780" s="352" t="s">
        <v>1733</v>
      </c>
      <c r="D780" s="351">
        <v>45229</v>
      </c>
      <c r="E780" s="352">
        <v>3130</v>
      </c>
      <c r="F780" s="352">
        <v>1</v>
      </c>
      <c r="G780" s="351"/>
      <c r="H780" s="350" t="s">
        <v>439</v>
      </c>
      <c r="I780" s="350" t="s">
        <v>393</v>
      </c>
      <c r="J780" s="354">
        <v>66721.5</v>
      </c>
      <c r="K780" s="350" t="s">
        <v>394</v>
      </c>
      <c r="L780" s="354">
        <v>2.8998300000000001E-4</v>
      </c>
      <c r="M780" s="354">
        <v>23.62</v>
      </c>
      <c r="N780" s="350" t="s">
        <v>395</v>
      </c>
      <c r="O780" s="354">
        <v>20.02</v>
      </c>
      <c r="P780" s="355" t="s">
        <v>396</v>
      </c>
      <c r="Q780" s="354" t="s">
        <v>404</v>
      </c>
      <c r="R780" s="355" t="s">
        <v>405</v>
      </c>
      <c r="S780" s="355">
        <v>103328</v>
      </c>
      <c r="T780" s="350" t="s">
        <v>406</v>
      </c>
      <c r="U780" s="351">
        <v>45233</v>
      </c>
      <c r="V780" s="351">
        <v>45232</v>
      </c>
      <c r="W780" s="350" t="s">
        <v>407</v>
      </c>
    </row>
    <row r="781" spans="1:23" x14ac:dyDescent="0.25">
      <c r="A781" s="348" t="s">
        <v>1748</v>
      </c>
      <c r="B781" s="349">
        <v>5608</v>
      </c>
      <c r="C781" s="352" t="s">
        <v>1733</v>
      </c>
      <c r="D781" s="351">
        <v>45229</v>
      </c>
      <c r="E781" s="352">
        <v>3130</v>
      </c>
      <c r="F781" s="352">
        <v>1</v>
      </c>
      <c r="G781" s="351"/>
      <c r="H781" s="350" t="s">
        <v>439</v>
      </c>
      <c r="I781" s="350" t="s">
        <v>393</v>
      </c>
      <c r="J781" s="354">
        <v>65749.600000000006</v>
      </c>
      <c r="K781" s="350" t="s">
        <v>394</v>
      </c>
      <c r="L781" s="354">
        <v>2.8998300000000001E-4</v>
      </c>
      <c r="M781" s="354">
        <v>23.27</v>
      </c>
      <c r="N781" s="350" t="s">
        <v>395</v>
      </c>
      <c r="O781" s="354">
        <v>19.72</v>
      </c>
      <c r="P781" s="355" t="s">
        <v>396</v>
      </c>
      <c r="Q781" s="354" t="s">
        <v>404</v>
      </c>
      <c r="R781" s="355" t="s">
        <v>405</v>
      </c>
      <c r="S781" s="355">
        <v>117293</v>
      </c>
      <c r="T781" s="350" t="s">
        <v>406</v>
      </c>
      <c r="U781" s="351">
        <v>45233</v>
      </c>
      <c r="V781" s="351">
        <v>45232</v>
      </c>
      <c r="W781" s="350" t="s">
        <v>407</v>
      </c>
    </row>
    <row r="782" spans="1:23" x14ac:dyDescent="0.25">
      <c r="A782" s="348" t="s">
        <v>708</v>
      </c>
      <c r="B782" s="349">
        <v>22</v>
      </c>
      <c r="C782" s="380">
        <v>45078</v>
      </c>
      <c r="D782" s="351" t="s">
        <v>740</v>
      </c>
      <c r="F782" s="353">
        <v>6</v>
      </c>
      <c r="G782" s="353" t="s">
        <v>347</v>
      </c>
      <c r="H782" s="432" t="s">
        <v>709</v>
      </c>
      <c r="I782" s="350" t="s">
        <v>393</v>
      </c>
      <c r="J782" s="375">
        <v>1500000</v>
      </c>
      <c r="K782" s="350" t="s">
        <v>394</v>
      </c>
      <c r="L782" s="353">
        <v>2801.6</v>
      </c>
      <c r="M782" s="433">
        <f t="shared" ref="M782:M786" si="34">J782/L782</f>
        <v>535.40833809251853</v>
      </c>
      <c r="N782" s="354" t="s">
        <v>395</v>
      </c>
      <c r="O782" s="354">
        <v>0</v>
      </c>
      <c r="P782" s="355" t="s">
        <v>396</v>
      </c>
      <c r="Q782" s="353" t="s">
        <v>345</v>
      </c>
      <c r="R782" s="355">
        <v>0</v>
      </c>
      <c r="S782" s="355">
        <v>0</v>
      </c>
      <c r="T782" s="355">
        <v>0</v>
      </c>
      <c r="U782" s="355">
        <v>0</v>
      </c>
      <c r="V782" s="355">
        <v>0</v>
      </c>
      <c r="W782" s="355">
        <v>0</v>
      </c>
    </row>
    <row r="783" spans="1:23" x14ac:dyDescent="0.25">
      <c r="A783" s="348" t="s">
        <v>710</v>
      </c>
      <c r="B783" s="349">
        <v>23</v>
      </c>
      <c r="C783" s="380">
        <v>45078</v>
      </c>
      <c r="D783" s="434">
        <v>45103</v>
      </c>
      <c r="E783" s="352"/>
      <c r="F783" s="352">
        <v>6</v>
      </c>
      <c r="G783" s="353" t="s">
        <v>347</v>
      </c>
      <c r="H783" s="435" t="s">
        <v>349</v>
      </c>
      <c r="I783" s="350" t="s">
        <v>393</v>
      </c>
      <c r="J783" s="375">
        <v>180000</v>
      </c>
      <c r="K783" s="350" t="s">
        <v>394</v>
      </c>
      <c r="L783" s="353">
        <v>2801.6</v>
      </c>
      <c r="M783" s="433">
        <f t="shared" si="34"/>
        <v>64.249000571102229</v>
      </c>
      <c r="N783" s="354" t="s">
        <v>395</v>
      </c>
      <c r="O783" s="354">
        <v>0</v>
      </c>
      <c r="P783" s="355" t="s">
        <v>396</v>
      </c>
      <c r="Q783" s="353" t="s">
        <v>345</v>
      </c>
      <c r="R783" s="355">
        <v>0</v>
      </c>
      <c r="S783" s="355">
        <v>0</v>
      </c>
      <c r="T783" s="355">
        <v>0</v>
      </c>
      <c r="U783" s="355">
        <v>0</v>
      </c>
      <c r="V783" s="355">
        <v>0</v>
      </c>
      <c r="W783" s="355">
        <v>0</v>
      </c>
    </row>
    <row r="784" spans="1:23" x14ac:dyDescent="0.25">
      <c r="A784" s="348" t="s">
        <v>710</v>
      </c>
      <c r="B784" s="349">
        <v>23</v>
      </c>
      <c r="C784" s="380">
        <v>45078</v>
      </c>
      <c r="D784" s="434">
        <v>45103</v>
      </c>
      <c r="E784" s="352"/>
      <c r="F784" s="352">
        <v>6</v>
      </c>
      <c r="G784" s="353" t="s">
        <v>347</v>
      </c>
      <c r="H784" s="432" t="s">
        <v>348</v>
      </c>
      <c r="I784" s="350" t="s">
        <v>393</v>
      </c>
      <c r="J784" s="375">
        <v>60000</v>
      </c>
      <c r="K784" s="350" t="s">
        <v>394</v>
      </c>
      <c r="L784" s="353">
        <v>2801.6</v>
      </c>
      <c r="M784" s="433">
        <f t="shared" si="34"/>
        <v>21.416333523700743</v>
      </c>
      <c r="N784" s="354" t="s">
        <v>395</v>
      </c>
      <c r="O784" s="354">
        <v>0</v>
      </c>
      <c r="P784" s="355" t="s">
        <v>396</v>
      </c>
      <c r="Q784" s="353" t="s">
        <v>345</v>
      </c>
      <c r="R784" s="355">
        <v>0</v>
      </c>
      <c r="S784" s="355">
        <v>0</v>
      </c>
      <c r="T784" s="355">
        <v>0</v>
      </c>
      <c r="U784" s="355">
        <v>0</v>
      </c>
      <c r="V784" s="355">
        <v>0</v>
      </c>
      <c r="W784" s="355">
        <v>0</v>
      </c>
    </row>
    <row r="785" spans="1:23" ht="30" x14ac:dyDescent="0.25">
      <c r="A785" s="348" t="s">
        <v>710</v>
      </c>
      <c r="B785" s="349">
        <v>23</v>
      </c>
      <c r="C785" s="380">
        <v>45078</v>
      </c>
      <c r="D785" s="434">
        <v>45103</v>
      </c>
      <c r="E785" s="352"/>
      <c r="F785" s="352">
        <v>6</v>
      </c>
      <c r="G785" s="381" t="s">
        <v>347</v>
      </c>
      <c r="H785" s="435" t="s">
        <v>352</v>
      </c>
      <c r="I785" s="350" t="s">
        <v>393</v>
      </c>
      <c r="J785" s="375">
        <v>720000</v>
      </c>
      <c r="K785" s="350" t="s">
        <v>394</v>
      </c>
      <c r="L785" s="353">
        <v>2801.6</v>
      </c>
      <c r="M785" s="433">
        <f t="shared" si="34"/>
        <v>256.99600228440892</v>
      </c>
      <c r="N785" s="354" t="s">
        <v>395</v>
      </c>
      <c r="O785" s="354">
        <v>0</v>
      </c>
      <c r="P785" s="355" t="s">
        <v>396</v>
      </c>
      <c r="Q785" s="381" t="s">
        <v>345</v>
      </c>
      <c r="R785" s="355">
        <v>0</v>
      </c>
      <c r="S785" s="355">
        <v>0</v>
      </c>
      <c r="T785" s="355">
        <v>0</v>
      </c>
      <c r="U785" s="355">
        <v>0</v>
      </c>
      <c r="V785" s="355">
        <v>0</v>
      </c>
      <c r="W785" s="355">
        <v>0</v>
      </c>
    </row>
    <row r="786" spans="1:23" x14ac:dyDescent="0.25">
      <c r="A786" s="348" t="s">
        <v>710</v>
      </c>
      <c r="B786" s="349">
        <v>23</v>
      </c>
      <c r="C786" s="380">
        <v>45078</v>
      </c>
      <c r="D786" s="434">
        <v>45103</v>
      </c>
      <c r="E786" s="352"/>
      <c r="F786" s="352">
        <v>6</v>
      </c>
      <c r="G786" s="353" t="s">
        <v>347</v>
      </c>
      <c r="H786" s="435" t="s">
        <v>350</v>
      </c>
      <c r="I786" s="350" t="s">
        <v>393</v>
      </c>
      <c r="J786" s="375">
        <v>720000</v>
      </c>
      <c r="K786" s="350" t="s">
        <v>394</v>
      </c>
      <c r="L786" s="353">
        <v>2801.6</v>
      </c>
      <c r="M786" s="433">
        <f t="shared" si="34"/>
        <v>256.99600228440892</v>
      </c>
      <c r="N786" s="354" t="s">
        <v>395</v>
      </c>
      <c r="O786" s="354">
        <v>0</v>
      </c>
      <c r="P786" s="355" t="s">
        <v>396</v>
      </c>
      <c r="Q786" s="353" t="s">
        <v>345</v>
      </c>
      <c r="R786" s="355">
        <v>0</v>
      </c>
      <c r="S786" s="355">
        <v>0</v>
      </c>
      <c r="T786" s="355">
        <v>0</v>
      </c>
      <c r="U786" s="355">
        <v>0</v>
      </c>
      <c r="V786" s="355">
        <v>0</v>
      </c>
      <c r="W786" s="355">
        <v>0</v>
      </c>
    </row>
    <row r="787" spans="1:23" x14ac:dyDescent="0.25">
      <c r="A787" s="348" t="s">
        <v>710</v>
      </c>
      <c r="B787" s="349">
        <v>23</v>
      </c>
      <c r="C787" s="380">
        <v>45078</v>
      </c>
      <c r="D787" s="434">
        <v>45103</v>
      </c>
      <c r="E787" s="352"/>
      <c r="F787" s="352">
        <v>6</v>
      </c>
      <c r="G787" s="353" t="s">
        <v>347</v>
      </c>
      <c r="H787" s="432" t="s">
        <v>711</v>
      </c>
      <c r="I787" s="350" t="s">
        <v>393</v>
      </c>
      <c r="J787" s="375">
        <v>1348740</v>
      </c>
      <c r="K787" s="350" t="s">
        <v>394</v>
      </c>
      <c r="L787" s="353">
        <v>2801.6</v>
      </c>
      <c r="M787" s="433">
        <f>J787/L787</f>
        <v>481.41776127926903</v>
      </c>
      <c r="N787" s="354" t="s">
        <v>395</v>
      </c>
      <c r="O787" s="354">
        <v>0</v>
      </c>
      <c r="P787" s="355" t="s">
        <v>396</v>
      </c>
      <c r="Q787" s="353" t="s">
        <v>345</v>
      </c>
      <c r="R787" s="355">
        <v>0</v>
      </c>
      <c r="S787" s="355">
        <v>0</v>
      </c>
      <c r="T787" s="355">
        <v>0</v>
      </c>
      <c r="U787" s="355">
        <v>0</v>
      </c>
      <c r="V787" s="355">
        <v>0</v>
      </c>
      <c r="W787" s="355">
        <v>0</v>
      </c>
    </row>
    <row r="788" spans="1:23" x14ac:dyDescent="0.25">
      <c r="A788" s="348" t="s">
        <v>741</v>
      </c>
      <c r="B788" s="349">
        <v>39</v>
      </c>
      <c r="C788" s="350" t="s">
        <v>713</v>
      </c>
      <c r="D788" s="434">
        <v>45099</v>
      </c>
      <c r="E788" s="352"/>
      <c r="F788" s="352">
        <v>6</v>
      </c>
      <c r="G788" s="348" t="s">
        <v>347</v>
      </c>
      <c r="H788" s="424" t="s">
        <v>348</v>
      </c>
      <c r="I788" s="350" t="s">
        <v>393</v>
      </c>
      <c r="J788" s="375">
        <v>110000</v>
      </c>
      <c r="K788" s="350" t="s">
        <v>394</v>
      </c>
      <c r="L788" s="354">
        <v>2802.3999950000002</v>
      </c>
      <c r="M788" s="375">
        <f t="shared" ref="M788:M800" si="35">J788/L788</f>
        <v>39.252069724614735</v>
      </c>
      <c r="N788" s="354" t="s">
        <v>395</v>
      </c>
      <c r="O788" s="354">
        <v>0</v>
      </c>
      <c r="P788" s="355" t="s">
        <v>396</v>
      </c>
      <c r="Q788" s="354" t="s">
        <v>397</v>
      </c>
      <c r="R788" s="355">
        <v>0</v>
      </c>
      <c r="S788" s="355">
        <v>0</v>
      </c>
      <c r="T788" s="355">
        <v>0</v>
      </c>
      <c r="U788" s="355">
        <v>0</v>
      </c>
      <c r="V788" s="355">
        <v>0</v>
      </c>
      <c r="W788" s="355">
        <v>0</v>
      </c>
    </row>
    <row r="789" spans="1:23" x14ac:dyDescent="0.25">
      <c r="A789" s="348" t="s">
        <v>741</v>
      </c>
      <c r="B789" s="349">
        <v>40</v>
      </c>
      <c r="C789" s="350" t="s">
        <v>713</v>
      </c>
      <c r="D789" s="434">
        <v>45099</v>
      </c>
      <c r="E789" s="352"/>
      <c r="F789" s="352">
        <v>6</v>
      </c>
      <c r="G789" s="348" t="s">
        <v>347</v>
      </c>
      <c r="H789" s="424" t="s">
        <v>349</v>
      </c>
      <c r="I789" s="350" t="s">
        <v>393</v>
      </c>
      <c r="J789" s="375">
        <f>7*30000</f>
        <v>210000</v>
      </c>
      <c r="K789" s="350" t="s">
        <v>394</v>
      </c>
      <c r="L789" s="354">
        <v>2802.3999950000002</v>
      </c>
      <c r="M789" s="375">
        <f t="shared" si="35"/>
        <v>74.935769474264504</v>
      </c>
      <c r="N789" s="354" t="s">
        <v>395</v>
      </c>
      <c r="O789" s="354">
        <v>0</v>
      </c>
      <c r="P789" s="355" t="s">
        <v>396</v>
      </c>
      <c r="Q789" s="354" t="s">
        <v>397</v>
      </c>
      <c r="R789" s="355">
        <v>0</v>
      </c>
      <c r="S789" s="355">
        <v>0</v>
      </c>
      <c r="T789" s="355">
        <v>0</v>
      </c>
      <c r="U789" s="355">
        <v>0</v>
      </c>
      <c r="V789" s="355">
        <v>0</v>
      </c>
      <c r="W789" s="355">
        <v>0</v>
      </c>
    </row>
    <row r="790" spans="1:23" x14ac:dyDescent="0.25">
      <c r="A790" s="348" t="s">
        <v>741</v>
      </c>
      <c r="B790" s="349">
        <v>41</v>
      </c>
      <c r="C790" s="350" t="s">
        <v>713</v>
      </c>
      <c r="D790" s="434">
        <v>45099</v>
      </c>
      <c r="E790" s="352"/>
      <c r="F790" s="352">
        <v>6</v>
      </c>
      <c r="G790" s="348" t="s">
        <v>347</v>
      </c>
      <c r="H790" s="424" t="s">
        <v>350</v>
      </c>
      <c r="I790" s="350" t="s">
        <v>393</v>
      </c>
      <c r="J790" s="375">
        <v>500000</v>
      </c>
      <c r="K790" s="350" t="s">
        <v>394</v>
      </c>
      <c r="L790" s="354">
        <v>2802.3999950000002</v>
      </c>
      <c r="M790" s="375">
        <f t="shared" si="35"/>
        <v>178.41849874824879</v>
      </c>
      <c r="N790" s="354" t="s">
        <v>395</v>
      </c>
      <c r="O790" s="354">
        <v>0</v>
      </c>
      <c r="P790" s="355" t="s">
        <v>396</v>
      </c>
      <c r="Q790" s="354" t="s">
        <v>397</v>
      </c>
      <c r="R790" s="355">
        <v>0</v>
      </c>
      <c r="S790" s="355">
        <v>0</v>
      </c>
      <c r="T790" s="355">
        <v>0</v>
      </c>
      <c r="U790" s="355">
        <v>0</v>
      </c>
      <c r="V790" s="355">
        <v>0</v>
      </c>
      <c r="W790" s="355">
        <v>0</v>
      </c>
    </row>
    <row r="791" spans="1:23" x14ac:dyDescent="0.25">
      <c r="A791" s="348" t="s">
        <v>741</v>
      </c>
      <c r="B791" s="436">
        <v>42</v>
      </c>
      <c r="C791" s="350" t="s">
        <v>713</v>
      </c>
      <c r="D791" s="434">
        <v>45099</v>
      </c>
      <c r="E791" s="352"/>
      <c r="F791" s="352">
        <v>6</v>
      </c>
      <c r="G791" s="348" t="s">
        <v>347</v>
      </c>
      <c r="H791" s="424" t="s">
        <v>742</v>
      </c>
      <c r="I791" s="350" t="s">
        <v>393</v>
      </c>
      <c r="J791" s="375">
        <f>225600</f>
        <v>225600</v>
      </c>
      <c r="K791" s="350" t="s">
        <v>394</v>
      </c>
      <c r="L791" s="354">
        <v>2802.3999950000002</v>
      </c>
      <c r="M791" s="375">
        <f t="shared" si="35"/>
        <v>80.502426635209858</v>
      </c>
      <c r="N791" s="354" t="s">
        <v>395</v>
      </c>
      <c r="O791" s="354">
        <v>0</v>
      </c>
      <c r="P791" s="355" t="s">
        <v>396</v>
      </c>
      <c r="Q791" s="354" t="s">
        <v>397</v>
      </c>
      <c r="R791" s="355">
        <v>0</v>
      </c>
      <c r="S791" s="355">
        <v>0</v>
      </c>
      <c r="T791" s="355">
        <v>0</v>
      </c>
      <c r="U791" s="355">
        <v>0</v>
      </c>
      <c r="V791" s="355">
        <v>0</v>
      </c>
      <c r="W791" s="355">
        <v>0</v>
      </c>
    </row>
    <row r="792" spans="1:23" x14ac:dyDescent="0.25">
      <c r="A792" s="348" t="s">
        <v>741</v>
      </c>
      <c r="B792" s="436">
        <v>42</v>
      </c>
      <c r="C792" s="350" t="s">
        <v>713</v>
      </c>
      <c r="D792" s="434">
        <v>45099</v>
      </c>
      <c r="E792" s="352"/>
      <c r="F792" s="352">
        <v>6</v>
      </c>
      <c r="G792" s="348" t="s">
        <v>347</v>
      </c>
      <c r="H792" s="424" t="s">
        <v>743</v>
      </c>
      <c r="I792" s="350" t="s">
        <v>393</v>
      </c>
      <c r="J792" s="375">
        <v>327995</v>
      </c>
      <c r="K792" s="350" t="s">
        <v>394</v>
      </c>
      <c r="L792" s="354">
        <v>2802.3999950000002</v>
      </c>
      <c r="M792" s="375">
        <f t="shared" si="35"/>
        <v>117.04075099386374</v>
      </c>
      <c r="N792" s="354" t="s">
        <v>395</v>
      </c>
      <c r="O792" s="354">
        <v>0</v>
      </c>
      <c r="P792" s="355" t="s">
        <v>396</v>
      </c>
      <c r="Q792" s="354" t="s">
        <v>397</v>
      </c>
      <c r="R792" s="355">
        <v>0</v>
      </c>
      <c r="S792" s="355">
        <v>0</v>
      </c>
      <c r="T792" s="355">
        <v>0</v>
      </c>
      <c r="U792" s="355">
        <v>0</v>
      </c>
      <c r="V792" s="355">
        <v>0</v>
      </c>
      <c r="W792" s="355">
        <v>0</v>
      </c>
    </row>
    <row r="793" spans="1:23" x14ac:dyDescent="0.25">
      <c r="A793" s="348" t="s">
        <v>741</v>
      </c>
      <c r="B793" s="436">
        <v>42</v>
      </c>
      <c r="C793" s="350" t="s">
        <v>713</v>
      </c>
      <c r="D793" s="434">
        <v>45099</v>
      </c>
      <c r="E793" s="352"/>
      <c r="F793" s="352">
        <v>6</v>
      </c>
      <c r="G793" s="348" t="s">
        <v>347</v>
      </c>
      <c r="H793" s="424" t="s">
        <v>744</v>
      </c>
      <c r="I793" s="350" t="s">
        <v>393</v>
      </c>
      <c r="J793" s="375">
        <v>319290</v>
      </c>
      <c r="K793" s="350" t="s">
        <v>394</v>
      </c>
      <c r="L793" s="354">
        <v>2802.3999950000002</v>
      </c>
      <c r="M793" s="375">
        <f t="shared" si="35"/>
        <v>113.93448493065672</v>
      </c>
      <c r="N793" s="354" t="s">
        <v>395</v>
      </c>
      <c r="O793" s="354">
        <v>0</v>
      </c>
      <c r="P793" s="355" t="s">
        <v>396</v>
      </c>
      <c r="Q793" s="354" t="s">
        <v>397</v>
      </c>
      <c r="R793" s="355">
        <v>0</v>
      </c>
      <c r="S793" s="355">
        <v>0</v>
      </c>
      <c r="T793" s="355">
        <v>0</v>
      </c>
      <c r="U793" s="355">
        <v>0</v>
      </c>
      <c r="V793" s="355">
        <v>0</v>
      </c>
      <c r="W793" s="355">
        <v>0</v>
      </c>
    </row>
    <row r="794" spans="1:23" x14ac:dyDescent="0.25">
      <c r="A794" s="348" t="s">
        <v>741</v>
      </c>
      <c r="B794" s="436">
        <v>42</v>
      </c>
      <c r="C794" s="350" t="s">
        <v>713</v>
      </c>
      <c r="D794" s="434">
        <v>45099</v>
      </c>
      <c r="E794" s="352"/>
      <c r="F794" s="352">
        <v>6</v>
      </c>
      <c r="G794" s="348" t="s">
        <v>347</v>
      </c>
      <c r="H794" s="424" t="s">
        <v>745</v>
      </c>
      <c r="I794" s="350" t="s">
        <v>393</v>
      </c>
      <c r="J794" s="375">
        <v>409139</v>
      </c>
      <c r="K794" s="350" t="s">
        <v>394</v>
      </c>
      <c r="L794" s="354">
        <v>2802.3999950000002</v>
      </c>
      <c r="M794" s="375">
        <f t="shared" si="35"/>
        <v>145.99593231871953</v>
      </c>
      <c r="N794" s="354" t="s">
        <v>395</v>
      </c>
      <c r="O794" s="354">
        <v>0</v>
      </c>
      <c r="P794" s="355" t="s">
        <v>396</v>
      </c>
      <c r="Q794" s="354" t="s">
        <v>397</v>
      </c>
      <c r="R794" s="355">
        <v>0</v>
      </c>
      <c r="S794" s="355">
        <v>0</v>
      </c>
      <c r="T794" s="355">
        <v>0</v>
      </c>
      <c r="U794" s="355">
        <v>0</v>
      </c>
      <c r="V794" s="355">
        <v>0</v>
      </c>
      <c r="W794" s="355">
        <v>0</v>
      </c>
    </row>
    <row r="795" spans="1:23" ht="30" x14ac:dyDescent="0.25">
      <c r="A795" s="348" t="s">
        <v>741</v>
      </c>
      <c r="B795" s="349">
        <v>43</v>
      </c>
      <c r="C795" s="350" t="s">
        <v>713</v>
      </c>
      <c r="D795" s="434">
        <v>45099</v>
      </c>
      <c r="E795" s="352"/>
      <c r="F795" s="352">
        <v>6</v>
      </c>
      <c r="G795" s="348" t="s">
        <v>347</v>
      </c>
      <c r="H795" s="424" t="s">
        <v>352</v>
      </c>
      <c r="I795" s="350" t="s">
        <v>393</v>
      </c>
      <c r="J795" s="375">
        <f>13*30000</f>
        <v>390000</v>
      </c>
      <c r="K795" s="350" t="s">
        <v>394</v>
      </c>
      <c r="L795" s="354">
        <v>2802.3999950000002</v>
      </c>
      <c r="M795" s="375">
        <f t="shared" si="35"/>
        <v>139.16642902363407</v>
      </c>
      <c r="N795" s="354" t="s">
        <v>395</v>
      </c>
      <c r="O795" s="354">
        <v>0</v>
      </c>
      <c r="P795" s="355" t="s">
        <v>396</v>
      </c>
      <c r="Q795" s="354" t="s">
        <v>397</v>
      </c>
      <c r="R795" s="355">
        <v>0</v>
      </c>
      <c r="S795" s="355">
        <v>0</v>
      </c>
      <c r="T795" s="355">
        <v>0</v>
      </c>
      <c r="U795" s="355">
        <v>0</v>
      </c>
      <c r="V795" s="355">
        <v>0</v>
      </c>
      <c r="W795" s="355">
        <v>0</v>
      </c>
    </row>
    <row r="796" spans="1:23" x14ac:dyDescent="0.25">
      <c r="A796" s="348" t="s">
        <v>741</v>
      </c>
      <c r="B796" s="349">
        <v>44</v>
      </c>
      <c r="C796" s="350" t="s">
        <v>713</v>
      </c>
      <c r="D796" s="434">
        <v>45099</v>
      </c>
      <c r="E796" s="352"/>
      <c r="F796" s="352">
        <v>6</v>
      </c>
      <c r="G796" s="348" t="s">
        <v>347</v>
      </c>
      <c r="H796" s="424" t="s">
        <v>746</v>
      </c>
      <c r="I796" s="350" t="s">
        <v>393</v>
      </c>
      <c r="J796" s="375">
        <f>4900+11800</f>
        <v>16700</v>
      </c>
      <c r="K796" s="350" t="s">
        <v>394</v>
      </c>
      <c r="L796" s="354">
        <v>2802.3999950000002</v>
      </c>
      <c r="M796" s="375">
        <f t="shared" si="35"/>
        <v>5.9591778581915102</v>
      </c>
      <c r="N796" s="354" t="s">
        <v>395</v>
      </c>
      <c r="O796" s="354">
        <v>0</v>
      </c>
      <c r="P796" s="355" t="s">
        <v>396</v>
      </c>
      <c r="Q796" s="354" t="s">
        <v>397</v>
      </c>
      <c r="R796" s="355">
        <v>0</v>
      </c>
      <c r="S796" s="355">
        <v>0</v>
      </c>
      <c r="T796" s="355">
        <v>0</v>
      </c>
      <c r="U796" s="355">
        <v>0</v>
      </c>
      <c r="V796" s="355">
        <v>0</v>
      </c>
      <c r="W796" s="355">
        <v>0</v>
      </c>
    </row>
    <row r="797" spans="1:23" x14ac:dyDescent="0.25">
      <c r="A797" s="348" t="s">
        <v>747</v>
      </c>
      <c r="B797" s="436">
        <v>45</v>
      </c>
      <c r="C797" s="350" t="s">
        <v>713</v>
      </c>
      <c r="D797" s="434">
        <v>45107</v>
      </c>
      <c r="E797" s="352"/>
      <c r="F797" s="352">
        <v>6</v>
      </c>
      <c r="G797" s="348" t="s">
        <v>347</v>
      </c>
      <c r="H797" s="424" t="s">
        <v>748</v>
      </c>
      <c r="I797" s="350" t="s">
        <v>393</v>
      </c>
      <c r="J797" s="375">
        <v>300000</v>
      </c>
      <c r="K797" s="350" t="s">
        <v>394</v>
      </c>
      <c r="L797" s="354">
        <v>2802.3999950000002</v>
      </c>
      <c r="M797" s="375">
        <f t="shared" si="35"/>
        <v>107.05109924894928</v>
      </c>
      <c r="N797" s="354" t="s">
        <v>395</v>
      </c>
      <c r="O797" s="354">
        <v>0</v>
      </c>
      <c r="P797" s="355" t="s">
        <v>396</v>
      </c>
      <c r="Q797" s="354" t="s">
        <v>397</v>
      </c>
      <c r="R797" s="355">
        <v>0</v>
      </c>
      <c r="S797" s="355">
        <v>0</v>
      </c>
      <c r="T797" s="355">
        <v>0</v>
      </c>
      <c r="U797" s="355">
        <v>0</v>
      </c>
      <c r="V797" s="355">
        <v>0</v>
      </c>
      <c r="W797" s="355">
        <v>0</v>
      </c>
    </row>
    <row r="798" spans="1:23" x14ac:dyDescent="0.25">
      <c r="A798" s="348" t="s">
        <v>747</v>
      </c>
      <c r="B798" s="436">
        <v>45</v>
      </c>
      <c r="C798" s="350" t="s">
        <v>713</v>
      </c>
      <c r="D798" s="434">
        <v>45107</v>
      </c>
      <c r="E798" s="352"/>
      <c r="F798" s="352">
        <v>6</v>
      </c>
      <c r="G798" s="348" t="s">
        <v>347</v>
      </c>
      <c r="H798" s="424" t="s">
        <v>749</v>
      </c>
      <c r="I798" s="350" t="s">
        <v>393</v>
      </c>
      <c r="J798" s="375">
        <v>500000</v>
      </c>
      <c r="K798" s="350" t="s">
        <v>394</v>
      </c>
      <c r="L798" s="354">
        <v>2802.3999950000002</v>
      </c>
      <c r="M798" s="375">
        <f t="shared" si="35"/>
        <v>178.41849874824879</v>
      </c>
      <c r="N798" s="354" t="s">
        <v>395</v>
      </c>
      <c r="O798" s="354">
        <v>0</v>
      </c>
      <c r="P798" s="355" t="s">
        <v>396</v>
      </c>
      <c r="Q798" s="354" t="s">
        <v>397</v>
      </c>
      <c r="R798" s="355">
        <v>0</v>
      </c>
      <c r="S798" s="355">
        <v>0</v>
      </c>
      <c r="T798" s="355">
        <v>0</v>
      </c>
      <c r="U798" s="355">
        <v>0</v>
      </c>
      <c r="V798" s="355">
        <v>0</v>
      </c>
      <c r="W798" s="355">
        <v>0</v>
      </c>
    </row>
    <row r="799" spans="1:23" x14ac:dyDescent="0.25">
      <c r="A799" s="348" t="s">
        <v>747</v>
      </c>
      <c r="B799" s="436">
        <v>45</v>
      </c>
      <c r="C799" s="350" t="s">
        <v>713</v>
      </c>
      <c r="D799" s="434">
        <v>45107</v>
      </c>
      <c r="E799" s="352"/>
      <c r="F799" s="352">
        <v>6</v>
      </c>
      <c r="G799" s="348" t="s">
        <v>347</v>
      </c>
      <c r="H799" s="424" t="s">
        <v>750</v>
      </c>
      <c r="I799" s="350" t="s">
        <v>393</v>
      </c>
      <c r="J799" s="375">
        <v>500000</v>
      </c>
      <c r="K799" s="350" t="s">
        <v>394</v>
      </c>
      <c r="L799" s="354">
        <v>2802.3999950000002</v>
      </c>
      <c r="M799" s="375">
        <f t="shared" si="35"/>
        <v>178.41849874824879</v>
      </c>
      <c r="N799" s="354" t="s">
        <v>395</v>
      </c>
      <c r="O799" s="354">
        <v>0</v>
      </c>
      <c r="P799" s="355" t="s">
        <v>396</v>
      </c>
      <c r="Q799" s="354" t="s">
        <v>397</v>
      </c>
      <c r="R799" s="355">
        <v>0</v>
      </c>
      <c r="S799" s="355">
        <v>0</v>
      </c>
      <c r="T799" s="355">
        <v>0</v>
      </c>
      <c r="U799" s="355">
        <v>0</v>
      </c>
      <c r="V799" s="355">
        <v>0</v>
      </c>
      <c r="W799" s="355">
        <v>0</v>
      </c>
    </row>
    <row r="800" spans="1:23" x14ac:dyDescent="0.25">
      <c r="A800" s="348" t="s">
        <v>747</v>
      </c>
      <c r="B800" s="436">
        <v>45</v>
      </c>
      <c r="C800" s="350" t="s">
        <v>713</v>
      </c>
      <c r="D800" s="434">
        <v>45107</v>
      </c>
      <c r="E800" s="352"/>
      <c r="F800" s="352">
        <v>6</v>
      </c>
      <c r="G800" s="348" t="s">
        <v>347</v>
      </c>
      <c r="H800" s="424" t="s">
        <v>751</v>
      </c>
      <c r="I800" s="350" t="s">
        <v>393</v>
      </c>
      <c r="J800" s="375">
        <v>500000</v>
      </c>
      <c r="K800" s="350" t="s">
        <v>394</v>
      </c>
      <c r="L800" s="354">
        <v>2802.3999950000002</v>
      </c>
      <c r="M800" s="375">
        <f t="shared" si="35"/>
        <v>178.41849874824879</v>
      </c>
      <c r="N800" s="354" t="s">
        <v>395</v>
      </c>
      <c r="O800" s="354">
        <v>0</v>
      </c>
      <c r="P800" s="355" t="s">
        <v>396</v>
      </c>
      <c r="Q800" s="354" t="s">
        <v>397</v>
      </c>
      <c r="R800" s="355">
        <v>0</v>
      </c>
      <c r="S800" s="355">
        <v>0</v>
      </c>
      <c r="T800" s="355">
        <v>0</v>
      </c>
      <c r="U800" s="355">
        <v>0</v>
      </c>
      <c r="V800" s="355">
        <v>0</v>
      </c>
      <c r="W800" s="355">
        <v>0</v>
      </c>
    </row>
    <row r="801" spans="1:23" x14ac:dyDescent="0.25">
      <c r="A801" s="351" t="s">
        <v>801</v>
      </c>
      <c r="B801" s="349">
        <v>3</v>
      </c>
      <c r="C801" s="380">
        <v>45078</v>
      </c>
      <c r="D801" s="353" t="s">
        <v>808</v>
      </c>
      <c r="E801" s="352"/>
      <c r="F801" s="352">
        <v>6</v>
      </c>
      <c r="G801" s="348" t="s">
        <v>347</v>
      </c>
      <c r="H801" s="350" t="s">
        <v>802</v>
      </c>
      <c r="I801" s="350"/>
      <c r="J801" s="375">
        <f>5000+5000+5000+5000+5000+5000+5000+5000+5000+5000+5000+5000+5000</f>
        <v>65000</v>
      </c>
      <c r="K801" s="350" t="s">
        <v>394</v>
      </c>
      <c r="L801" s="354">
        <v>2803.6597999999999</v>
      </c>
      <c r="M801" s="375">
        <f>J801/L801</f>
        <v>23.183982593037857</v>
      </c>
      <c r="N801" s="354" t="s">
        <v>395</v>
      </c>
      <c r="O801" s="354">
        <v>0</v>
      </c>
      <c r="P801" s="355" t="s">
        <v>396</v>
      </c>
      <c r="Q801" s="354" t="s">
        <v>346</v>
      </c>
      <c r="R801" s="355">
        <v>0</v>
      </c>
      <c r="S801" s="355">
        <v>0</v>
      </c>
      <c r="T801" s="355">
        <v>0</v>
      </c>
      <c r="U801" s="355">
        <v>0</v>
      </c>
      <c r="V801" s="355">
        <v>0</v>
      </c>
      <c r="W801" s="355">
        <v>0</v>
      </c>
    </row>
    <row r="802" spans="1:23" x14ac:dyDescent="0.25">
      <c r="A802" s="351" t="s">
        <v>803</v>
      </c>
      <c r="B802" s="349">
        <v>3</v>
      </c>
      <c r="C802" s="380">
        <v>45078</v>
      </c>
      <c r="D802" s="353" t="s">
        <v>808</v>
      </c>
      <c r="E802" s="352"/>
      <c r="F802" s="352">
        <v>6</v>
      </c>
      <c r="G802" s="348" t="s">
        <v>347</v>
      </c>
      <c r="H802" s="350" t="s">
        <v>804</v>
      </c>
      <c r="I802" s="350"/>
      <c r="J802" s="375">
        <f>40000+40000+40000+40000+40000+40000+40000+40000+40000+40000+40000+40000+40000</f>
        <v>520000</v>
      </c>
      <c r="K802" s="350" t="s">
        <v>394</v>
      </c>
      <c r="L802" s="354">
        <v>2803.6597999999999</v>
      </c>
      <c r="M802" s="375">
        <f t="shared" ref="M802:M805" si="36">J802/L802</f>
        <v>185.47186074430286</v>
      </c>
      <c r="N802" s="354" t="s">
        <v>395</v>
      </c>
      <c r="O802" s="354">
        <v>0</v>
      </c>
      <c r="P802" s="355" t="s">
        <v>396</v>
      </c>
      <c r="Q802" s="354" t="s">
        <v>346</v>
      </c>
      <c r="R802" s="355">
        <v>0</v>
      </c>
      <c r="S802" s="355">
        <v>0</v>
      </c>
      <c r="T802" s="355">
        <v>0</v>
      </c>
      <c r="U802" s="355">
        <v>0</v>
      </c>
      <c r="V802" s="355">
        <v>0</v>
      </c>
      <c r="W802" s="355">
        <v>0</v>
      </c>
    </row>
    <row r="803" spans="1:23" x14ac:dyDescent="0.25">
      <c r="A803" s="351" t="s">
        <v>805</v>
      </c>
      <c r="B803" s="349">
        <v>3</v>
      </c>
      <c r="C803" s="380">
        <v>45078</v>
      </c>
      <c r="D803" s="353" t="s">
        <v>808</v>
      </c>
      <c r="E803" s="352"/>
      <c r="F803" s="352">
        <v>6</v>
      </c>
      <c r="G803" s="348" t="s">
        <v>347</v>
      </c>
      <c r="H803" s="350" t="s">
        <v>806</v>
      </c>
      <c r="I803" s="350"/>
      <c r="J803" s="375">
        <f>640000+660000+260000</f>
        <v>1560000</v>
      </c>
      <c r="K803" s="350" t="s">
        <v>394</v>
      </c>
      <c r="L803" s="354">
        <v>2803.6597999999999</v>
      </c>
      <c r="M803" s="375">
        <f t="shared" si="36"/>
        <v>556.4155822329086</v>
      </c>
      <c r="N803" s="354" t="s">
        <v>395</v>
      </c>
      <c r="O803" s="354">
        <v>0</v>
      </c>
      <c r="P803" s="355" t="s">
        <v>396</v>
      </c>
      <c r="Q803" s="354" t="s">
        <v>346</v>
      </c>
      <c r="R803" s="355">
        <v>0</v>
      </c>
      <c r="S803" s="355">
        <v>0</v>
      </c>
      <c r="T803" s="355">
        <v>0</v>
      </c>
      <c r="U803" s="355">
        <v>0</v>
      </c>
      <c r="V803" s="355">
        <v>0</v>
      </c>
      <c r="W803" s="355">
        <v>0</v>
      </c>
    </row>
    <row r="804" spans="1:23" x14ac:dyDescent="0.25">
      <c r="A804" s="351" t="s">
        <v>805</v>
      </c>
      <c r="B804" s="349">
        <v>3</v>
      </c>
      <c r="C804" s="380">
        <v>45078</v>
      </c>
      <c r="D804" s="353" t="s">
        <v>808</v>
      </c>
      <c r="E804" s="352"/>
      <c r="F804" s="352">
        <v>6</v>
      </c>
      <c r="G804" s="348" t="s">
        <v>347</v>
      </c>
      <c r="H804" s="350" t="s">
        <v>807</v>
      </c>
      <c r="I804" s="350"/>
      <c r="J804" s="375">
        <f>40000+30000</f>
        <v>70000</v>
      </c>
      <c r="K804" s="350" t="s">
        <v>394</v>
      </c>
      <c r="L804" s="354">
        <v>2803.6597999999999</v>
      </c>
      <c r="M804" s="375">
        <f t="shared" si="36"/>
        <v>24.967365869425386</v>
      </c>
      <c r="N804" s="354" t="s">
        <v>395</v>
      </c>
      <c r="O804" s="354">
        <v>0</v>
      </c>
      <c r="P804" s="355" t="s">
        <v>396</v>
      </c>
      <c r="Q804" s="354" t="s">
        <v>346</v>
      </c>
      <c r="R804" s="355">
        <v>0</v>
      </c>
      <c r="S804" s="355">
        <v>0</v>
      </c>
      <c r="T804" s="355">
        <v>0</v>
      </c>
      <c r="U804" s="355">
        <v>0</v>
      </c>
      <c r="V804" s="355">
        <v>0</v>
      </c>
      <c r="W804" s="355">
        <v>0</v>
      </c>
    </row>
    <row r="805" spans="1:23" x14ac:dyDescent="0.25">
      <c r="A805" s="348" t="s">
        <v>1351</v>
      </c>
      <c r="B805" s="349">
        <v>53</v>
      </c>
      <c r="C805" s="350" t="s">
        <v>1287</v>
      </c>
      <c r="D805" s="351">
        <v>45113</v>
      </c>
      <c r="E805" s="352"/>
      <c r="F805" s="352">
        <v>6</v>
      </c>
      <c r="G805" s="348" t="s">
        <v>347</v>
      </c>
      <c r="H805" s="424" t="s">
        <v>1352</v>
      </c>
      <c r="I805" s="350" t="s">
        <v>393</v>
      </c>
      <c r="J805" s="375">
        <v>200000</v>
      </c>
      <c r="K805" s="350" t="s">
        <v>394</v>
      </c>
      <c r="L805" s="354">
        <v>2802.3999950000002</v>
      </c>
      <c r="M805" s="375">
        <f t="shared" si="36"/>
        <v>71.367399499299523</v>
      </c>
      <c r="N805" s="354" t="s">
        <v>395</v>
      </c>
      <c r="O805" s="354">
        <v>0</v>
      </c>
      <c r="P805" s="355" t="s">
        <v>396</v>
      </c>
      <c r="Q805" s="354" t="s">
        <v>397</v>
      </c>
      <c r="R805" s="355">
        <v>0</v>
      </c>
      <c r="S805" s="355">
        <v>0</v>
      </c>
      <c r="T805" s="355">
        <v>0</v>
      </c>
      <c r="U805" s="355">
        <v>0</v>
      </c>
      <c r="V805" s="355">
        <v>0</v>
      </c>
      <c r="W805" s="355">
        <v>0</v>
      </c>
    </row>
    <row r="806" spans="1:23" ht="13.9" customHeight="1" x14ac:dyDescent="0.25">
      <c r="A806" s="422" t="s">
        <v>996</v>
      </c>
      <c r="B806" s="349">
        <v>23</v>
      </c>
      <c r="C806" s="350" t="s">
        <v>997</v>
      </c>
      <c r="D806" s="574" t="s">
        <v>998</v>
      </c>
      <c r="E806" s="352"/>
      <c r="F806" s="352">
        <v>6</v>
      </c>
      <c r="G806" s="348" t="s">
        <v>999</v>
      </c>
      <c r="H806" s="353" t="s">
        <v>351</v>
      </c>
      <c r="I806" s="350" t="s">
        <v>393</v>
      </c>
      <c r="J806" s="575">
        <f>400000+400000</f>
        <v>800000</v>
      </c>
      <c r="K806" s="350" t="s">
        <v>394</v>
      </c>
      <c r="L806" s="354">
        <v>2803.6597999999999</v>
      </c>
      <c r="M806" s="576">
        <f>J806/L806</f>
        <v>285.3413242220044</v>
      </c>
      <c r="N806" s="354" t="s">
        <v>395</v>
      </c>
      <c r="O806" s="354">
        <v>0</v>
      </c>
      <c r="P806" s="355"/>
      <c r="Q806" s="354" t="s">
        <v>346</v>
      </c>
      <c r="R806" s="355">
        <v>0</v>
      </c>
      <c r="S806" s="355">
        <v>0</v>
      </c>
      <c r="T806" s="355">
        <v>0</v>
      </c>
      <c r="U806" s="355">
        <v>0</v>
      </c>
      <c r="V806" s="355">
        <v>0</v>
      </c>
      <c r="W806" s="355">
        <v>0</v>
      </c>
    </row>
    <row r="807" spans="1:23" ht="13.9" customHeight="1" x14ac:dyDescent="0.25">
      <c r="A807" s="422" t="s">
        <v>1000</v>
      </c>
      <c r="B807" s="349">
        <v>23</v>
      </c>
      <c r="C807" s="350" t="s">
        <v>997</v>
      </c>
      <c r="D807" s="574" t="s">
        <v>1001</v>
      </c>
      <c r="E807" s="352"/>
      <c r="F807" s="352">
        <v>6</v>
      </c>
      <c r="G807" s="348" t="s">
        <v>999</v>
      </c>
      <c r="H807" s="353" t="s">
        <v>1002</v>
      </c>
      <c r="I807" s="350" t="s">
        <v>393</v>
      </c>
      <c r="J807" s="575">
        <f>331484+139600+56925+352300+173200</f>
        <v>1053509</v>
      </c>
      <c r="K807" s="350" t="s">
        <v>394</v>
      </c>
      <c r="L807" s="354">
        <v>2803.6597999999999</v>
      </c>
      <c r="M807" s="576">
        <f t="shared" ref="M807:M818" si="37">J807/L807</f>
        <v>375.76206642474955</v>
      </c>
      <c r="N807" s="354" t="s">
        <v>395</v>
      </c>
      <c r="O807" s="354">
        <v>0</v>
      </c>
      <c r="P807" s="355"/>
      <c r="Q807" s="354" t="s">
        <v>346</v>
      </c>
      <c r="R807" s="355">
        <v>0</v>
      </c>
      <c r="S807" s="355">
        <v>0</v>
      </c>
      <c r="T807" s="355">
        <v>0</v>
      </c>
      <c r="U807" s="355">
        <v>0</v>
      </c>
      <c r="V807" s="355">
        <v>0</v>
      </c>
      <c r="W807" s="355">
        <v>0</v>
      </c>
    </row>
    <row r="808" spans="1:23" ht="13.9" customHeight="1" x14ac:dyDescent="0.25">
      <c r="A808" s="422" t="s">
        <v>1003</v>
      </c>
      <c r="B808" s="349">
        <v>23</v>
      </c>
      <c r="C808" s="350" t="s">
        <v>997</v>
      </c>
      <c r="D808" s="574" t="s">
        <v>1001</v>
      </c>
      <c r="E808" s="352"/>
      <c r="F808" s="352">
        <v>6</v>
      </c>
      <c r="G808" s="348" t="s">
        <v>999</v>
      </c>
      <c r="H808" s="353" t="s">
        <v>1004</v>
      </c>
      <c r="I808" s="350" t="s">
        <v>393</v>
      </c>
      <c r="J808" s="575">
        <f>80000+80000+75000+80000+80000+80000</f>
        <v>475000</v>
      </c>
      <c r="K808" s="350" t="s">
        <v>394</v>
      </c>
      <c r="L808" s="354">
        <v>2803.6597999999999</v>
      </c>
      <c r="M808" s="576">
        <f t="shared" si="37"/>
        <v>169.42141125681511</v>
      </c>
      <c r="N808" s="354" t="s">
        <v>395</v>
      </c>
      <c r="O808" s="354">
        <v>0</v>
      </c>
      <c r="P808" s="355"/>
      <c r="Q808" s="354" t="s">
        <v>346</v>
      </c>
      <c r="R808" s="355">
        <v>0</v>
      </c>
      <c r="S808" s="355">
        <v>0</v>
      </c>
      <c r="T808" s="355">
        <v>0</v>
      </c>
      <c r="U808" s="355">
        <v>0</v>
      </c>
      <c r="V808" s="355">
        <v>0</v>
      </c>
      <c r="W808" s="355">
        <v>0</v>
      </c>
    </row>
    <row r="809" spans="1:23" ht="13.9" customHeight="1" x14ac:dyDescent="0.25">
      <c r="A809" s="422" t="s">
        <v>1005</v>
      </c>
      <c r="B809" s="349">
        <v>23</v>
      </c>
      <c r="C809" s="350" t="s">
        <v>997</v>
      </c>
      <c r="D809" s="574" t="s">
        <v>1001</v>
      </c>
      <c r="E809" s="352"/>
      <c r="F809" s="352">
        <v>6</v>
      </c>
      <c r="G809" s="348" t="s">
        <v>999</v>
      </c>
      <c r="H809" s="353" t="s">
        <v>1006</v>
      </c>
      <c r="I809" s="350" t="s">
        <v>393</v>
      </c>
      <c r="J809" s="575">
        <f>540000+360000+180000</f>
        <v>1080000</v>
      </c>
      <c r="K809" s="350" t="s">
        <v>394</v>
      </c>
      <c r="L809" s="354">
        <v>2803.6597999999999</v>
      </c>
      <c r="M809" s="576">
        <f t="shared" si="37"/>
        <v>385.21078769970597</v>
      </c>
      <c r="N809" s="354" t="s">
        <v>395</v>
      </c>
      <c r="O809" s="354">
        <v>0</v>
      </c>
      <c r="P809" s="355"/>
      <c r="Q809" s="354" t="s">
        <v>346</v>
      </c>
      <c r="R809" s="355">
        <v>0</v>
      </c>
      <c r="S809" s="355">
        <v>0</v>
      </c>
      <c r="T809" s="355">
        <v>0</v>
      </c>
      <c r="U809" s="355">
        <v>0</v>
      </c>
      <c r="V809" s="355">
        <v>0</v>
      </c>
      <c r="W809" s="355">
        <v>0</v>
      </c>
    </row>
    <row r="810" spans="1:23" ht="13.9" customHeight="1" x14ac:dyDescent="0.25">
      <c r="A810" s="422" t="s">
        <v>1007</v>
      </c>
      <c r="B810" s="349">
        <v>23</v>
      </c>
      <c r="C810" s="350" t="s">
        <v>997</v>
      </c>
      <c r="D810" s="574" t="s">
        <v>1001</v>
      </c>
      <c r="E810" s="352"/>
      <c r="F810" s="352">
        <v>6</v>
      </c>
      <c r="G810" s="348" t="s">
        <v>999</v>
      </c>
      <c r="H810" s="353" t="s">
        <v>1008</v>
      </c>
      <c r="I810" s="350" t="s">
        <v>393</v>
      </c>
      <c r="J810" s="575">
        <f>300000+240000+225000+300000+300000+300000</f>
        <v>1665000</v>
      </c>
      <c r="K810" s="350" t="s">
        <v>394</v>
      </c>
      <c r="L810" s="354">
        <v>2803.6597999999999</v>
      </c>
      <c r="M810" s="576">
        <f t="shared" si="37"/>
        <v>593.86663103704666</v>
      </c>
      <c r="N810" s="354" t="s">
        <v>395</v>
      </c>
      <c r="O810" s="354">
        <v>0</v>
      </c>
      <c r="P810" s="355"/>
      <c r="Q810" s="354" t="s">
        <v>346</v>
      </c>
      <c r="R810" s="355">
        <v>0</v>
      </c>
      <c r="S810" s="355">
        <v>0</v>
      </c>
      <c r="T810" s="355">
        <v>0</v>
      </c>
      <c r="U810" s="355">
        <v>0</v>
      </c>
      <c r="V810" s="355">
        <v>0</v>
      </c>
      <c r="W810" s="355">
        <v>0</v>
      </c>
    </row>
    <row r="811" spans="1:23" ht="13.9" customHeight="1" x14ac:dyDescent="0.25">
      <c r="A811" s="422" t="s">
        <v>1009</v>
      </c>
      <c r="B811" s="349">
        <v>23</v>
      </c>
      <c r="C811" s="350" t="s">
        <v>997</v>
      </c>
      <c r="D811" s="574" t="s">
        <v>1001</v>
      </c>
      <c r="E811" s="352"/>
      <c r="F811" s="352">
        <v>6</v>
      </c>
      <c r="G811" s="348" t="s">
        <v>999</v>
      </c>
      <c r="H811" s="353" t="s">
        <v>1010</v>
      </c>
      <c r="I811" s="350" t="s">
        <v>393</v>
      </c>
      <c r="J811" s="575">
        <f>20000+20000+20000+20000+20000+20000</f>
        <v>120000</v>
      </c>
      <c r="K811" s="350" t="s">
        <v>394</v>
      </c>
      <c r="L811" s="354">
        <v>2803.6597999999999</v>
      </c>
      <c r="M811" s="576">
        <f t="shared" si="37"/>
        <v>42.801198633300658</v>
      </c>
      <c r="N811" s="354" t="s">
        <v>395</v>
      </c>
      <c r="O811" s="354">
        <v>0</v>
      </c>
      <c r="P811" s="355"/>
      <c r="Q811" s="354" t="s">
        <v>346</v>
      </c>
      <c r="R811" s="355">
        <v>0</v>
      </c>
      <c r="S811" s="355">
        <v>0</v>
      </c>
      <c r="T811" s="355">
        <v>0</v>
      </c>
      <c r="U811" s="355">
        <v>0</v>
      </c>
      <c r="V811" s="355">
        <v>0</v>
      </c>
      <c r="W811" s="355">
        <v>0</v>
      </c>
    </row>
    <row r="812" spans="1:23" ht="13.9" customHeight="1" x14ac:dyDescent="0.25">
      <c r="A812" s="422" t="s">
        <v>1011</v>
      </c>
      <c r="B812" s="349">
        <v>23</v>
      </c>
      <c r="C812" s="350" t="s">
        <v>997</v>
      </c>
      <c r="D812" s="574" t="s">
        <v>1001</v>
      </c>
      <c r="E812" s="352"/>
      <c r="F812" s="352">
        <v>6</v>
      </c>
      <c r="G812" s="348" t="s">
        <v>999</v>
      </c>
      <c r="H812" s="353" t="s">
        <v>1012</v>
      </c>
      <c r="I812" s="350" t="s">
        <v>393</v>
      </c>
      <c r="J812" s="575">
        <f>5000+5000</f>
        <v>10000</v>
      </c>
      <c r="K812" s="350" t="s">
        <v>394</v>
      </c>
      <c r="L812" s="354">
        <v>2803.6597999999999</v>
      </c>
      <c r="M812" s="576">
        <f t="shared" si="37"/>
        <v>3.5667665527750549</v>
      </c>
      <c r="N812" s="354" t="s">
        <v>395</v>
      </c>
      <c r="O812" s="354">
        <v>0</v>
      </c>
      <c r="P812" s="355"/>
      <c r="Q812" s="354" t="s">
        <v>346</v>
      </c>
      <c r="R812" s="355">
        <v>0</v>
      </c>
      <c r="S812" s="355">
        <v>0</v>
      </c>
      <c r="T812" s="355">
        <v>0</v>
      </c>
      <c r="U812" s="355">
        <v>0</v>
      </c>
      <c r="V812" s="355">
        <v>0</v>
      </c>
      <c r="W812" s="355">
        <v>0</v>
      </c>
    </row>
    <row r="813" spans="1:23" ht="13.9" customHeight="1" x14ac:dyDescent="0.25">
      <c r="A813" s="422" t="s">
        <v>1013</v>
      </c>
      <c r="B813" s="349">
        <v>23</v>
      </c>
      <c r="C813" s="350" t="s">
        <v>997</v>
      </c>
      <c r="D813" s="574" t="s">
        <v>1001</v>
      </c>
      <c r="E813" s="352"/>
      <c r="F813" s="352">
        <v>6</v>
      </c>
      <c r="G813" s="348" t="s">
        <v>999</v>
      </c>
      <c r="H813" s="353" t="s">
        <v>1014</v>
      </c>
      <c r="I813" s="350" t="s">
        <v>393</v>
      </c>
      <c r="J813" s="575">
        <f>30000+30000+30000+30000+30000+30000+30000+30000+30000+30000+30000</f>
        <v>330000</v>
      </c>
      <c r="K813" s="350" t="s">
        <v>394</v>
      </c>
      <c r="L813" s="354">
        <v>2803.6597999999999</v>
      </c>
      <c r="M813" s="576">
        <f t="shared" si="37"/>
        <v>117.70329624157682</v>
      </c>
      <c r="N813" s="354" t="s">
        <v>395</v>
      </c>
      <c r="O813" s="354">
        <v>0</v>
      </c>
      <c r="P813" s="355"/>
      <c r="Q813" s="354" t="s">
        <v>346</v>
      </c>
      <c r="R813" s="355">
        <v>0</v>
      </c>
      <c r="S813" s="355">
        <v>0</v>
      </c>
      <c r="T813" s="355">
        <v>0</v>
      </c>
      <c r="U813" s="355">
        <v>0</v>
      </c>
      <c r="V813" s="355">
        <v>0</v>
      </c>
      <c r="W813" s="355">
        <v>0</v>
      </c>
    </row>
    <row r="814" spans="1:23" ht="13.9" customHeight="1" x14ac:dyDescent="0.25">
      <c r="A814" s="422" t="s">
        <v>1015</v>
      </c>
      <c r="B814" s="349">
        <v>23</v>
      </c>
      <c r="C814" s="350" t="s">
        <v>997</v>
      </c>
      <c r="D814" s="574" t="s">
        <v>1001</v>
      </c>
      <c r="E814" s="352"/>
      <c r="F814" s="352">
        <v>6</v>
      </c>
      <c r="G814" s="348" t="s">
        <v>999</v>
      </c>
      <c r="H814" s="353" t="s">
        <v>1016</v>
      </c>
      <c r="I814" s="350" t="s">
        <v>393</v>
      </c>
      <c r="J814" s="575">
        <f>125000+125000+125000+125000+125000+125000</f>
        <v>750000</v>
      </c>
      <c r="K814" s="350" t="s">
        <v>394</v>
      </c>
      <c r="L814" s="354">
        <v>2803.6597999999999</v>
      </c>
      <c r="M814" s="576">
        <f t="shared" si="37"/>
        <v>267.50749145812915</v>
      </c>
      <c r="N814" s="354" t="s">
        <v>395</v>
      </c>
      <c r="O814" s="354">
        <v>0</v>
      </c>
      <c r="P814" s="355"/>
      <c r="Q814" s="354" t="s">
        <v>346</v>
      </c>
      <c r="R814" s="355">
        <v>0</v>
      </c>
      <c r="S814" s="355">
        <v>0</v>
      </c>
      <c r="T814" s="355">
        <v>0</v>
      </c>
      <c r="U814" s="355">
        <v>0</v>
      </c>
      <c r="V814" s="355">
        <v>0</v>
      </c>
      <c r="W814" s="355">
        <v>0</v>
      </c>
    </row>
    <row r="815" spans="1:23" ht="13.9" customHeight="1" x14ac:dyDescent="0.25">
      <c r="A815" s="422" t="s">
        <v>1017</v>
      </c>
      <c r="B815" s="349">
        <v>23</v>
      </c>
      <c r="C815" s="350" t="s">
        <v>997</v>
      </c>
      <c r="D815" s="574" t="s">
        <v>1001</v>
      </c>
      <c r="E815" s="352"/>
      <c r="F815" s="352">
        <v>6</v>
      </c>
      <c r="G815" s="348" t="s">
        <v>999</v>
      </c>
      <c r="H815" s="353" t="s">
        <v>1018</v>
      </c>
      <c r="I815" s="350" t="s">
        <v>393</v>
      </c>
      <c r="J815" s="575">
        <f>37500+37500+37500+37500+37500+37500</f>
        <v>225000</v>
      </c>
      <c r="K815" s="350" t="s">
        <v>394</v>
      </c>
      <c r="L815" s="354">
        <v>2803.6597999999999</v>
      </c>
      <c r="M815" s="576">
        <f t="shared" si="37"/>
        <v>80.25224743743874</v>
      </c>
      <c r="N815" s="354" t="s">
        <v>395</v>
      </c>
      <c r="O815" s="354">
        <v>0</v>
      </c>
      <c r="P815" s="355"/>
      <c r="Q815" s="354" t="s">
        <v>346</v>
      </c>
      <c r="R815" s="355">
        <v>0</v>
      </c>
      <c r="S815" s="355">
        <v>0</v>
      </c>
      <c r="T815" s="355">
        <v>0</v>
      </c>
      <c r="U815" s="355">
        <v>0</v>
      </c>
      <c r="V815" s="355">
        <v>0</v>
      </c>
      <c r="W815" s="355">
        <v>0</v>
      </c>
    </row>
    <row r="816" spans="1:23" ht="13.9" customHeight="1" x14ac:dyDescent="0.25">
      <c r="A816" s="422" t="s">
        <v>1017</v>
      </c>
      <c r="B816" s="349">
        <v>23</v>
      </c>
      <c r="C816" s="350" t="s">
        <v>997</v>
      </c>
      <c r="D816" s="574" t="s">
        <v>1001</v>
      </c>
      <c r="E816" s="352"/>
      <c r="F816" s="352">
        <v>6</v>
      </c>
      <c r="G816" s="348" t="s">
        <v>999</v>
      </c>
      <c r="H816" s="353" t="s">
        <v>1019</v>
      </c>
      <c r="I816" s="350" t="s">
        <v>393</v>
      </c>
      <c r="J816" s="575">
        <f>30000+20000+10000</f>
        <v>60000</v>
      </c>
      <c r="K816" s="350" t="s">
        <v>394</v>
      </c>
      <c r="L816" s="354">
        <v>2803.6597999999999</v>
      </c>
      <c r="M816" s="576">
        <f t="shared" si="37"/>
        <v>21.400599316650329</v>
      </c>
      <c r="N816" s="354" t="s">
        <v>395</v>
      </c>
      <c r="O816" s="354">
        <v>0</v>
      </c>
      <c r="P816" s="355"/>
      <c r="Q816" s="354" t="s">
        <v>346</v>
      </c>
      <c r="R816" s="355">
        <v>0</v>
      </c>
      <c r="S816" s="355">
        <v>0</v>
      </c>
      <c r="T816" s="355">
        <v>0</v>
      </c>
      <c r="U816" s="355">
        <v>0</v>
      </c>
      <c r="V816" s="355">
        <v>0</v>
      </c>
      <c r="W816" s="355">
        <v>0</v>
      </c>
    </row>
    <row r="817" spans="1:23" ht="13.9" customHeight="1" x14ac:dyDescent="0.25">
      <c r="A817" s="422" t="s">
        <v>1017</v>
      </c>
      <c r="B817" s="349">
        <v>23</v>
      </c>
      <c r="C817" s="350" t="s">
        <v>997</v>
      </c>
      <c r="D817" s="574" t="s">
        <v>1001</v>
      </c>
      <c r="E817" s="352"/>
      <c r="F817" s="352">
        <v>6</v>
      </c>
      <c r="G817" s="348" t="s">
        <v>999</v>
      </c>
      <c r="H817" s="353" t="s">
        <v>1020</v>
      </c>
      <c r="I817" s="350" t="s">
        <v>393</v>
      </c>
      <c r="J817" s="575">
        <f>60000+60000</f>
        <v>120000</v>
      </c>
      <c r="K817" s="350" t="s">
        <v>394</v>
      </c>
      <c r="L817" s="354">
        <v>2803.6597999999999</v>
      </c>
      <c r="M817" s="576">
        <f t="shared" si="37"/>
        <v>42.801198633300658</v>
      </c>
      <c r="N817" s="354" t="s">
        <v>395</v>
      </c>
      <c r="O817" s="354">
        <v>0</v>
      </c>
      <c r="P817" s="355"/>
      <c r="Q817" s="354" t="s">
        <v>346</v>
      </c>
      <c r="R817" s="355">
        <v>0</v>
      </c>
      <c r="S817" s="355">
        <v>0</v>
      </c>
      <c r="T817" s="355">
        <v>0</v>
      </c>
      <c r="U817" s="355">
        <v>0</v>
      </c>
      <c r="V817" s="355">
        <v>0</v>
      </c>
      <c r="W817" s="355">
        <v>0</v>
      </c>
    </row>
    <row r="818" spans="1:23" ht="13.9" customHeight="1" x14ac:dyDescent="0.25">
      <c r="A818" s="422" t="s">
        <v>1021</v>
      </c>
      <c r="B818" s="349">
        <v>23</v>
      </c>
      <c r="C818" s="350" t="s">
        <v>997</v>
      </c>
      <c r="D818" s="574" t="s">
        <v>1001</v>
      </c>
      <c r="E818" s="352"/>
      <c r="F818" s="352">
        <v>6</v>
      </c>
      <c r="G818" s="348" t="s">
        <v>999</v>
      </c>
      <c r="H818" s="353" t="s">
        <v>1022</v>
      </c>
      <c r="I818" s="350" t="s">
        <v>393</v>
      </c>
      <c r="J818" s="575">
        <v>12000</v>
      </c>
      <c r="K818" s="350" t="s">
        <v>394</v>
      </c>
      <c r="L818" s="354">
        <v>2803.6597999999999</v>
      </c>
      <c r="M818" s="576">
        <f t="shared" si="37"/>
        <v>4.2801198633300661</v>
      </c>
      <c r="N818" s="354" t="s">
        <v>395</v>
      </c>
      <c r="O818" s="354">
        <v>0</v>
      </c>
      <c r="P818" s="355"/>
      <c r="Q818" s="354" t="s">
        <v>346</v>
      </c>
      <c r="R818" s="355">
        <v>0</v>
      </c>
      <c r="S818" s="355">
        <v>0</v>
      </c>
      <c r="T818" s="355">
        <v>0</v>
      </c>
      <c r="U818" s="355">
        <v>0</v>
      </c>
      <c r="V818" s="355">
        <v>0</v>
      </c>
      <c r="W818" s="355">
        <v>0</v>
      </c>
    </row>
    <row r="819" spans="1:23" ht="13.9" customHeight="1" x14ac:dyDescent="0.25">
      <c r="A819" s="422" t="s">
        <v>1023</v>
      </c>
      <c r="B819" s="349">
        <v>23</v>
      </c>
      <c r="C819" s="350" t="s">
        <v>997</v>
      </c>
      <c r="D819" s="574" t="s">
        <v>1024</v>
      </c>
      <c r="E819" s="352"/>
      <c r="F819" s="352">
        <v>6</v>
      </c>
      <c r="G819" s="348" t="s">
        <v>999</v>
      </c>
      <c r="H819" s="353" t="s">
        <v>1025</v>
      </c>
      <c r="I819" s="350" t="s">
        <v>393</v>
      </c>
      <c r="J819" s="577">
        <f>500000+400000</f>
        <v>900000</v>
      </c>
      <c r="K819" s="350" t="s">
        <v>394</v>
      </c>
      <c r="L819" s="354">
        <v>2803.6597999999999</v>
      </c>
      <c r="M819" s="576">
        <f>J819/L819</f>
        <v>321.00898974975496</v>
      </c>
      <c r="N819" s="354" t="s">
        <v>395</v>
      </c>
      <c r="O819" s="354">
        <v>0</v>
      </c>
      <c r="P819" s="355"/>
      <c r="Q819" s="354" t="s">
        <v>346</v>
      </c>
      <c r="R819" s="355">
        <v>0</v>
      </c>
      <c r="S819" s="355">
        <v>0</v>
      </c>
      <c r="T819" s="355">
        <v>0</v>
      </c>
      <c r="U819" s="355">
        <v>0</v>
      </c>
      <c r="V819" s="355">
        <v>0</v>
      </c>
      <c r="W819" s="355">
        <v>0</v>
      </c>
    </row>
    <row r="820" spans="1:23" ht="13.9" customHeight="1" x14ac:dyDescent="0.25">
      <c r="A820" s="422" t="s">
        <v>1023</v>
      </c>
      <c r="B820" s="349">
        <v>23</v>
      </c>
      <c r="C820" s="350" t="s">
        <v>997</v>
      </c>
      <c r="D820" s="574" t="s">
        <v>1024</v>
      </c>
      <c r="E820" s="352"/>
      <c r="F820" s="352">
        <v>6</v>
      </c>
      <c r="G820" s="348" t="s">
        <v>999</v>
      </c>
      <c r="H820" s="353" t="s">
        <v>1002</v>
      </c>
      <c r="I820" s="350" t="s">
        <v>393</v>
      </c>
      <c r="J820" s="577">
        <f>83490+257500+322575+147400+321057+59202</f>
        <v>1191224</v>
      </c>
      <c r="K820" s="350" t="s">
        <v>394</v>
      </c>
      <c r="L820" s="354">
        <v>2803.6597999999999</v>
      </c>
      <c r="M820" s="576">
        <f t="shared" ref="M820:M846" si="38">J820/L820</f>
        <v>424.88179200629122</v>
      </c>
      <c r="N820" s="354" t="s">
        <v>395</v>
      </c>
      <c r="O820" s="354">
        <v>0</v>
      </c>
      <c r="P820" s="355"/>
      <c r="Q820" s="354" t="s">
        <v>346</v>
      </c>
      <c r="R820" s="355">
        <v>0</v>
      </c>
      <c r="S820" s="355">
        <v>0</v>
      </c>
      <c r="T820" s="355">
        <v>0</v>
      </c>
      <c r="U820" s="355">
        <v>0</v>
      </c>
      <c r="V820" s="355">
        <v>0</v>
      </c>
      <c r="W820" s="355">
        <v>0</v>
      </c>
    </row>
    <row r="821" spans="1:23" ht="13.9" customHeight="1" x14ac:dyDescent="0.25">
      <c r="A821" s="422" t="s">
        <v>1023</v>
      </c>
      <c r="B821" s="349">
        <v>23</v>
      </c>
      <c r="C821" s="350" t="s">
        <v>997</v>
      </c>
      <c r="D821" s="574" t="s">
        <v>1024</v>
      </c>
      <c r="E821" s="352"/>
      <c r="F821" s="352">
        <v>6</v>
      </c>
      <c r="G821" s="348" t="s">
        <v>999</v>
      </c>
      <c r="H821" s="353" t="s">
        <v>1004</v>
      </c>
      <c r="I821" s="350" t="s">
        <v>393</v>
      </c>
      <c r="J821" s="577">
        <f>80000+80000+80000+80000+75000+80000+80000</f>
        <v>555000</v>
      </c>
      <c r="K821" s="350" t="s">
        <v>394</v>
      </c>
      <c r="L821" s="354">
        <v>2803.6597999999999</v>
      </c>
      <c r="M821" s="576">
        <f t="shared" si="38"/>
        <v>197.95554367901556</v>
      </c>
      <c r="N821" s="354" t="s">
        <v>395</v>
      </c>
      <c r="O821" s="354">
        <v>0</v>
      </c>
      <c r="P821" s="355"/>
      <c r="Q821" s="354" t="s">
        <v>346</v>
      </c>
      <c r="R821" s="355">
        <v>0</v>
      </c>
      <c r="S821" s="355">
        <v>0</v>
      </c>
      <c r="T821" s="355">
        <v>0</v>
      </c>
      <c r="U821" s="355">
        <v>0</v>
      </c>
      <c r="V821" s="355">
        <v>0</v>
      </c>
      <c r="W821" s="355">
        <v>0</v>
      </c>
    </row>
    <row r="822" spans="1:23" ht="13.9" customHeight="1" x14ac:dyDescent="0.25">
      <c r="A822" s="422" t="s">
        <v>1023</v>
      </c>
      <c r="B822" s="349">
        <v>23</v>
      </c>
      <c r="C822" s="350" t="s">
        <v>997</v>
      </c>
      <c r="D822" s="574" t="s">
        <v>1024</v>
      </c>
      <c r="E822" s="352"/>
      <c r="F822" s="352">
        <v>6</v>
      </c>
      <c r="G822" s="348" t="s">
        <v>999</v>
      </c>
      <c r="H822" s="353" t="s">
        <v>1006</v>
      </c>
      <c r="I822" s="350" t="s">
        <v>393</v>
      </c>
      <c r="J822" s="577">
        <f>240000+240000+240000+180000+180000+180000</f>
        <v>1260000</v>
      </c>
      <c r="K822" s="350" t="s">
        <v>394</v>
      </c>
      <c r="L822" s="354">
        <v>2803.6597999999999</v>
      </c>
      <c r="M822" s="576">
        <f t="shared" si="38"/>
        <v>449.41258564965693</v>
      </c>
      <c r="N822" s="354" t="s">
        <v>395</v>
      </c>
      <c r="O822" s="354">
        <v>0</v>
      </c>
      <c r="P822" s="355"/>
      <c r="Q822" s="354" t="s">
        <v>346</v>
      </c>
      <c r="R822" s="355">
        <v>0</v>
      </c>
      <c r="S822" s="355">
        <v>0</v>
      </c>
      <c r="T822" s="355">
        <v>0</v>
      </c>
      <c r="U822" s="355">
        <v>0</v>
      </c>
      <c r="V822" s="355">
        <v>0</v>
      </c>
      <c r="W822" s="355">
        <v>0</v>
      </c>
    </row>
    <row r="823" spans="1:23" ht="13.9" customHeight="1" x14ac:dyDescent="0.25">
      <c r="A823" s="422" t="s">
        <v>1023</v>
      </c>
      <c r="B823" s="349">
        <v>23</v>
      </c>
      <c r="C823" s="350" t="s">
        <v>997</v>
      </c>
      <c r="D823" s="574" t="s">
        <v>1024</v>
      </c>
      <c r="E823" s="352"/>
      <c r="F823" s="352">
        <v>6</v>
      </c>
      <c r="G823" s="348" t="s">
        <v>999</v>
      </c>
      <c r="H823" s="353" t="s">
        <v>1008</v>
      </c>
      <c r="I823" s="350" t="s">
        <v>393</v>
      </c>
      <c r="J823" s="577">
        <f>270000+270000+300000+285000+300000+300000+300000</f>
        <v>2025000</v>
      </c>
      <c r="K823" s="350" t="s">
        <v>394</v>
      </c>
      <c r="L823" s="354">
        <v>2803.6597999999999</v>
      </c>
      <c r="M823" s="576">
        <f t="shared" si="38"/>
        <v>722.27022693694869</v>
      </c>
      <c r="N823" s="354" t="s">
        <v>395</v>
      </c>
      <c r="O823" s="354">
        <v>0</v>
      </c>
      <c r="P823" s="355"/>
      <c r="Q823" s="354" t="s">
        <v>346</v>
      </c>
      <c r="R823" s="355">
        <v>0</v>
      </c>
      <c r="S823" s="355">
        <v>0</v>
      </c>
      <c r="T823" s="355">
        <v>0</v>
      </c>
      <c r="U823" s="355">
        <v>0</v>
      </c>
      <c r="V823" s="355">
        <v>0</v>
      </c>
      <c r="W823" s="355">
        <v>0</v>
      </c>
    </row>
    <row r="824" spans="1:23" ht="13.9" customHeight="1" x14ac:dyDescent="0.25">
      <c r="A824" s="422" t="s">
        <v>1023</v>
      </c>
      <c r="B824" s="349">
        <v>23</v>
      </c>
      <c r="C824" s="350" t="s">
        <v>997</v>
      </c>
      <c r="D824" s="574" t="s">
        <v>1024</v>
      </c>
      <c r="E824" s="352"/>
      <c r="F824" s="352">
        <v>6</v>
      </c>
      <c r="G824" s="348" t="s">
        <v>999</v>
      </c>
      <c r="H824" s="353" t="s">
        <v>1026</v>
      </c>
      <c r="I824" s="350" t="s">
        <v>393</v>
      </c>
      <c r="J824" s="577">
        <f>20000+20000+20000+20000+20000+20000+20000</f>
        <v>140000</v>
      </c>
      <c r="K824" s="350" t="s">
        <v>394</v>
      </c>
      <c r="L824" s="354">
        <v>2803.6597999999999</v>
      </c>
      <c r="M824" s="576">
        <f t="shared" si="38"/>
        <v>49.934731738850772</v>
      </c>
      <c r="N824" s="354" t="s">
        <v>395</v>
      </c>
      <c r="O824" s="354">
        <v>0</v>
      </c>
      <c r="P824" s="355"/>
      <c r="Q824" s="354" t="s">
        <v>346</v>
      </c>
      <c r="R824" s="355">
        <v>0</v>
      </c>
      <c r="S824" s="355">
        <v>0</v>
      </c>
      <c r="T824" s="355">
        <v>0</v>
      </c>
      <c r="U824" s="355">
        <v>0</v>
      </c>
      <c r="V824" s="355">
        <v>0</v>
      </c>
      <c r="W824" s="355">
        <v>0</v>
      </c>
    </row>
    <row r="825" spans="1:23" ht="13.9" customHeight="1" x14ac:dyDescent="0.25">
      <c r="A825" s="422" t="s">
        <v>1023</v>
      </c>
      <c r="B825" s="349">
        <v>23</v>
      </c>
      <c r="C825" s="350" t="s">
        <v>997</v>
      </c>
      <c r="D825" s="574" t="s">
        <v>1024</v>
      </c>
      <c r="E825" s="352"/>
      <c r="F825" s="352">
        <v>6</v>
      </c>
      <c r="G825" s="348" t="s">
        <v>999</v>
      </c>
      <c r="H825" s="353" t="s">
        <v>1012</v>
      </c>
      <c r="I825" s="350" t="s">
        <v>393</v>
      </c>
      <c r="J825" s="577">
        <f>5000+5000</f>
        <v>10000</v>
      </c>
      <c r="K825" s="350" t="s">
        <v>394</v>
      </c>
      <c r="L825" s="354">
        <v>2803.6597999999999</v>
      </c>
      <c r="M825" s="576">
        <f t="shared" si="38"/>
        <v>3.5667665527750549</v>
      </c>
      <c r="N825" s="354" t="s">
        <v>395</v>
      </c>
      <c r="O825" s="354">
        <v>0</v>
      </c>
      <c r="P825" s="355"/>
      <c r="Q825" s="354" t="s">
        <v>346</v>
      </c>
      <c r="R825" s="355">
        <v>0</v>
      </c>
      <c r="S825" s="355">
        <v>0</v>
      </c>
      <c r="T825" s="355">
        <v>0</v>
      </c>
      <c r="U825" s="355">
        <v>0</v>
      </c>
      <c r="V825" s="355">
        <v>0</v>
      </c>
      <c r="W825" s="355">
        <v>0</v>
      </c>
    </row>
    <row r="826" spans="1:23" ht="13.9" customHeight="1" x14ac:dyDescent="0.25">
      <c r="A826" s="422" t="s">
        <v>1023</v>
      </c>
      <c r="B826" s="349">
        <v>23</v>
      </c>
      <c r="C826" s="350" t="s">
        <v>997</v>
      </c>
      <c r="D826" s="574" t="s">
        <v>1024</v>
      </c>
      <c r="E826" s="352"/>
      <c r="F826" s="352">
        <v>6</v>
      </c>
      <c r="G826" s="348" t="s">
        <v>999</v>
      </c>
      <c r="H826" s="353" t="s">
        <v>1014</v>
      </c>
      <c r="I826" s="350" t="s">
        <v>393</v>
      </c>
      <c r="J826" s="577">
        <f>30000+30000+30000+30000+30000+30000+30000+30000+30000+30000+30000+30000+30000+30000</f>
        <v>420000</v>
      </c>
      <c r="K826" s="350" t="s">
        <v>394</v>
      </c>
      <c r="L826" s="354">
        <v>2803.6597999999999</v>
      </c>
      <c r="M826" s="576">
        <f t="shared" si="38"/>
        <v>149.8041952165523</v>
      </c>
      <c r="N826" s="354" t="s">
        <v>395</v>
      </c>
      <c r="O826" s="354">
        <v>0</v>
      </c>
      <c r="P826" s="355"/>
      <c r="Q826" s="354" t="s">
        <v>346</v>
      </c>
      <c r="R826" s="355">
        <v>0</v>
      </c>
      <c r="S826" s="355">
        <v>0</v>
      </c>
      <c r="T826" s="355">
        <v>0</v>
      </c>
      <c r="U826" s="355">
        <v>0</v>
      </c>
      <c r="V826" s="355">
        <v>0</v>
      </c>
      <c r="W826" s="355">
        <v>0</v>
      </c>
    </row>
    <row r="827" spans="1:23" ht="13.9" customHeight="1" x14ac:dyDescent="0.25">
      <c r="A827" s="422" t="s">
        <v>1023</v>
      </c>
      <c r="B827" s="349">
        <v>23</v>
      </c>
      <c r="C827" s="350" t="s">
        <v>997</v>
      </c>
      <c r="D827" s="574" t="s">
        <v>1024</v>
      </c>
      <c r="E827" s="352"/>
      <c r="F827" s="352">
        <v>6</v>
      </c>
      <c r="G827" s="348" t="s">
        <v>999</v>
      </c>
      <c r="H827" s="353" t="s">
        <v>1016</v>
      </c>
      <c r="I827" s="350" t="s">
        <v>393</v>
      </c>
      <c r="J827" s="577">
        <f>125000+125000+125000+125000+125000+125000+125000</f>
        <v>875000</v>
      </c>
      <c r="K827" s="350" t="s">
        <v>394</v>
      </c>
      <c r="L827" s="354">
        <v>2803.6597999999999</v>
      </c>
      <c r="M827" s="576">
        <f t="shared" si="38"/>
        <v>312.09207336781731</v>
      </c>
      <c r="N827" s="354" t="s">
        <v>395</v>
      </c>
      <c r="O827" s="354">
        <v>0</v>
      </c>
      <c r="P827" s="355"/>
      <c r="Q827" s="354" t="s">
        <v>346</v>
      </c>
      <c r="R827" s="355">
        <v>0</v>
      </c>
      <c r="S827" s="355">
        <v>0</v>
      </c>
      <c r="T827" s="355">
        <v>0</v>
      </c>
      <c r="U827" s="355">
        <v>0</v>
      </c>
      <c r="V827" s="355">
        <v>0</v>
      </c>
      <c r="W827" s="355">
        <v>0</v>
      </c>
    </row>
    <row r="828" spans="1:23" ht="13.9" customHeight="1" x14ac:dyDescent="0.25">
      <c r="A828" s="422" t="s">
        <v>1023</v>
      </c>
      <c r="B828" s="349">
        <v>23</v>
      </c>
      <c r="C828" s="350" t="s">
        <v>997</v>
      </c>
      <c r="D828" s="574" t="s">
        <v>1024</v>
      </c>
      <c r="E828" s="352"/>
      <c r="F828" s="352">
        <v>6</v>
      </c>
      <c r="G828" s="348" t="s">
        <v>999</v>
      </c>
      <c r="H828" s="353" t="s">
        <v>1018</v>
      </c>
      <c r="I828" s="350" t="s">
        <v>393</v>
      </c>
      <c r="J828" s="577">
        <f>37500+37500+37500+37500+37500+37500+37500</f>
        <v>262500</v>
      </c>
      <c r="K828" s="350" t="s">
        <v>394</v>
      </c>
      <c r="L828" s="354">
        <v>2803.6597999999999</v>
      </c>
      <c r="M828" s="576">
        <f t="shared" si="38"/>
        <v>93.627622010345192</v>
      </c>
      <c r="N828" s="354" t="s">
        <v>395</v>
      </c>
      <c r="O828" s="354">
        <v>0</v>
      </c>
      <c r="P828" s="355"/>
      <c r="Q828" s="354" t="s">
        <v>346</v>
      </c>
      <c r="R828" s="355">
        <v>0</v>
      </c>
      <c r="S828" s="355">
        <v>0</v>
      </c>
      <c r="T828" s="355">
        <v>0</v>
      </c>
      <c r="U828" s="355">
        <v>0</v>
      </c>
      <c r="V828" s="355">
        <v>0</v>
      </c>
      <c r="W828" s="355">
        <v>0</v>
      </c>
    </row>
    <row r="829" spans="1:23" ht="13.9" customHeight="1" x14ac:dyDescent="0.25">
      <c r="A829" s="422" t="s">
        <v>1023</v>
      </c>
      <c r="B829" s="349">
        <v>23</v>
      </c>
      <c r="C829" s="350" t="s">
        <v>997</v>
      </c>
      <c r="D829" s="574" t="s">
        <v>1024</v>
      </c>
      <c r="E829" s="352"/>
      <c r="F829" s="352">
        <v>6</v>
      </c>
      <c r="G829" s="348" t="s">
        <v>999</v>
      </c>
      <c r="H829" s="381" t="s">
        <v>1019</v>
      </c>
      <c r="I829" s="350" t="s">
        <v>393</v>
      </c>
      <c r="J829" s="577">
        <f>30000+10000+10000+10000</f>
        <v>60000</v>
      </c>
      <c r="K829" s="350" t="s">
        <v>394</v>
      </c>
      <c r="L829" s="354">
        <v>2803.6597999999999</v>
      </c>
      <c r="M829" s="576">
        <f t="shared" si="38"/>
        <v>21.400599316650329</v>
      </c>
      <c r="N829" s="354" t="s">
        <v>395</v>
      </c>
      <c r="O829" s="354">
        <v>0</v>
      </c>
      <c r="P829" s="355"/>
      <c r="Q829" s="354" t="s">
        <v>346</v>
      </c>
      <c r="R829" s="355">
        <v>0</v>
      </c>
      <c r="S829" s="355">
        <v>0</v>
      </c>
      <c r="T829" s="355">
        <v>0</v>
      </c>
      <c r="U829" s="355">
        <v>0</v>
      </c>
      <c r="V829" s="355">
        <v>0</v>
      </c>
      <c r="W829" s="355">
        <v>0</v>
      </c>
    </row>
    <row r="830" spans="1:23" x14ac:dyDescent="0.25">
      <c r="A830" s="348" t="s">
        <v>1027</v>
      </c>
      <c r="B830" s="349">
        <v>30</v>
      </c>
      <c r="C830" s="350" t="s">
        <v>970</v>
      </c>
      <c r="D830" s="574" t="s">
        <v>1028</v>
      </c>
      <c r="E830" s="352"/>
      <c r="F830" s="352">
        <v>6</v>
      </c>
      <c r="G830" s="348" t="s">
        <v>999</v>
      </c>
      <c r="H830" s="353" t="s">
        <v>1029</v>
      </c>
      <c r="I830" s="350" t="s">
        <v>393</v>
      </c>
      <c r="J830" s="575">
        <v>300000</v>
      </c>
      <c r="K830" s="350" t="s">
        <v>394</v>
      </c>
      <c r="L830" s="354">
        <v>2803.6597999999999</v>
      </c>
      <c r="M830" s="576">
        <f t="shared" si="38"/>
        <v>107.00299658325166</v>
      </c>
      <c r="N830" s="354" t="s">
        <v>395</v>
      </c>
      <c r="O830" s="354">
        <v>0</v>
      </c>
      <c r="P830" s="355"/>
      <c r="Q830" s="354" t="s">
        <v>346</v>
      </c>
      <c r="R830" s="355">
        <v>0</v>
      </c>
      <c r="S830" s="355">
        <v>0</v>
      </c>
      <c r="T830" s="355">
        <v>0</v>
      </c>
      <c r="U830" s="355">
        <v>0</v>
      </c>
      <c r="V830" s="355">
        <v>0</v>
      </c>
      <c r="W830" s="355">
        <v>0</v>
      </c>
    </row>
    <row r="831" spans="1:23" x14ac:dyDescent="0.25">
      <c r="A831" s="348" t="s">
        <v>1030</v>
      </c>
      <c r="B831" s="349">
        <v>30</v>
      </c>
      <c r="C831" s="350" t="s">
        <v>970</v>
      </c>
      <c r="D831" s="574" t="s">
        <v>1028</v>
      </c>
      <c r="E831" s="352"/>
      <c r="F831" s="352">
        <v>6</v>
      </c>
      <c r="G831" s="348" t="s">
        <v>999</v>
      </c>
      <c r="H831" s="353" t="s">
        <v>1029</v>
      </c>
      <c r="I831" s="350" t="s">
        <v>393</v>
      </c>
      <c r="J831" s="575">
        <v>300000</v>
      </c>
      <c r="K831" s="350" t="s">
        <v>394</v>
      </c>
      <c r="L831" s="354">
        <v>2803.6597999999999</v>
      </c>
      <c r="M831" s="576">
        <f t="shared" si="38"/>
        <v>107.00299658325166</v>
      </c>
      <c r="N831" s="354" t="s">
        <v>395</v>
      </c>
      <c r="O831" s="354">
        <v>0</v>
      </c>
      <c r="P831" s="355"/>
      <c r="Q831" s="354" t="s">
        <v>346</v>
      </c>
      <c r="R831" s="355">
        <v>0</v>
      </c>
      <c r="S831" s="355">
        <v>0</v>
      </c>
      <c r="T831" s="355">
        <v>0</v>
      </c>
      <c r="U831" s="355">
        <v>0</v>
      </c>
      <c r="V831" s="355">
        <v>0</v>
      </c>
      <c r="W831" s="355">
        <v>0</v>
      </c>
    </row>
    <row r="832" spans="1:23" x14ac:dyDescent="0.25">
      <c r="A832" s="348" t="s">
        <v>1031</v>
      </c>
      <c r="B832" s="349">
        <v>30</v>
      </c>
      <c r="C832" s="350" t="s">
        <v>970</v>
      </c>
      <c r="D832" s="574" t="s">
        <v>1028</v>
      </c>
      <c r="E832" s="352"/>
      <c r="F832" s="352">
        <v>6</v>
      </c>
      <c r="G832" s="348" t="s">
        <v>999</v>
      </c>
      <c r="H832" s="353" t="s">
        <v>1029</v>
      </c>
      <c r="I832" s="350" t="s">
        <v>393</v>
      </c>
      <c r="J832" s="575">
        <v>300000</v>
      </c>
      <c r="K832" s="350" t="s">
        <v>394</v>
      </c>
      <c r="L832" s="354">
        <v>2803.6597999999999</v>
      </c>
      <c r="M832" s="576">
        <f t="shared" si="38"/>
        <v>107.00299658325166</v>
      </c>
      <c r="N832" s="354" t="s">
        <v>395</v>
      </c>
      <c r="O832" s="354">
        <v>0</v>
      </c>
      <c r="P832" s="355"/>
      <c r="Q832" s="354" t="s">
        <v>346</v>
      </c>
      <c r="R832" s="355">
        <v>0</v>
      </c>
      <c r="S832" s="355">
        <v>0</v>
      </c>
      <c r="T832" s="355">
        <v>0</v>
      </c>
      <c r="U832" s="355">
        <v>0</v>
      </c>
      <c r="V832" s="355">
        <v>0</v>
      </c>
      <c r="W832" s="355">
        <v>0</v>
      </c>
    </row>
    <row r="833" spans="1:23" x14ac:dyDescent="0.25">
      <c r="A833" s="348" t="s">
        <v>1032</v>
      </c>
      <c r="B833" s="349">
        <v>30</v>
      </c>
      <c r="C833" s="350" t="s">
        <v>970</v>
      </c>
      <c r="D833" s="574" t="s">
        <v>1028</v>
      </c>
      <c r="E833" s="352"/>
      <c r="F833" s="352">
        <v>6</v>
      </c>
      <c r="G833" s="348" t="s">
        <v>999</v>
      </c>
      <c r="H833" s="353" t="s">
        <v>1029</v>
      </c>
      <c r="I833" s="350" t="s">
        <v>393</v>
      </c>
      <c r="J833" s="575">
        <v>300000</v>
      </c>
      <c r="K833" s="350" t="s">
        <v>394</v>
      </c>
      <c r="L833" s="354">
        <v>2803.6597999999999</v>
      </c>
      <c r="M833" s="576">
        <f t="shared" si="38"/>
        <v>107.00299658325166</v>
      </c>
      <c r="N833" s="354" t="s">
        <v>395</v>
      </c>
      <c r="O833" s="354">
        <v>0</v>
      </c>
      <c r="P833" s="355"/>
      <c r="Q833" s="354" t="s">
        <v>346</v>
      </c>
      <c r="R833" s="355">
        <v>0</v>
      </c>
      <c r="S833" s="355">
        <v>0</v>
      </c>
      <c r="T833" s="355">
        <v>0</v>
      </c>
      <c r="U833" s="355">
        <v>0</v>
      </c>
      <c r="V833" s="355">
        <v>0</v>
      </c>
      <c r="W833" s="355">
        <v>0</v>
      </c>
    </row>
    <row r="834" spans="1:23" x14ac:dyDescent="0.25">
      <c r="A834" s="348" t="s">
        <v>1033</v>
      </c>
      <c r="B834" s="349">
        <v>30</v>
      </c>
      <c r="C834" s="350" t="s">
        <v>970</v>
      </c>
      <c r="D834" s="574" t="s">
        <v>1028</v>
      </c>
      <c r="E834" s="352"/>
      <c r="F834" s="352">
        <v>6</v>
      </c>
      <c r="G834" s="348" t="s">
        <v>999</v>
      </c>
      <c r="H834" s="353" t="s">
        <v>1029</v>
      </c>
      <c r="I834" s="350" t="s">
        <v>393</v>
      </c>
      <c r="J834" s="575">
        <v>300000</v>
      </c>
      <c r="K834" s="350" t="s">
        <v>394</v>
      </c>
      <c r="L834" s="354">
        <v>2803.6597999999999</v>
      </c>
      <c r="M834" s="576">
        <f t="shared" si="38"/>
        <v>107.00299658325166</v>
      </c>
      <c r="N834" s="354" t="s">
        <v>395</v>
      </c>
      <c r="O834" s="354">
        <v>0</v>
      </c>
      <c r="P834" s="355"/>
      <c r="Q834" s="354" t="s">
        <v>346</v>
      </c>
      <c r="R834" s="355">
        <v>0</v>
      </c>
      <c r="S834" s="355">
        <v>0</v>
      </c>
      <c r="T834" s="355">
        <v>0</v>
      </c>
      <c r="U834" s="355">
        <v>0</v>
      </c>
      <c r="V834" s="355">
        <v>0</v>
      </c>
      <c r="W834" s="355">
        <v>0</v>
      </c>
    </row>
    <row r="835" spans="1:23" x14ac:dyDescent="0.25">
      <c r="A835" s="348" t="s">
        <v>1034</v>
      </c>
      <c r="B835" s="349">
        <v>30</v>
      </c>
      <c r="C835" s="350" t="s">
        <v>970</v>
      </c>
      <c r="D835" s="574" t="s">
        <v>1028</v>
      </c>
      <c r="E835" s="352"/>
      <c r="F835" s="352">
        <v>6</v>
      </c>
      <c r="G835" s="348" t="s">
        <v>999</v>
      </c>
      <c r="H835" s="353" t="s">
        <v>1029</v>
      </c>
      <c r="I835" s="350" t="s">
        <v>393</v>
      </c>
      <c r="J835" s="575">
        <v>300000</v>
      </c>
      <c r="K835" s="350" t="s">
        <v>394</v>
      </c>
      <c r="L835" s="354">
        <v>2803.6597999999999</v>
      </c>
      <c r="M835" s="576">
        <f t="shared" si="38"/>
        <v>107.00299658325166</v>
      </c>
      <c r="N835" s="354" t="s">
        <v>395</v>
      </c>
      <c r="O835" s="354">
        <v>0</v>
      </c>
      <c r="P835" s="355"/>
      <c r="Q835" s="354" t="s">
        <v>346</v>
      </c>
      <c r="R835" s="355">
        <v>0</v>
      </c>
      <c r="S835" s="355">
        <v>0</v>
      </c>
      <c r="T835" s="355">
        <v>0</v>
      </c>
      <c r="U835" s="355">
        <v>0</v>
      </c>
      <c r="V835" s="355">
        <v>0</v>
      </c>
      <c r="W835" s="355">
        <v>0</v>
      </c>
    </row>
    <row r="836" spans="1:23" x14ac:dyDescent="0.25">
      <c r="A836" s="348" t="s">
        <v>1034</v>
      </c>
      <c r="B836" s="349">
        <v>30</v>
      </c>
      <c r="C836" s="350" t="s">
        <v>970</v>
      </c>
      <c r="D836" s="574" t="s">
        <v>1028</v>
      </c>
      <c r="E836" s="352"/>
      <c r="F836" s="352">
        <v>6</v>
      </c>
      <c r="G836" s="348" t="s">
        <v>999</v>
      </c>
      <c r="H836" s="353" t="s">
        <v>1035</v>
      </c>
      <c r="I836" s="350" t="s">
        <v>393</v>
      </c>
      <c r="J836" s="575">
        <v>463000</v>
      </c>
      <c r="K836" s="350" t="s">
        <v>394</v>
      </c>
      <c r="L836" s="354">
        <v>2803.6597999999999</v>
      </c>
      <c r="M836" s="576">
        <f t="shared" si="38"/>
        <v>165.14129139348506</v>
      </c>
      <c r="N836" s="354" t="s">
        <v>395</v>
      </c>
      <c r="O836" s="354">
        <v>0</v>
      </c>
      <c r="P836" s="355"/>
      <c r="Q836" s="354" t="s">
        <v>346</v>
      </c>
      <c r="R836" s="355">
        <v>0</v>
      </c>
      <c r="S836" s="355">
        <v>0</v>
      </c>
      <c r="T836" s="355">
        <v>0</v>
      </c>
      <c r="U836" s="355">
        <v>0</v>
      </c>
      <c r="V836" s="355">
        <v>0</v>
      </c>
      <c r="W836" s="355">
        <v>0</v>
      </c>
    </row>
    <row r="837" spans="1:23" x14ac:dyDescent="0.25">
      <c r="A837" s="348" t="s">
        <v>1353</v>
      </c>
      <c r="B837" s="349">
        <v>68</v>
      </c>
      <c r="C837" s="350" t="s">
        <v>997</v>
      </c>
      <c r="D837" s="351">
        <v>45159</v>
      </c>
      <c r="E837" s="352"/>
      <c r="F837" s="352">
        <v>6</v>
      </c>
      <c r="G837" s="348" t="s">
        <v>999</v>
      </c>
      <c r="H837" s="350" t="s">
        <v>1354</v>
      </c>
      <c r="I837" s="350" t="s">
        <v>393</v>
      </c>
      <c r="J837" s="375">
        <v>35000</v>
      </c>
      <c r="K837" s="350" t="s">
        <v>394</v>
      </c>
      <c r="L837" s="354">
        <v>2802.3999950000002</v>
      </c>
      <c r="M837" s="578">
        <f t="shared" si="38"/>
        <v>12.489294912377417</v>
      </c>
      <c r="N837" s="354" t="s">
        <v>395</v>
      </c>
      <c r="O837" s="354">
        <v>0</v>
      </c>
      <c r="P837" s="355" t="s">
        <v>396</v>
      </c>
      <c r="Q837" s="354" t="s">
        <v>397</v>
      </c>
      <c r="R837" s="355">
        <v>0</v>
      </c>
      <c r="S837" s="355">
        <v>0</v>
      </c>
      <c r="T837" s="355">
        <v>0</v>
      </c>
      <c r="U837" s="355">
        <v>0</v>
      </c>
      <c r="V837" s="355">
        <v>0</v>
      </c>
      <c r="W837" s="355">
        <v>0</v>
      </c>
    </row>
    <row r="838" spans="1:23" x14ac:dyDescent="0.25">
      <c r="A838" s="348" t="s">
        <v>1353</v>
      </c>
      <c r="B838" s="349">
        <v>69</v>
      </c>
      <c r="C838" s="350" t="s">
        <v>997</v>
      </c>
      <c r="D838" s="351">
        <v>45159</v>
      </c>
      <c r="E838" s="352"/>
      <c r="F838" s="352">
        <v>6</v>
      </c>
      <c r="G838" s="348" t="s">
        <v>999</v>
      </c>
      <c r="H838" s="350" t="s">
        <v>1164</v>
      </c>
      <c r="I838" s="350" t="s">
        <v>393</v>
      </c>
      <c r="J838" s="375">
        <v>90000</v>
      </c>
      <c r="K838" s="350" t="s">
        <v>394</v>
      </c>
      <c r="L838" s="354">
        <v>2802.3999950000002</v>
      </c>
      <c r="M838" s="578">
        <f t="shared" si="38"/>
        <v>32.115329774684788</v>
      </c>
      <c r="N838" s="354" t="s">
        <v>395</v>
      </c>
      <c r="O838" s="354">
        <v>0</v>
      </c>
      <c r="P838" s="355" t="s">
        <v>396</v>
      </c>
      <c r="Q838" s="354" t="s">
        <v>397</v>
      </c>
      <c r="R838" s="355">
        <v>0</v>
      </c>
      <c r="S838" s="355">
        <v>0</v>
      </c>
      <c r="T838" s="355">
        <v>0</v>
      </c>
      <c r="U838" s="355">
        <v>0</v>
      </c>
      <c r="V838" s="355">
        <v>0</v>
      </c>
      <c r="W838" s="355">
        <v>0</v>
      </c>
    </row>
    <row r="839" spans="1:23" ht="15.75" x14ac:dyDescent="0.25">
      <c r="A839" s="348" t="s">
        <v>1353</v>
      </c>
      <c r="B839" s="349">
        <v>70</v>
      </c>
      <c r="C839" s="350" t="s">
        <v>997</v>
      </c>
      <c r="D839" s="351">
        <v>45159</v>
      </c>
      <c r="E839" s="352"/>
      <c r="F839" s="352">
        <v>6</v>
      </c>
      <c r="G839" s="348" t="s">
        <v>999</v>
      </c>
      <c r="H839" s="437" t="s">
        <v>1355</v>
      </c>
      <c r="I839" s="350" t="s">
        <v>393</v>
      </c>
      <c r="J839" s="375">
        <v>350000</v>
      </c>
      <c r="K839" s="350" t="s">
        <v>394</v>
      </c>
      <c r="L839" s="354">
        <v>2802.3999950000002</v>
      </c>
      <c r="M839" s="578">
        <f t="shared" si="38"/>
        <v>124.89294912377416</v>
      </c>
      <c r="N839" s="354" t="s">
        <v>395</v>
      </c>
      <c r="O839" s="354">
        <v>0</v>
      </c>
      <c r="P839" s="355" t="s">
        <v>396</v>
      </c>
      <c r="Q839" s="354" t="s">
        <v>397</v>
      </c>
      <c r="R839" s="355">
        <v>0</v>
      </c>
      <c r="S839" s="355">
        <v>0</v>
      </c>
      <c r="T839" s="355">
        <v>0</v>
      </c>
      <c r="U839" s="355">
        <v>0</v>
      </c>
      <c r="V839" s="355">
        <v>0</v>
      </c>
      <c r="W839" s="355">
        <v>0</v>
      </c>
    </row>
    <row r="840" spans="1:23" x14ac:dyDescent="0.25">
      <c r="A840" s="422" t="s">
        <v>1036</v>
      </c>
      <c r="B840" s="349">
        <v>22</v>
      </c>
      <c r="C840" s="350" t="s">
        <v>997</v>
      </c>
      <c r="D840" s="574" t="s">
        <v>1037</v>
      </c>
      <c r="E840" s="352"/>
      <c r="F840" s="352">
        <v>6</v>
      </c>
      <c r="G840" s="434" t="s">
        <v>1038</v>
      </c>
      <c r="H840" s="381" t="s">
        <v>1039</v>
      </c>
      <c r="I840" s="350" t="s">
        <v>393</v>
      </c>
      <c r="J840" s="560">
        <f>300000</f>
        <v>300000</v>
      </c>
      <c r="K840" s="350" t="s">
        <v>394</v>
      </c>
      <c r="L840" s="354">
        <v>2803.6597999999999</v>
      </c>
      <c r="M840" s="576">
        <f t="shared" si="38"/>
        <v>107.00299658325166</v>
      </c>
      <c r="N840" s="354" t="s">
        <v>395</v>
      </c>
      <c r="O840" s="354">
        <v>0</v>
      </c>
      <c r="P840" s="355" t="s">
        <v>396</v>
      </c>
      <c r="Q840" s="354" t="s">
        <v>346</v>
      </c>
      <c r="R840" s="353">
        <v>0</v>
      </c>
      <c r="S840" s="353">
        <v>0</v>
      </c>
      <c r="T840" s="353">
        <v>0</v>
      </c>
      <c r="U840" s="353">
        <v>0</v>
      </c>
      <c r="V840" s="353">
        <v>0</v>
      </c>
      <c r="W840" s="353">
        <v>0</v>
      </c>
    </row>
    <row r="841" spans="1:23" x14ac:dyDescent="0.25">
      <c r="A841" s="422" t="s">
        <v>1040</v>
      </c>
      <c r="B841" s="349">
        <v>22</v>
      </c>
      <c r="C841" s="350" t="s">
        <v>997</v>
      </c>
      <c r="D841" s="574" t="s">
        <v>1041</v>
      </c>
      <c r="E841" s="352"/>
      <c r="F841" s="352">
        <v>6</v>
      </c>
      <c r="G841" s="434" t="s">
        <v>1038</v>
      </c>
      <c r="H841" s="381" t="s">
        <v>1042</v>
      </c>
      <c r="I841" s="350" t="s">
        <v>393</v>
      </c>
      <c r="J841" s="560">
        <v>600000</v>
      </c>
      <c r="K841" s="350" t="s">
        <v>394</v>
      </c>
      <c r="L841" s="354">
        <v>2803.6597999999999</v>
      </c>
      <c r="M841" s="576">
        <f t="shared" si="38"/>
        <v>214.00599316650332</v>
      </c>
      <c r="N841" s="354" t="s">
        <v>395</v>
      </c>
      <c r="O841" s="354">
        <v>0</v>
      </c>
      <c r="P841" s="355" t="s">
        <v>396</v>
      </c>
      <c r="Q841" s="354" t="s">
        <v>346</v>
      </c>
      <c r="R841" s="353">
        <v>0</v>
      </c>
      <c r="S841" s="353">
        <v>0</v>
      </c>
      <c r="T841" s="353">
        <v>0</v>
      </c>
      <c r="U841" s="353">
        <v>0</v>
      </c>
      <c r="V841" s="353">
        <v>0</v>
      </c>
      <c r="W841" s="353">
        <v>0</v>
      </c>
    </row>
    <row r="842" spans="1:23" x14ac:dyDescent="0.25">
      <c r="A842" s="422" t="s">
        <v>1043</v>
      </c>
      <c r="B842" s="349">
        <v>22</v>
      </c>
      <c r="C842" s="350" t="s">
        <v>997</v>
      </c>
      <c r="D842" s="574" t="s">
        <v>1041</v>
      </c>
      <c r="E842" s="352"/>
      <c r="F842" s="352">
        <v>6</v>
      </c>
      <c r="G842" s="434" t="s">
        <v>1038</v>
      </c>
      <c r="H842" s="381" t="s">
        <v>1044</v>
      </c>
      <c r="I842" s="350" t="s">
        <v>393</v>
      </c>
      <c r="J842" s="560">
        <v>500000</v>
      </c>
      <c r="K842" s="350" t="s">
        <v>394</v>
      </c>
      <c r="L842" s="354">
        <v>2803.6597999999999</v>
      </c>
      <c r="M842" s="576">
        <f t="shared" si="38"/>
        <v>178.33832763875276</v>
      </c>
      <c r="N842" s="354" t="s">
        <v>395</v>
      </c>
      <c r="O842" s="354">
        <v>0</v>
      </c>
      <c r="P842" s="355" t="s">
        <v>396</v>
      </c>
      <c r="Q842" s="354" t="s">
        <v>346</v>
      </c>
      <c r="R842" s="353">
        <v>0</v>
      </c>
      <c r="S842" s="353">
        <v>0</v>
      </c>
      <c r="T842" s="353">
        <v>0</v>
      </c>
      <c r="U842" s="353">
        <v>0</v>
      </c>
      <c r="V842" s="353">
        <v>0</v>
      </c>
      <c r="W842" s="353">
        <v>0</v>
      </c>
    </row>
    <row r="843" spans="1:23" x14ac:dyDescent="0.25">
      <c r="A843" s="422" t="s">
        <v>1045</v>
      </c>
      <c r="B843" s="349">
        <v>22</v>
      </c>
      <c r="C843" s="350" t="s">
        <v>997</v>
      </c>
      <c r="D843" s="579">
        <v>45177</v>
      </c>
      <c r="E843" s="352"/>
      <c r="F843" s="352">
        <v>6</v>
      </c>
      <c r="G843" s="434" t="s">
        <v>1038</v>
      </c>
      <c r="H843" s="353" t="s">
        <v>1046</v>
      </c>
      <c r="I843" s="350" t="s">
        <v>393</v>
      </c>
      <c r="J843" s="560">
        <f>240500+312125+240000+80000+10000</f>
        <v>882625</v>
      </c>
      <c r="K843" s="350" t="s">
        <v>394</v>
      </c>
      <c r="L843" s="354">
        <v>2803.6597999999999</v>
      </c>
      <c r="M843" s="576">
        <f t="shared" si="38"/>
        <v>314.81173286430828</v>
      </c>
      <c r="N843" s="354" t="s">
        <v>395</v>
      </c>
      <c r="O843" s="354">
        <v>0</v>
      </c>
      <c r="P843" s="355" t="s">
        <v>396</v>
      </c>
      <c r="Q843" s="354" t="s">
        <v>346</v>
      </c>
      <c r="R843" s="353">
        <v>0</v>
      </c>
      <c r="S843" s="353">
        <v>0</v>
      </c>
      <c r="T843" s="353">
        <v>0</v>
      </c>
      <c r="U843" s="353">
        <v>0</v>
      </c>
      <c r="V843" s="353">
        <v>0</v>
      </c>
      <c r="W843" s="353">
        <v>0</v>
      </c>
    </row>
    <row r="844" spans="1:23" x14ac:dyDescent="0.25">
      <c r="A844" s="422" t="s">
        <v>1047</v>
      </c>
      <c r="B844" s="349">
        <v>22</v>
      </c>
      <c r="C844" s="350" t="s">
        <v>997</v>
      </c>
      <c r="D844" s="579" t="s">
        <v>1048</v>
      </c>
      <c r="E844" s="352"/>
      <c r="F844" s="352">
        <v>6</v>
      </c>
      <c r="G844" s="434" t="s">
        <v>1038</v>
      </c>
      <c r="H844" s="353" t="s">
        <v>1049</v>
      </c>
      <c r="I844" s="350" t="s">
        <v>393</v>
      </c>
      <c r="J844" s="560">
        <v>508250</v>
      </c>
      <c r="K844" s="350" t="s">
        <v>394</v>
      </c>
      <c r="L844" s="354">
        <v>2803.6597999999999</v>
      </c>
      <c r="M844" s="576">
        <f t="shared" si="38"/>
        <v>181.28091004479217</v>
      </c>
      <c r="N844" s="354" t="s">
        <v>395</v>
      </c>
      <c r="O844" s="354">
        <v>0</v>
      </c>
      <c r="P844" s="355" t="s">
        <v>396</v>
      </c>
      <c r="Q844" s="354" t="s">
        <v>346</v>
      </c>
      <c r="R844" s="353">
        <v>0</v>
      </c>
      <c r="S844" s="353">
        <v>0</v>
      </c>
      <c r="T844" s="353">
        <v>0</v>
      </c>
      <c r="U844" s="353">
        <v>0</v>
      </c>
      <c r="V844" s="353">
        <v>0</v>
      </c>
      <c r="W844" s="353">
        <v>0</v>
      </c>
    </row>
    <row r="845" spans="1:23" x14ac:dyDescent="0.25">
      <c r="A845" s="422" t="s">
        <v>1050</v>
      </c>
      <c r="B845" s="349">
        <v>22</v>
      </c>
      <c r="C845" s="350" t="s">
        <v>997</v>
      </c>
      <c r="D845" s="579" t="s">
        <v>1048</v>
      </c>
      <c r="E845" s="352"/>
      <c r="F845" s="352">
        <v>6</v>
      </c>
      <c r="G845" s="434" t="s">
        <v>1038</v>
      </c>
      <c r="H845" s="353" t="s">
        <v>1049</v>
      </c>
      <c r="I845" s="350" t="s">
        <v>393</v>
      </c>
      <c r="J845" s="560">
        <v>676113</v>
      </c>
      <c r="K845" s="350" t="s">
        <v>394</v>
      </c>
      <c r="L845" s="354">
        <v>2803.6597999999999</v>
      </c>
      <c r="M845" s="576">
        <f t="shared" si="38"/>
        <v>241.15372342964008</v>
      </c>
      <c r="N845" s="354" t="s">
        <v>395</v>
      </c>
      <c r="O845" s="354">
        <v>0</v>
      </c>
      <c r="P845" s="355" t="s">
        <v>396</v>
      </c>
      <c r="Q845" s="354" t="s">
        <v>346</v>
      </c>
      <c r="R845" s="353">
        <v>0</v>
      </c>
      <c r="S845" s="353">
        <v>0</v>
      </c>
      <c r="T845" s="353">
        <v>0</v>
      </c>
      <c r="U845" s="353">
        <v>0</v>
      </c>
      <c r="V845" s="353">
        <v>0</v>
      </c>
      <c r="W845" s="353">
        <v>0</v>
      </c>
    </row>
    <row r="846" spans="1:23" x14ac:dyDescent="0.25">
      <c r="A846" s="422" t="s">
        <v>1051</v>
      </c>
      <c r="B846" s="349">
        <v>22</v>
      </c>
      <c r="C846" s="350" t="s">
        <v>997</v>
      </c>
      <c r="D846" s="579">
        <v>45115</v>
      </c>
      <c r="E846" s="352"/>
      <c r="F846" s="352">
        <v>6</v>
      </c>
      <c r="G846" s="434" t="s">
        <v>1038</v>
      </c>
      <c r="H846" s="353" t="s">
        <v>1049</v>
      </c>
      <c r="I846" s="350" t="s">
        <v>393</v>
      </c>
      <c r="J846" s="560">
        <v>846100</v>
      </c>
      <c r="K846" s="350" t="s">
        <v>394</v>
      </c>
      <c r="L846" s="354">
        <v>2803.6597999999999</v>
      </c>
      <c r="M846" s="576">
        <f t="shared" si="38"/>
        <v>301.78411803029741</v>
      </c>
      <c r="N846" s="354" t="s">
        <v>395</v>
      </c>
      <c r="O846" s="354">
        <v>0</v>
      </c>
      <c r="P846" s="355" t="s">
        <v>396</v>
      </c>
      <c r="Q846" s="354" t="s">
        <v>346</v>
      </c>
      <c r="R846" s="353">
        <v>0</v>
      </c>
      <c r="S846" s="353">
        <v>0</v>
      </c>
      <c r="T846" s="353">
        <v>0</v>
      </c>
      <c r="U846" s="353">
        <v>0</v>
      </c>
      <c r="V846" s="353">
        <v>0</v>
      </c>
      <c r="W846" s="353">
        <v>0</v>
      </c>
    </row>
    <row r="847" spans="1:23" x14ac:dyDescent="0.25">
      <c r="A847" s="348" t="s">
        <v>1160</v>
      </c>
      <c r="B847" s="379">
        <v>42</v>
      </c>
      <c r="C847" s="350" t="s">
        <v>1102</v>
      </c>
      <c r="D847" s="351" t="s">
        <v>1161</v>
      </c>
      <c r="E847" s="352">
        <v>6345</v>
      </c>
      <c r="F847" s="352">
        <v>6</v>
      </c>
      <c r="G847" s="434" t="s">
        <v>1038</v>
      </c>
      <c r="H847" s="580" t="s">
        <v>1162</v>
      </c>
      <c r="I847" s="350" t="s">
        <v>393</v>
      </c>
      <c r="J847" s="556">
        <v>30000</v>
      </c>
      <c r="K847" s="350" t="s">
        <v>394</v>
      </c>
      <c r="L847" s="353">
        <v>2801.6</v>
      </c>
      <c r="M847" s="560">
        <f>+J847/L847</f>
        <v>10.708166761850372</v>
      </c>
      <c r="N847" s="354" t="s">
        <v>395</v>
      </c>
      <c r="O847" s="354">
        <v>0</v>
      </c>
      <c r="P847" s="355" t="s">
        <v>396</v>
      </c>
      <c r="Q847" s="354" t="s">
        <v>345</v>
      </c>
      <c r="R847" s="353">
        <v>0</v>
      </c>
      <c r="S847" s="353">
        <v>0</v>
      </c>
      <c r="T847" s="353">
        <v>0</v>
      </c>
      <c r="U847" s="353">
        <v>0</v>
      </c>
      <c r="V847" s="353">
        <v>0</v>
      </c>
      <c r="W847" s="353">
        <v>0</v>
      </c>
    </row>
    <row r="848" spans="1:23" x14ac:dyDescent="0.25">
      <c r="A848" s="348" t="s">
        <v>1160</v>
      </c>
      <c r="B848" s="379">
        <v>42</v>
      </c>
      <c r="C848" s="350" t="s">
        <v>1102</v>
      </c>
      <c r="D848" s="351" t="s">
        <v>1161</v>
      </c>
      <c r="E848" s="352">
        <v>6345</v>
      </c>
      <c r="F848" s="352">
        <v>6</v>
      </c>
      <c r="G848" s="434" t="s">
        <v>1038</v>
      </c>
      <c r="H848" s="580" t="s">
        <v>1163</v>
      </c>
      <c r="I848" s="350" t="s">
        <v>393</v>
      </c>
      <c r="J848" s="556">
        <v>90000</v>
      </c>
      <c r="K848" s="350" t="s">
        <v>394</v>
      </c>
      <c r="L848" s="353">
        <v>2801.6</v>
      </c>
      <c r="M848" s="560">
        <f t="shared" ref="M848:M878" si="39">+J848/L848</f>
        <v>32.124500285551115</v>
      </c>
      <c r="N848" s="354" t="s">
        <v>395</v>
      </c>
      <c r="O848" s="354">
        <v>0</v>
      </c>
      <c r="P848" s="355" t="s">
        <v>396</v>
      </c>
      <c r="Q848" s="354" t="s">
        <v>345</v>
      </c>
      <c r="R848" s="353">
        <v>0</v>
      </c>
      <c r="S848" s="353">
        <v>0</v>
      </c>
      <c r="T848" s="353">
        <v>0</v>
      </c>
      <c r="U848" s="353">
        <v>0</v>
      </c>
      <c r="V848" s="353">
        <v>0</v>
      </c>
      <c r="W848" s="353">
        <v>0</v>
      </c>
    </row>
    <row r="849" spans="1:23" x14ac:dyDescent="0.25">
      <c r="A849" s="348" t="s">
        <v>1160</v>
      </c>
      <c r="B849" s="379">
        <v>42</v>
      </c>
      <c r="C849" s="350" t="s">
        <v>1102</v>
      </c>
      <c r="D849" s="351" t="s">
        <v>1161</v>
      </c>
      <c r="E849" s="352">
        <v>6345</v>
      </c>
      <c r="F849" s="352">
        <v>6</v>
      </c>
      <c r="G849" s="434" t="s">
        <v>1038</v>
      </c>
      <c r="H849" s="580" t="s">
        <v>1164</v>
      </c>
      <c r="I849" s="350" t="s">
        <v>393</v>
      </c>
      <c r="J849" s="556">
        <v>900000</v>
      </c>
      <c r="K849" s="350" t="s">
        <v>394</v>
      </c>
      <c r="L849" s="353">
        <v>2801.6</v>
      </c>
      <c r="M849" s="560">
        <f t="shared" si="39"/>
        <v>321.24500285551113</v>
      </c>
      <c r="N849" s="354" t="s">
        <v>395</v>
      </c>
      <c r="O849" s="354">
        <v>0</v>
      </c>
      <c r="P849" s="355" t="s">
        <v>396</v>
      </c>
      <c r="Q849" s="354" t="s">
        <v>345</v>
      </c>
      <c r="R849" s="353">
        <v>0</v>
      </c>
      <c r="S849" s="353">
        <v>0</v>
      </c>
      <c r="T849" s="353">
        <v>0</v>
      </c>
      <c r="U849" s="353">
        <v>0</v>
      </c>
      <c r="V849" s="353">
        <v>0</v>
      </c>
      <c r="W849" s="353">
        <v>0</v>
      </c>
    </row>
    <row r="850" spans="1:23" x14ac:dyDescent="0.25">
      <c r="A850" s="348" t="s">
        <v>1160</v>
      </c>
      <c r="B850" s="379">
        <v>42</v>
      </c>
      <c r="C850" s="350" t="s">
        <v>1102</v>
      </c>
      <c r="D850" s="351" t="s">
        <v>1161</v>
      </c>
      <c r="E850" s="352">
        <v>6345</v>
      </c>
      <c r="F850" s="352">
        <v>6</v>
      </c>
      <c r="G850" s="434" t="s">
        <v>1038</v>
      </c>
      <c r="H850" s="580" t="s">
        <v>352</v>
      </c>
      <c r="I850" s="350" t="s">
        <v>393</v>
      </c>
      <c r="J850" s="556">
        <v>360000</v>
      </c>
      <c r="K850" s="350" t="s">
        <v>394</v>
      </c>
      <c r="L850" s="353">
        <v>2801.6</v>
      </c>
      <c r="M850" s="560">
        <f t="shared" si="39"/>
        <v>128.49800114220446</v>
      </c>
      <c r="N850" s="354" t="s">
        <v>395</v>
      </c>
      <c r="O850" s="354">
        <v>0</v>
      </c>
      <c r="P850" s="355" t="s">
        <v>396</v>
      </c>
      <c r="Q850" s="354" t="s">
        <v>345</v>
      </c>
      <c r="R850" s="353">
        <v>0</v>
      </c>
      <c r="S850" s="353">
        <v>0</v>
      </c>
      <c r="T850" s="353">
        <v>0</v>
      </c>
      <c r="U850" s="353">
        <v>0</v>
      </c>
      <c r="V850" s="353">
        <v>0</v>
      </c>
      <c r="W850" s="353">
        <v>0</v>
      </c>
    </row>
    <row r="851" spans="1:23" x14ac:dyDescent="0.25">
      <c r="A851" s="348" t="s">
        <v>1165</v>
      </c>
      <c r="B851" s="379">
        <v>40</v>
      </c>
      <c r="C851" s="350" t="s">
        <v>1102</v>
      </c>
      <c r="D851" s="351" t="s">
        <v>1161</v>
      </c>
      <c r="E851" s="352">
        <v>6176</v>
      </c>
      <c r="F851" s="352">
        <v>6</v>
      </c>
      <c r="G851" s="434" t="s">
        <v>1038</v>
      </c>
      <c r="H851" s="580" t="s">
        <v>1166</v>
      </c>
      <c r="I851" s="350" t="s">
        <v>393</v>
      </c>
      <c r="J851" s="556">
        <v>412000</v>
      </c>
      <c r="K851" s="350" t="s">
        <v>394</v>
      </c>
      <c r="L851" s="353">
        <v>2801.6</v>
      </c>
      <c r="M851" s="560">
        <f t="shared" si="39"/>
        <v>147.05882352941177</v>
      </c>
      <c r="N851" s="354" t="s">
        <v>395</v>
      </c>
      <c r="O851" s="354">
        <v>0</v>
      </c>
      <c r="P851" s="355" t="s">
        <v>396</v>
      </c>
      <c r="Q851" s="354" t="s">
        <v>345</v>
      </c>
      <c r="R851" s="353">
        <v>0</v>
      </c>
      <c r="S851" s="353">
        <v>0</v>
      </c>
      <c r="T851" s="353">
        <v>0</v>
      </c>
      <c r="U851" s="353">
        <v>0</v>
      </c>
      <c r="V851" s="353">
        <v>0</v>
      </c>
      <c r="W851" s="353">
        <v>0</v>
      </c>
    </row>
    <row r="852" spans="1:23" x14ac:dyDescent="0.25">
      <c r="A852" s="348" t="s">
        <v>1167</v>
      </c>
      <c r="B852" s="379">
        <v>39</v>
      </c>
      <c r="C852" s="350" t="s">
        <v>1102</v>
      </c>
      <c r="D852" s="351" t="s">
        <v>1161</v>
      </c>
      <c r="E852" s="352">
        <v>6172</v>
      </c>
      <c r="F852" s="352">
        <v>6</v>
      </c>
      <c r="G852" s="434" t="s">
        <v>1038</v>
      </c>
      <c r="H852" s="350" t="s">
        <v>1168</v>
      </c>
      <c r="I852" s="350" t="s">
        <v>393</v>
      </c>
      <c r="J852" s="556">
        <v>683100</v>
      </c>
      <c r="K852" s="350" t="s">
        <v>394</v>
      </c>
      <c r="L852" s="353">
        <v>2801.6</v>
      </c>
      <c r="M852" s="560">
        <f t="shared" si="39"/>
        <v>243.82495716733297</v>
      </c>
      <c r="N852" s="354" t="s">
        <v>395</v>
      </c>
      <c r="O852" s="354">
        <v>0</v>
      </c>
      <c r="P852" s="355" t="s">
        <v>396</v>
      </c>
      <c r="Q852" s="354" t="s">
        <v>345</v>
      </c>
      <c r="R852" s="353">
        <v>0</v>
      </c>
      <c r="S852" s="353">
        <v>0</v>
      </c>
      <c r="T852" s="353">
        <v>0</v>
      </c>
      <c r="U852" s="353">
        <v>0</v>
      </c>
      <c r="V852" s="353">
        <v>0</v>
      </c>
      <c r="W852" s="353">
        <v>0</v>
      </c>
    </row>
    <row r="853" spans="1:23" x14ac:dyDescent="0.25">
      <c r="A853" s="348" t="s">
        <v>1169</v>
      </c>
      <c r="B853" s="379">
        <v>41</v>
      </c>
      <c r="C853" s="350" t="s">
        <v>1102</v>
      </c>
      <c r="D853" s="351" t="s">
        <v>1161</v>
      </c>
      <c r="E853" s="352">
        <v>6345</v>
      </c>
      <c r="F853" s="352">
        <v>6</v>
      </c>
      <c r="G853" s="434" t="s">
        <v>1038</v>
      </c>
      <c r="H853" s="580" t="s">
        <v>1170</v>
      </c>
      <c r="I853" s="350" t="s">
        <v>393</v>
      </c>
      <c r="J853" s="556">
        <v>300000</v>
      </c>
      <c r="K853" s="350" t="s">
        <v>394</v>
      </c>
      <c r="L853" s="353">
        <v>2801.6</v>
      </c>
      <c r="M853" s="560">
        <f t="shared" si="39"/>
        <v>107.08166761850372</v>
      </c>
      <c r="N853" s="354" t="s">
        <v>395</v>
      </c>
      <c r="O853" s="354">
        <v>0</v>
      </c>
      <c r="P853" s="355" t="s">
        <v>396</v>
      </c>
      <c r="Q853" s="354" t="s">
        <v>345</v>
      </c>
      <c r="R853" s="353">
        <v>0</v>
      </c>
      <c r="S853" s="353">
        <v>0</v>
      </c>
      <c r="T853" s="353">
        <v>0</v>
      </c>
      <c r="U853" s="353">
        <v>0</v>
      </c>
      <c r="V853" s="353">
        <v>0</v>
      </c>
      <c r="W853" s="353">
        <v>0</v>
      </c>
    </row>
    <row r="854" spans="1:23" x14ac:dyDescent="0.25">
      <c r="A854" s="348" t="s">
        <v>1171</v>
      </c>
      <c r="B854" s="379">
        <v>36</v>
      </c>
      <c r="C854" s="350" t="s">
        <v>1102</v>
      </c>
      <c r="D854" s="351" t="s">
        <v>1161</v>
      </c>
      <c r="E854" s="352">
        <v>6345</v>
      </c>
      <c r="F854" s="352">
        <v>6</v>
      </c>
      <c r="G854" s="434" t="s">
        <v>1038</v>
      </c>
      <c r="H854" s="580" t="s">
        <v>1172</v>
      </c>
      <c r="I854" s="350" t="s">
        <v>393</v>
      </c>
      <c r="J854" s="556">
        <v>140000</v>
      </c>
      <c r="K854" s="350" t="s">
        <v>394</v>
      </c>
      <c r="L854" s="353">
        <v>2801.6</v>
      </c>
      <c r="M854" s="560">
        <f t="shared" si="39"/>
        <v>49.97144488863507</v>
      </c>
      <c r="N854" s="354" t="s">
        <v>395</v>
      </c>
      <c r="O854" s="354">
        <v>0</v>
      </c>
      <c r="P854" s="355" t="s">
        <v>396</v>
      </c>
      <c r="Q854" s="354" t="s">
        <v>345</v>
      </c>
      <c r="R854" s="353">
        <v>0</v>
      </c>
      <c r="S854" s="353">
        <v>0</v>
      </c>
      <c r="T854" s="353">
        <v>0</v>
      </c>
      <c r="U854" s="353">
        <v>0</v>
      </c>
      <c r="V854" s="353">
        <v>0</v>
      </c>
      <c r="W854" s="353">
        <v>0</v>
      </c>
    </row>
    <row r="855" spans="1:23" x14ac:dyDescent="0.25">
      <c r="A855" s="348" t="s">
        <v>1171</v>
      </c>
      <c r="B855" s="379">
        <v>36</v>
      </c>
      <c r="C855" s="350" t="s">
        <v>1102</v>
      </c>
      <c r="D855" s="351" t="s">
        <v>1161</v>
      </c>
      <c r="E855" s="352">
        <v>6345</v>
      </c>
      <c r="F855" s="352">
        <v>6</v>
      </c>
      <c r="G855" s="434" t="s">
        <v>1038</v>
      </c>
      <c r="H855" s="580" t="s">
        <v>1173</v>
      </c>
      <c r="I855" s="350" t="s">
        <v>393</v>
      </c>
      <c r="J855" s="556">
        <v>104000</v>
      </c>
      <c r="K855" s="350" t="s">
        <v>394</v>
      </c>
      <c r="L855" s="353">
        <v>2801.6</v>
      </c>
      <c r="M855" s="560">
        <f t="shared" si="39"/>
        <v>37.121644774414619</v>
      </c>
      <c r="N855" s="354" t="s">
        <v>395</v>
      </c>
      <c r="O855" s="354">
        <v>0</v>
      </c>
      <c r="P855" s="355" t="s">
        <v>396</v>
      </c>
      <c r="Q855" s="354" t="s">
        <v>345</v>
      </c>
      <c r="R855" s="353">
        <v>0</v>
      </c>
      <c r="S855" s="353">
        <v>0</v>
      </c>
      <c r="T855" s="353">
        <v>0</v>
      </c>
      <c r="U855" s="353">
        <v>0</v>
      </c>
      <c r="V855" s="353">
        <v>0</v>
      </c>
      <c r="W855" s="353">
        <v>0</v>
      </c>
    </row>
    <row r="856" spans="1:23" x14ac:dyDescent="0.25">
      <c r="A856" s="348" t="s">
        <v>1171</v>
      </c>
      <c r="B856" s="379">
        <v>36</v>
      </c>
      <c r="C856" s="350" t="s">
        <v>1102</v>
      </c>
      <c r="D856" s="351" t="s">
        <v>1161</v>
      </c>
      <c r="E856" s="352">
        <v>6345</v>
      </c>
      <c r="F856" s="352">
        <v>6</v>
      </c>
      <c r="G856" s="434" t="s">
        <v>1038</v>
      </c>
      <c r="H856" s="580" t="s">
        <v>1174</v>
      </c>
      <c r="I856" s="350" t="s">
        <v>393</v>
      </c>
      <c r="J856" s="556">
        <v>390000</v>
      </c>
      <c r="K856" s="350" t="s">
        <v>394</v>
      </c>
      <c r="L856" s="353">
        <v>2801.6</v>
      </c>
      <c r="M856" s="560">
        <f t="shared" si="39"/>
        <v>139.20616790405484</v>
      </c>
      <c r="N856" s="354" t="s">
        <v>395</v>
      </c>
      <c r="O856" s="354">
        <v>0</v>
      </c>
      <c r="P856" s="355" t="s">
        <v>396</v>
      </c>
      <c r="Q856" s="354" t="s">
        <v>345</v>
      </c>
      <c r="R856" s="353">
        <v>0</v>
      </c>
      <c r="S856" s="353">
        <v>0</v>
      </c>
      <c r="T856" s="353">
        <v>0</v>
      </c>
      <c r="U856" s="353">
        <v>0</v>
      </c>
      <c r="V856" s="353">
        <v>0</v>
      </c>
      <c r="W856" s="353">
        <v>0</v>
      </c>
    </row>
    <row r="857" spans="1:23" x14ac:dyDescent="0.25">
      <c r="A857" s="348" t="s">
        <v>1175</v>
      </c>
      <c r="B857" s="379">
        <v>44</v>
      </c>
      <c r="C857" s="350" t="s">
        <v>1102</v>
      </c>
      <c r="D857" s="351" t="s">
        <v>1176</v>
      </c>
      <c r="E857" s="352">
        <v>6345</v>
      </c>
      <c r="F857" s="352">
        <v>6</v>
      </c>
      <c r="G857" s="434" t="s">
        <v>1038</v>
      </c>
      <c r="H857" s="580" t="s">
        <v>1177</v>
      </c>
      <c r="I857" s="350" t="s">
        <v>393</v>
      </c>
      <c r="J857" s="556">
        <v>150000</v>
      </c>
      <c r="K857" s="350" t="s">
        <v>394</v>
      </c>
      <c r="L857" s="353">
        <v>2801.6</v>
      </c>
      <c r="M857" s="560">
        <f t="shared" si="39"/>
        <v>53.540833809251858</v>
      </c>
      <c r="N857" s="354" t="s">
        <v>395</v>
      </c>
      <c r="O857" s="354">
        <v>0</v>
      </c>
      <c r="P857" s="355" t="s">
        <v>396</v>
      </c>
      <c r="Q857" s="354" t="s">
        <v>345</v>
      </c>
      <c r="R857" s="353">
        <v>0</v>
      </c>
      <c r="S857" s="353">
        <v>0</v>
      </c>
      <c r="T857" s="353">
        <v>0</v>
      </c>
      <c r="U857" s="353">
        <v>0</v>
      </c>
      <c r="V857" s="353">
        <v>0</v>
      </c>
      <c r="W857" s="353">
        <v>0</v>
      </c>
    </row>
    <row r="858" spans="1:23" x14ac:dyDescent="0.25">
      <c r="A858" s="348" t="s">
        <v>1175</v>
      </c>
      <c r="B858" s="379">
        <v>44</v>
      </c>
      <c r="C858" s="350" t="s">
        <v>1102</v>
      </c>
      <c r="D858" s="351" t="s">
        <v>1176</v>
      </c>
      <c r="E858" s="352">
        <v>6345</v>
      </c>
      <c r="F858" s="352">
        <v>6</v>
      </c>
      <c r="G858" s="434" t="s">
        <v>1038</v>
      </c>
      <c r="H858" s="580" t="s">
        <v>1178</v>
      </c>
      <c r="I858" s="350" t="s">
        <v>393</v>
      </c>
      <c r="J858" s="556">
        <v>117000</v>
      </c>
      <c r="K858" s="350" t="s">
        <v>394</v>
      </c>
      <c r="L858" s="353">
        <v>2801.6</v>
      </c>
      <c r="M858" s="560">
        <f t="shared" si="39"/>
        <v>41.761850371216447</v>
      </c>
      <c r="N858" s="354" t="s">
        <v>395</v>
      </c>
      <c r="O858" s="354">
        <v>0</v>
      </c>
      <c r="P858" s="355" t="s">
        <v>396</v>
      </c>
      <c r="Q858" s="354" t="s">
        <v>345</v>
      </c>
      <c r="R858" s="353">
        <v>0</v>
      </c>
      <c r="S858" s="353">
        <v>0</v>
      </c>
      <c r="T858" s="353">
        <v>0</v>
      </c>
      <c r="U858" s="353">
        <v>0</v>
      </c>
      <c r="V858" s="353">
        <v>0</v>
      </c>
      <c r="W858" s="353">
        <v>0</v>
      </c>
    </row>
    <row r="859" spans="1:23" x14ac:dyDescent="0.25">
      <c r="A859" s="348" t="s">
        <v>1175</v>
      </c>
      <c r="B859" s="379">
        <v>44</v>
      </c>
      <c r="C859" s="350" t="s">
        <v>1102</v>
      </c>
      <c r="D859" s="351" t="s">
        <v>1176</v>
      </c>
      <c r="E859" s="352">
        <v>6345</v>
      </c>
      <c r="F859" s="352">
        <v>6</v>
      </c>
      <c r="G859" s="434" t="s">
        <v>1038</v>
      </c>
      <c r="H859" s="580" t="s">
        <v>1179</v>
      </c>
      <c r="I859" s="350" t="s">
        <v>393</v>
      </c>
      <c r="J859" s="556">
        <v>364000</v>
      </c>
      <c r="K859" s="350" t="s">
        <v>394</v>
      </c>
      <c r="L859" s="353">
        <v>2801.6</v>
      </c>
      <c r="M859" s="560">
        <f t="shared" si="39"/>
        <v>129.92575671045117</v>
      </c>
      <c r="N859" s="354" t="s">
        <v>395</v>
      </c>
      <c r="O859" s="354">
        <v>0</v>
      </c>
      <c r="P859" s="355" t="s">
        <v>396</v>
      </c>
      <c r="Q859" s="354" t="s">
        <v>345</v>
      </c>
      <c r="R859" s="353">
        <v>0</v>
      </c>
      <c r="S859" s="353">
        <v>0</v>
      </c>
      <c r="T859" s="353">
        <v>0</v>
      </c>
      <c r="U859" s="353">
        <v>0</v>
      </c>
      <c r="V859" s="353">
        <v>0</v>
      </c>
      <c r="W859" s="353">
        <v>0</v>
      </c>
    </row>
    <row r="860" spans="1:23" x14ac:dyDescent="0.25">
      <c r="A860" s="348" t="s">
        <v>1180</v>
      </c>
      <c r="B860" s="379">
        <v>37</v>
      </c>
      <c r="C860" s="350" t="s">
        <v>1102</v>
      </c>
      <c r="D860" s="351" t="s">
        <v>1181</v>
      </c>
      <c r="E860" s="352">
        <v>6345</v>
      </c>
      <c r="F860" s="352">
        <v>6</v>
      </c>
      <c r="G860" s="434" t="s">
        <v>1038</v>
      </c>
      <c r="H860" s="580" t="s">
        <v>1182</v>
      </c>
      <c r="I860" s="350" t="s">
        <v>393</v>
      </c>
      <c r="J860" s="556">
        <v>150000</v>
      </c>
      <c r="K860" s="350" t="s">
        <v>394</v>
      </c>
      <c r="L860" s="353">
        <v>2801.6</v>
      </c>
      <c r="M860" s="560">
        <f t="shared" si="39"/>
        <v>53.540833809251858</v>
      </c>
      <c r="N860" s="354" t="s">
        <v>395</v>
      </c>
      <c r="O860" s="354">
        <v>0</v>
      </c>
      <c r="P860" s="355" t="s">
        <v>396</v>
      </c>
      <c r="Q860" s="354" t="s">
        <v>345</v>
      </c>
      <c r="R860" s="353">
        <v>0</v>
      </c>
      <c r="S860" s="353">
        <v>0</v>
      </c>
      <c r="T860" s="353">
        <v>0</v>
      </c>
      <c r="U860" s="353">
        <v>0</v>
      </c>
      <c r="V860" s="353">
        <v>0</v>
      </c>
      <c r="W860" s="353">
        <v>0</v>
      </c>
    </row>
    <row r="861" spans="1:23" x14ac:dyDescent="0.25">
      <c r="A861" s="348" t="s">
        <v>1180</v>
      </c>
      <c r="B861" s="379">
        <v>37</v>
      </c>
      <c r="C861" s="350" t="s">
        <v>1102</v>
      </c>
      <c r="D861" s="351" t="s">
        <v>1181</v>
      </c>
      <c r="E861" s="352">
        <v>6345</v>
      </c>
      <c r="F861" s="352">
        <v>6</v>
      </c>
      <c r="G861" s="434" t="s">
        <v>1038</v>
      </c>
      <c r="H861" s="580" t="s">
        <v>1183</v>
      </c>
      <c r="I861" s="350" t="s">
        <v>393</v>
      </c>
      <c r="J861" s="556">
        <v>130000</v>
      </c>
      <c r="K861" s="350" t="s">
        <v>394</v>
      </c>
      <c r="L861" s="353">
        <v>2801.6</v>
      </c>
      <c r="M861" s="560">
        <f t="shared" si="39"/>
        <v>46.402055968018274</v>
      </c>
      <c r="N861" s="354" t="s">
        <v>395</v>
      </c>
      <c r="O861" s="354">
        <v>0</v>
      </c>
      <c r="P861" s="355" t="s">
        <v>396</v>
      </c>
      <c r="Q861" s="354" t="s">
        <v>345</v>
      </c>
      <c r="R861" s="353">
        <v>0</v>
      </c>
      <c r="S861" s="353">
        <v>0</v>
      </c>
      <c r="T861" s="353">
        <v>0</v>
      </c>
      <c r="U861" s="353">
        <v>0</v>
      </c>
      <c r="V861" s="353">
        <v>0</v>
      </c>
      <c r="W861" s="353">
        <v>0</v>
      </c>
    </row>
    <row r="862" spans="1:23" x14ac:dyDescent="0.25">
      <c r="A862" s="348" t="s">
        <v>1180</v>
      </c>
      <c r="B862" s="379">
        <v>37</v>
      </c>
      <c r="C862" s="350" t="s">
        <v>1102</v>
      </c>
      <c r="D862" s="351" t="s">
        <v>1181</v>
      </c>
      <c r="E862" s="352">
        <v>6345</v>
      </c>
      <c r="F862" s="352">
        <v>6</v>
      </c>
      <c r="G862" s="434" t="s">
        <v>1038</v>
      </c>
      <c r="H862" s="580" t="s">
        <v>1184</v>
      </c>
      <c r="I862" s="350" t="s">
        <v>393</v>
      </c>
      <c r="J862" s="556">
        <v>364000</v>
      </c>
      <c r="K862" s="350" t="s">
        <v>394</v>
      </c>
      <c r="L862" s="353">
        <v>2801.6</v>
      </c>
      <c r="M862" s="560">
        <f t="shared" si="39"/>
        <v>129.92575671045117</v>
      </c>
      <c r="N862" s="354" t="s">
        <v>395</v>
      </c>
      <c r="O862" s="354">
        <v>0</v>
      </c>
      <c r="P862" s="355" t="s">
        <v>396</v>
      </c>
      <c r="Q862" s="354" t="s">
        <v>345</v>
      </c>
      <c r="R862" s="353">
        <v>0</v>
      </c>
      <c r="S862" s="353">
        <v>0</v>
      </c>
      <c r="T862" s="353">
        <v>0</v>
      </c>
      <c r="U862" s="353">
        <v>0</v>
      </c>
      <c r="V862" s="353">
        <v>0</v>
      </c>
      <c r="W862" s="353">
        <v>0</v>
      </c>
    </row>
    <row r="863" spans="1:23" x14ac:dyDescent="0.25">
      <c r="A863" s="348" t="s">
        <v>1185</v>
      </c>
      <c r="B863" s="379">
        <v>45</v>
      </c>
      <c r="C863" s="350" t="s">
        <v>1102</v>
      </c>
      <c r="D863" s="351" t="s">
        <v>1186</v>
      </c>
      <c r="E863" s="352">
        <v>6172</v>
      </c>
      <c r="F863" s="352">
        <v>6</v>
      </c>
      <c r="G863" s="434" t="s">
        <v>1038</v>
      </c>
      <c r="H863" s="350" t="s">
        <v>1187</v>
      </c>
      <c r="I863" s="350" t="s">
        <v>393</v>
      </c>
      <c r="J863" s="556">
        <v>341550</v>
      </c>
      <c r="K863" s="350" t="s">
        <v>394</v>
      </c>
      <c r="L863" s="353">
        <v>2801.6</v>
      </c>
      <c r="M863" s="560">
        <f t="shared" si="39"/>
        <v>121.91247858366648</v>
      </c>
      <c r="N863" s="354" t="s">
        <v>395</v>
      </c>
      <c r="O863" s="354">
        <v>0</v>
      </c>
      <c r="P863" s="355" t="s">
        <v>396</v>
      </c>
      <c r="Q863" s="354" t="s">
        <v>345</v>
      </c>
      <c r="R863" s="353">
        <v>0</v>
      </c>
      <c r="S863" s="353">
        <v>0</v>
      </c>
      <c r="T863" s="353">
        <v>0</v>
      </c>
      <c r="U863" s="353">
        <v>0</v>
      </c>
      <c r="V863" s="353">
        <v>0</v>
      </c>
      <c r="W863" s="353">
        <v>0</v>
      </c>
    </row>
    <row r="864" spans="1:23" x14ac:dyDescent="0.25">
      <c r="A864" s="348" t="s">
        <v>1188</v>
      </c>
      <c r="B864" s="379">
        <v>46</v>
      </c>
      <c r="C864" s="350" t="s">
        <v>1102</v>
      </c>
      <c r="D864" s="351" t="s">
        <v>1189</v>
      </c>
      <c r="E864" s="352">
        <v>6345</v>
      </c>
      <c r="F864" s="352">
        <v>6</v>
      </c>
      <c r="G864" s="434" t="s">
        <v>1038</v>
      </c>
      <c r="H864" s="580" t="s">
        <v>1170</v>
      </c>
      <c r="I864" s="350" t="s">
        <v>393</v>
      </c>
      <c r="J864" s="556">
        <v>200000</v>
      </c>
      <c r="K864" s="350" t="s">
        <v>394</v>
      </c>
      <c r="L864" s="353">
        <v>2801.6</v>
      </c>
      <c r="M864" s="560">
        <f t="shared" si="39"/>
        <v>71.387778412335805</v>
      </c>
      <c r="N864" s="354" t="s">
        <v>395</v>
      </c>
      <c r="O864" s="354">
        <v>0</v>
      </c>
      <c r="P864" s="355" t="s">
        <v>396</v>
      </c>
      <c r="Q864" s="354" t="s">
        <v>345</v>
      </c>
      <c r="R864" s="353">
        <v>0</v>
      </c>
      <c r="S864" s="353">
        <v>0</v>
      </c>
      <c r="T864" s="353">
        <v>0</v>
      </c>
      <c r="U864" s="353">
        <v>0</v>
      </c>
      <c r="V864" s="353">
        <v>0</v>
      </c>
      <c r="W864" s="353">
        <v>0</v>
      </c>
    </row>
    <row r="865" spans="1:23" x14ac:dyDescent="0.25">
      <c r="A865" s="348" t="s">
        <v>1190</v>
      </c>
      <c r="B865" s="379">
        <v>47</v>
      </c>
      <c r="C865" s="350" t="s">
        <v>1102</v>
      </c>
      <c r="D865" s="351" t="s">
        <v>1191</v>
      </c>
      <c r="E865" s="352">
        <v>6345</v>
      </c>
      <c r="F865" s="352">
        <v>6</v>
      </c>
      <c r="G865" s="434" t="s">
        <v>1038</v>
      </c>
      <c r="H865" s="580" t="s">
        <v>1192</v>
      </c>
      <c r="I865" s="350" t="s">
        <v>393</v>
      </c>
      <c r="J865" s="556">
        <v>140000</v>
      </c>
      <c r="K865" s="350" t="s">
        <v>394</v>
      </c>
      <c r="L865" s="353">
        <v>2801.6</v>
      </c>
      <c r="M865" s="560">
        <f t="shared" si="39"/>
        <v>49.97144488863507</v>
      </c>
      <c r="N865" s="354" t="s">
        <v>395</v>
      </c>
      <c r="O865" s="354">
        <v>0</v>
      </c>
      <c r="P865" s="355" t="s">
        <v>396</v>
      </c>
      <c r="Q865" s="354" t="s">
        <v>345</v>
      </c>
      <c r="R865" s="353">
        <v>0</v>
      </c>
      <c r="S865" s="353">
        <v>0</v>
      </c>
      <c r="T865" s="353">
        <v>0</v>
      </c>
      <c r="U865" s="353">
        <v>0</v>
      </c>
      <c r="V865" s="353">
        <v>0</v>
      </c>
      <c r="W865" s="353">
        <v>0</v>
      </c>
    </row>
    <row r="866" spans="1:23" x14ac:dyDescent="0.25">
      <c r="A866" s="348" t="s">
        <v>1190</v>
      </c>
      <c r="B866" s="379">
        <v>47</v>
      </c>
      <c r="C866" s="350" t="s">
        <v>1102</v>
      </c>
      <c r="D866" s="351" t="s">
        <v>1191</v>
      </c>
      <c r="E866" s="352">
        <v>6345</v>
      </c>
      <c r="F866" s="352">
        <v>6</v>
      </c>
      <c r="G866" s="434" t="s">
        <v>1038</v>
      </c>
      <c r="H866" s="580" t="s">
        <v>1193</v>
      </c>
      <c r="I866" s="350" t="s">
        <v>393</v>
      </c>
      <c r="J866" s="556">
        <v>104000</v>
      </c>
      <c r="K866" s="350" t="s">
        <v>394</v>
      </c>
      <c r="L866" s="353">
        <v>2801.6</v>
      </c>
      <c r="M866" s="560">
        <f t="shared" si="39"/>
        <v>37.121644774414619</v>
      </c>
      <c r="N866" s="354" t="s">
        <v>395</v>
      </c>
      <c r="O866" s="354">
        <v>0</v>
      </c>
      <c r="P866" s="355" t="s">
        <v>396</v>
      </c>
      <c r="Q866" s="354" t="s">
        <v>345</v>
      </c>
      <c r="R866" s="353">
        <v>0</v>
      </c>
      <c r="S866" s="353">
        <v>0</v>
      </c>
      <c r="T866" s="353">
        <v>0</v>
      </c>
      <c r="U866" s="353">
        <v>0</v>
      </c>
      <c r="V866" s="353">
        <v>0</v>
      </c>
      <c r="W866" s="353">
        <v>0</v>
      </c>
    </row>
    <row r="867" spans="1:23" x14ac:dyDescent="0.25">
      <c r="A867" s="348" t="s">
        <v>1190</v>
      </c>
      <c r="B867" s="379">
        <v>47</v>
      </c>
      <c r="C867" s="350" t="s">
        <v>1102</v>
      </c>
      <c r="D867" s="351" t="s">
        <v>1191</v>
      </c>
      <c r="E867" s="352">
        <v>6345</v>
      </c>
      <c r="F867" s="352">
        <v>6</v>
      </c>
      <c r="G867" s="434" t="s">
        <v>1038</v>
      </c>
      <c r="H867" s="580" t="s">
        <v>1194</v>
      </c>
      <c r="I867" s="350" t="s">
        <v>393</v>
      </c>
      <c r="J867" s="556">
        <v>364000</v>
      </c>
      <c r="K867" s="350" t="s">
        <v>394</v>
      </c>
      <c r="L867" s="353">
        <v>2801.6</v>
      </c>
      <c r="M867" s="560">
        <f t="shared" si="39"/>
        <v>129.92575671045117</v>
      </c>
      <c r="N867" s="354" t="s">
        <v>395</v>
      </c>
      <c r="O867" s="354">
        <v>0</v>
      </c>
      <c r="P867" s="355" t="s">
        <v>396</v>
      </c>
      <c r="Q867" s="354" t="s">
        <v>345</v>
      </c>
      <c r="R867" s="353">
        <v>0</v>
      </c>
      <c r="S867" s="353">
        <v>0</v>
      </c>
      <c r="T867" s="353">
        <v>0</v>
      </c>
      <c r="U867" s="353">
        <v>0</v>
      </c>
      <c r="V867" s="353">
        <v>0</v>
      </c>
      <c r="W867" s="353">
        <v>0</v>
      </c>
    </row>
    <row r="868" spans="1:23" x14ac:dyDescent="0.25">
      <c r="A868" s="348" t="s">
        <v>1195</v>
      </c>
      <c r="B868" s="379">
        <v>49</v>
      </c>
      <c r="C868" s="350" t="s">
        <v>1102</v>
      </c>
      <c r="D868" s="351" t="s">
        <v>1191</v>
      </c>
      <c r="E868" s="352">
        <v>6345</v>
      </c>
      <c r="F868" s="352">
        <v>6</v>
      </c>
      <c r="G868" s="434" t="s">
        <v>1038</v>
      </c>
      <c r="H868" s="580" t="s">
        <v>1196</v>
      </c>
      <c r="I868" s="350" t="s">
        <v>393</v>
      </c>
      <c r="J868" s="556">
        <v>150000</v>
      </c>
      <c r="K868" s="350" t="s">
        <v>394</v>
      </c>
      <c r="L868" s="353">
        <v>2801.6</v>
      </c>
      <c r="M868" s="560">
        <f t="shared" si="39"/>
        <v>53.540833809251858</v>
      </c>
      <c r="N868" s="354" t="s">
        <v>395</v>
      </c>
      <c r="O868" s="354">
        <v>0</v>
      </c>
      <c r="P868" s="355" t="s">
        <v>396</v>
      </c>
      <c r="Q868" s="354" t="s">
        <v>345</v>
      </c>
      <c r="R868" s="353">
        <v>0</v>
      </c>
      <c r="S868" s="353">
        <v>0</v>
      </c>
      <c r="T868" s="353">
        <v>0</v>
      </c>
      <c r="U868" s="353">
        <v>0</v>
      </c>
      <c r="V868" s="353">
        <v>0</v>
      </c>
      <c r="W868" s="353">
        <v>0</v>
      </c>
    </row>
    <row r="869" spans="1:23" x14ac:dyDescent="0.25">
      <c r="A869" s="348" t="s">
        <v>1195</v>
      </c>
      <c r="B869" s="379">
        <v>49</v>
      </c>
      <c r="C869" s="350" t="s">
        <v>1102</v>
      </c>
      <c r="D869" s="351" t="s">
        <v>1191</v>
      </c>
      <c r="E869" s="352">
        <v>6345</v>
      </c>
      <c r="F869" s="352">
        <v>6</v>
      </c>
      <c r="G869" s="434" t="s">
        <v>1038</v>
      </c>
      <c r="H869" s="580" t="s">
        <v>1197</v>
      </c>
      <c r="I869" s="350" t="s">
        <v>393</v>
      </c>
      <c r="J869" s="556">
        <v>130000</v>
      </c>
      <c r="K869" s="350" t="s">
        <v>394</v>
      </c>
      <c r="L869" s="353">
        <v>2801.6</v>
      </c>
      <c r="M869" s="560">
        <f t="shared" si="39"/>
        <v>46.402055968018274</v>
      </c>
      <c r="N869" s="354" t="s">
        <v>395</v>
      </c>
      <c r="O869" s="354">
        <v>0</v>
      </c>
      <c r="P869" s="355" t="s">
        <v>396</v>
      </c>
      <c r="Q869" s="354" t="s">
        <v>345</v>
      </c>
      <c r="R869" s="353">
        <v>0</v>
      </c>
      <c r="S869" s="353">
        <v>0</v>
      </c>
      <c r="T869" s="353">
        <v>0</v>
      </c>
      <c r="U869" s="353">
        <v>0</v>
      </c>
      <c r="V869" s="353">
        <v>0</v>
      </c>
      <c r="W869" s="353">
        <v>0</v>
      </c>
    </row>
    <row r="870" spans="1:23" x14ac:dyDescent="0.25">
      <c r="A870" s="348" t="s">
        <v>1195</v>
      </c>
      <c r="B870" s="379">
        <v>49</v>
      </c>
      <c r="C870" s="350" t="s">
        <v>1102</v>
      </c>
      <c r="D870" s="351" t="s">
        <v>1191</v>
      </c>
      <c r="E870" s="352">
        <v>6345</v>
      </c>
      <c r="F870" s="352">
        <v>6</v>
      </c>
      <c r="G870" s="434" t="s">
        <v>1038</v>
      </c>
      <c r="H870" s="580" t="s">
        <v>1198</v>
      </c>
      <c r="I870" s="350" t="s">
        <v>393</v>
      </c>
      <c r="J870" s="556">
        <v>390000</v>
      </c>
      <c r="K870" s="350" t="s">
        <v>394</v>
      </c>
      <c r="L870" s="353">
        <v>2801.6</v>
      </c>
      <c r="M870" s="560">
        <f t="shared" si="39"/>
        <v>139.20616790405484</v>
      </c>
      <c r="N870" s="354" t="s">
        <v>395</v>
      </c>
      <c r="O870" s="354">
        <v>0</v>
      </c>
      <c r="P870" s="355" t="s">
        <v>396</v>
      </c>
      <c r="Q870" s="354" t="s">
        <v>345</v>
      </c>
      <c r="R870" s="353">
        <v>0</v>
      </c>
      <c r="S870" s="353">
        <v>0</v>
      </c>
      <c r="T870" s="353">
        <v>0</v>
      </c>
      <c r="U870" s="353">
        <v>0</v>
      </c>
      <c r="V870" s="353">
        <v>0</v>
      </c>
      <c r="W870" s="353">
        <v>0</v>
      </c>
    </row>
    <row r="871" spans="1:23" x14ac:dyDescent="0.25">
      <c r="A871" s="348" t="s">
        <v>1199</v>
      </c>
      <c r="B871" s="379">
        <v>43</v>
      </c>
      <c r="C871" s="350" t="s">
        <v>1102</v>
      </c>
      <c r="D871" s="351" t="s">
        <v>1189</v>
      </c>
      <c r="E871" s="352">
        <v>6345</v>
      </c>
      <c r="F871" s="352">
        <v>6</v>
      </c>
      <c r="G871" s="434" t="s">
        <v>1038</v>
      </c>
      <c r="H871" s="580" t="s">
        <v>1162</v>
      </c>
      <c r="I871" s="350" t="s">
        <v>393</v>
      </c>
      <c r="J871" s="556">
        <v>20000</v>
      </c>
      <c r="K871" s="350" t="s">
        <v>394</v>
      </c>
      <c r="L871" s="353">
        <v>2801.6</v>
      </c>
      <c r="M871" s="560">
        <f t="shared" si="39"/>
        <v>7.1387778412335807</v>
      </c>
      <c r="N871" s="354" t="s">
        <v>395</v>
      </c>
      <c r="O871" s="354">
        <v>0</v>
      </c>
      <c r="P871" s="355" t="s">
        <v>396</v>
      </c>
      <c r="Q871" s="354" t="s">
        <v>345</v>
      </c>
      <c r="R871" s="353">
        <v>0</v>
      </c>
      <c r="S871" s="353">
        <v>0</v>
      </c>
      <c r="T871" s="353">
        <v>0</v>
      </c>
      <c r="U871" s="353">
        <v>0</v>
      </c>
      <c r="V871" s="353">
        <v>0</v>
      </c>
      <c r="W871" s="353">
        <v>0</v>
      </c>
    </row>
    <row r="872" spans="1:23" x14ac:dyDescent="0.25">
      <c r="A872" s="348" t="s">
        <v>1199</v>
      </c>
      <c r="B872" s="379">
        <v>43</v>
      </c>
      <c r="C872" s="350" t="s">
        <v>1102</v>
      </c>
      <c r="D872" s="351" t="s">
        <v>1189</v>
      </c>
      <c r="E872" s="352">
        <v>6345</v>
      </c>
      <c r="F872" s="352">
        <v>6</v>
      </c>
      <c r="G872" s="434" t="s">
        <v>1038</v>
      </c>
      <c r="H872" s="580" t="s">
        <v>1163</v>
      </c>
      <c r="I872" s="350" t="s">
        <v>393</v>
      </c>
      <c r="J872" s="556">
        <v>60000</v>
      </c>
      <c r="K872" s="350" t="s">
        <v>394</v>
      </c>
      <c r="L872" s="353">
        <v>2801.6</v>
      </c>
      <c r="M872" s="560">
        <f t="shared" si="39"/>
        <v>21.416333523700743</v>
      </c>
      <c r="N872" s="354" t="s">
        <v>395</v>
      </c>
      <c r="O872" s="354">
        <v>0</v>
      </c>
      <c r="P872" s="355" t="s">
        <v>396</v>
      </c>
      <c r="Q872" s="354" t="s">
        <v>345</v>
      </c>
      <c r="R872" s="353">
        <v>0</v>
      </c>
      <c r="S872" s="353">
        <v>0</v>
      </c>
      <c r="T872" s="353">
        <v>0</v>
      </c>
      <c r="U872" s="353">
        <v>0</v>
      </c>
      <c r="V872" s="353">
        <v>0</v>
      </c>
      <c r="W872" s="353">
        <v>0</v>
      </c>
    </row>
    <row r="873" spans="1:23" x14ac:dyDescent="0.25">
      <c r="A873" s="348" t="s">
        <v>1199</v>
      </c>
      <c r="B873" s="379">
        <v>43</v>
      </c>
      <c r="C873" s="350" t="s">
        <v>1102</v>
      </c>
      <c r="D873" s="351" t="s">
        <v>1189</v>
      </c>
      <c r="E873" s="352">
        <v>6345</v>
      </c>
      <c r="F873" s="352">
        <v>6</v>
      </c>
      <c r="G873" s="434" t="s">
        <v>1038</v>
      </c>
      <c r="H873" s="580" t="s">
        <v>1164</v>
      </c>
      <c r="I873" s="350" t="s">
        <v>393</v>
      </c>
      <c r="J873" s="556">
        <v>600000</v>
      </c>
      <c r="K873" s="350" t="s">
        <v>394</v>
      </c>
      <c r="L873" s="353">
        <v>2801.6</v>
      </c>
      <c r="M873" s="560">
        <f t="shared" si="39"/>
        <v>214.16333523700743</v>
      </c>
      <c r="N873" s="354" t="s">
        <v>395</v>
      </c>
      <c r="O873" s="354">
        <v>0</v>
      </c>
      <c r="P873" s="355" t="s">
        <v>396</v>
      </c>
      <c r="Q873" s="354" t="s">
        <v>345</v>
      </c>
      <c r="R873" s="353">
        <v>0</v>
      </c>
      <c r="S873" s="353">
        <v>0</v>
      </c>
      <c r="T873" s="353">
        <v>0</v>
      </c>
      <c r="U873" s="353">
        <v>0</v>
      </c>
      <c r="V873" s="353">
        <v>0</v>
      </c>
      <c r="W873" s="353">
        <v>0</v>
      </c>
    </row>
    <row r="874" spans="1:23" x14ac:dyDescent="0.25">
      <c r="A874" s="348" t="s">
        <v>1199</v>
      </c>
      <c r="B874" s="379">
        <v>43</v>
      </c>
      <c r="C874" s="350" t="s">
        <v>1102</v>
      </c>
      <c r="D874" s="351" t="s">
        <v>1189</v>
      </c>
      <c r="E874" s="352">
        <v>6345</v>
      </c>
      <c r="F874" s="352">
        <v>6</v>
      </c>
      <c r="G874" s="434" t="s">
        <v>1038</v>
      </c>
      <c r="H874" s="580" t="s">
        <v>352</v>
      </c>
      <c r="I874" s="350" t="s">
        <v>393</v>
      </c>
      <c r="J874" s="556">
        <v>240000</v>
      </c>
      <c r="K874" s="350" t="s">
        <v>394</v>
      </c>
      <c r="L874" s="353">
        <v>2801.6</v>
      </c>
      <c r="M874" s="560">
        <f t="shared" si="39"/>
        <v>85.665334094802972</v>
      </c>
      <c r="N874" s="354" t="s">
        <v>395</v>
      </c>
      <c r="O874" s="354">
        <v>0</v>
      </c>
      <c r="P874" s="355" t="s">
        <v>396</v>
      </c>
      <c r="Q874" s="354" t="s">
        <v>345</v>
      </c>
      <c r="R874" s="353">
        <v>0</v>
      </c>
      <c r="S874" s="353">
        <v>0</v>
      </c>
      <c r="T874" s="353">
        <v>0</v>
      </c>
      <c r="U874" s="353">
        <v>0</v>
      </c>
      <c r="V874" s="353">
        <v>0</v>
      </c>
      <c r="W874" s="353">
        <v>0</v>
      </c>
    </row>
    <row r="875" spans="1:23" x14ac:dyDescent="0.25">
      <c r="A875" s="348" t="s">
        <v>1200</v>
      </c>
      <c r="B875" s="379">
        <v>50</v>
      </c>
      <c r="C875" s="350" t="s">
        <v>1102</v>
      </c>
      <c r="D875" s="351" t="s">
        <v>1106</v>
      </c>
      <c r="E875" s="352">
        <v>6345</v>
      </c>
      <c r="F875" s="352">
        <v>6</v>
      </c>
      <c r="G875" s="434" t="s">
        <v>1038</v>
      </c>
      <c r="H875" s="580" t="s">
        <v>1170</v>
      </c>
      <c r="I875" s="350" t="s">
        <v>393</v>
      </c>
      <c r="J875" s="556">
        <v>150000</v>
      </c>
      <c r="K875" s="350" t="s">
        <v>394</v>
      </c>
      <c r="L875" s="353">
        <v>2801.6</v>
      </c>
      <c r="M875" s="560">
        <f t="shared" si="39"/>
        <v>53.540833809251858</v>
      </c>
      <c r="N875" s="354" t="s">
        <v>395</v>
      </c>
      <c r="O875" s="354">
        <v>0</v>
      </c>
      <c r="P875" s="355" t="s">
        <v>396</v>
      </c>
      <c r="Q875" s="354" t="s">
        <v>345</v>
      </c>
      <c r="R875" s="353">
        <v>0</v>
      </c>
      <c r="S875" s="353">
        <v>0</v>
      </c>
      <c r="T875" s="353">
        <v>0</v>
      </c>
      <c r="U875" s="353">
        <v>0</v>
      </c>
      <c r="V875" s="353">
        <v>0</v>
      </c>
      <c r="W875" s="353">
        <v>0</v>
      </c>
    </row>
    <row r="876" spans="1:23" x14ac:dyDescent="0.25">
      <c r="A876" s="348" t="s">
        <v>1201</v>
      </c>
      <c r="B876" s="379">
        <v>55</v>
      </c>
      <c r="C876" s="350" t="s">
        <v>1102</v>
      </c>
      <c r="D876" s="351" t="s">
        <v>1202</v>
      </c>
      <c r="E876" s="352">
        <v>6312</v>
      </c>
      <c r="F876" s="352">
        <v>6</v>
      </c>
      <c r="G876" s="434" t="s">
        <v>1038</v>
      </c>
      <c r="H876" s="350" t="s">
        <v>351</v>
      </c>
      <c r="I876" s="350" t="s">
        <v>393</v>
      </c>
      <c r="J876" s="556">
        <v>360000</v>
      </c>
      <c r="K876" s="350" t="s">
        <v>394</v>
      </c>
      <c r="L876" s="353">
        <v>2801.6</v>
      </c>
      <c r="M876" s="560">
        <f t="shared" si="39"/>
        <v>128.49800114220446</v>
      </c>
      <c r="N876" s="354" t="s">
        <v>395</v>
      </c>
      <c r="O876" s="354">
        <v>0</v>
      </c>
      <c r="P876" s="355" t="s">
        <v>396</v>
      </c>
      <c r="Q876" s="354" t="s">
        <v>345</v>
      </c>
      <c r="R876" s="353">
        <v>0</v>
      </c>
      <c r="S876" s="353">
        <v>0</v>
      </c>
      <c r="T876" s="353">
        <v>0</v>
      </c>
      <c r="U876" s="353">
        <v>0</v>
      </c>
      <c r="V876" s="353">
        <v>0</v>
      </c>
      <c r="W876" s="353">
        <v>0</v>
      </c>
    </row>
    <row r="877" spans="1:23" x14ac:dyDescent="0.25">
      <c r="A877" s="348" t="s">
        <v>1203</v>
      </c>
      <c r="B877" s="379">
        <v>56</v>
      </c>
      <c r="C877" s="350" t="s">
        <v>1102</v>
      </c>
      <c r="D877" s="351" t="s">
        <v>1202</v>
      </c>
      <c r="E877" s="352">
        <v>6312</v>
      </c>
      <c r="F877" s="352">
        <v>6</v>
      </c>
      <c r="G877" s="434" t="s">
        <v>1038</v>
      </c>
      <c r="H877" s="350" t="s">
        <v>351</v>
      </c>
      <c r="I877" s="350" t="s">
        <v>393</v>
      </c>
      <c r="J877" s="556">
        <v>720000</v>
      </c>
      <c r="K877" s="350" t="s">
        <v>394</v>
      </c>
      <c r="L877" s="353">
        <v>2801.6</v>
      </c>
      <c r="M877" s="560">
        <f t="shared" si="39"/>
        <v>256.99600228440892</v>
      </c>
      <c r="N877" s="354" t="s">
        <v>395</v>
      </c>
      <c r="O877" s="354">
        <v>0</v>
      </c>
      <c r="P877" s="355" t="s">
        <v>396</v>
      </c>
      <c r="Q877" s="354" t="s">
        <v>345</v>
      </c>
      <c r="R877" s="353">
        <v>0</v>
      </c>
      <c r="S877" s="353">
        <v>0</v>
      </c>
      <c r="T877" s="353">
        <v>0</v>
      </c>
      <c r="U877" s="353">
        <v>0</v>
      </c>
      <c r="V877" s="353">
        <v>0</v>
      </c>
      <c r="W877" s="353">
        <v>0</v>
      </c>
    </row>
    <row r="878" spans="1:23" x14ac:dyDescent="0.25">
      <c r="A878" s="348" t="s">
        <v>1204</v>
      </c>
      <c r="B878" s="379">
        <v>58</v>
      </c>
      <c r="C878" s="350" t="s">
        <v>1102</v>
      </c>
      <c r="D878" s="351" t="s">
        <v>1114</v>
      </c>
      <c r="E878" s="352">
        <v>6179</v>
      </c>
      <c r="F878" s="352">
        <v>6</v>
      </c>
      <c r="G878" s="434" t="s">
        <v>1038</v>
      </c>
      <c r="H878" s="350" t="s">
        <v>1205</v>
      </c>
      <c r="I878" s="350" t="s">
        <v>393</v>
      </c>
      <c r="J878" s="556">
        <v>30000</v>
      </c>
      <c r="K878" s="350" t="s">
        <v>394</v>
      </c>
      <c r="L878" s="353">
        <v>2801.6</v>
      </c>
      <c r="M878" s="560">
        <f t="shared" si="39"/>
        <v>10.708166761850372</v>
      </c>
      <c r="N878" s="354" t="s">
        <v>395</v>
      </c>
      <c r="O878" s="354">
        <v>0</v>
      </c>
      <c r="P878" s="355" t="s">
        <v>396</v>
      </c>
      <c r="Q878" s="354" t="s">
        <v>345</v>
      </c>
      <c r="R878" s="353">
        <v>0</v>
      </c>
      <c r="S878" s="353">
        <v>0</v>
      </c>
      <c r="T878" s="353">
        <v>0</v>
      </c>
      <c r="U878" s="353">
        <v>0</v>
      </c>
      <c r="V878" s="353">
        <v>0</v>
      </c>
      <c r="W878" s="353">
        <v>0</v>
      </c>
    </row>
    <row r="879" spans="1:23" x14ac:dyDescent="0.25">
      <c r="A879" s="348" t="s">
        <v>1356</v>
      </c>
      <c r="B879" s="349">
        <v>71</v>
      </c>
      <c r="C879" s="350" t="s">
        <v>997</v>
      </c>
      <c r="D879" s="351">
        <v>45162</v>
      </c>
      <c r="E879" s="352"/>
      <c r="F879" s="352">
        <v>6</v>
      </c>
      <c r="G879" s="348" t="s">
        <v>1038</v>
      </c>
      <c r="H879" s="350" t="s">
        <v>1357</v>
      </c>
      <c r="I879" s="350" t="s">
        <v>393</v>
      </c>
      <c r="J879" s="375">
        <v>100000</v>
      </c>
      <c r="K879" s="350" t="s">
        <v>394</v>
      </c>
      <c r="L879" s="354">
        <v>2802.3999950000002</v>
      </c>
      <c r="M879" s="375">
        <f>J879/L879</f>
        <v>35.683699749649762</v>
      </c>
      <c r="N879" s="354" t="s">
        <v>395</v>
      </c>
      <c r="O879" s="354">
        <v>0</v>
      </c>
      <c r="P879" s="355" t="s">
        <v>396</v>
      </c>
      <c r="Q879" s="354" t="s">
        <v>397</v>
      </c>
      <c r="R879" s="353">
        <v>0</v>
      </c>
      <c r="S879" s="353">
        <v>0</v>
      </c>
      <c r="T879" s="353">
        <v>0</v>
      </c>
      <c r="U879" s="353">
        <v>0</v>
      </c>
      <c r="V879" s="353">
        <v>0</v>
      </c>
      <c r="W879" s="353">
        <v>0</v>
      </c>
    </row>
    <row r="880" spans="1:23" x14ac:dyDescent="0.25">
      <c r="A880" s="348" t="s">
        <v>1356</v>
      </c>
      <c r="B880" s="349">
        <v>71</v>
      </c>
      <c r="C880" s="350" t="s">
        <v>997</v>
      </c>
      <c r="D880" s="351">
        <v>45162</v>
      </c>
      <c r="E880" s="352"/>
      <c r="F880" s="352">
        <v>6</v>
      </c>
      <c r="G880" s="348" t="s">
        <v>1038</v>
      </c>
      <c r="H880" s="350" t="s">
        <v>1358</v>
      </c>
      <c r="I880" s="350" t="s">
        <v>393</v>
      </c>
      <c r="J880" s="375">
        <v>112000</v>
      </c>
      <c r="K880" s="350" t="s">
        <v>394</v>
      </c>
      <c r="L880" s="354">
        <v>2802.3999950000002</v>
      </c>
      <c r="M880" s="375">
        <f t="shared" ref="M880:M910" si="40">J880/L880</f>
        <v>39.96574371960773</v>
      </c>
      <c r="N880" s="354" t="s">
        <v>395</v>
      </c>
      <c r="O880" s="354">
        <v>0</v>
      </c>
      <c r="P880" s="355" t="s">
        <v>396</v>
      </c>
      <c r="Q880" s="354" t="s">
        <v>397</v>
      </c>
      <c r="R880" s="353">
        <v>0</v>
      </c>
      <c r="S880" s="353">
        <v>0</v>
      </c>
      <c r="T880" s="353">
        <v>0</v>
      </c>
      <c r="U880" s="353">
        <v>0</v>
      </c>
      <c r="V880" s="353">
        <v>0</v>
      </c>
      <c r="W880" s="353">
        <v>0</v>
      </c>
    </row>
    <row r="881" spans="1:23" x14ac:dyDescent="0.25">
      <c r="A881" s="348" t="s">
        <v>1356</v>
      </c>
      <c r="B881" s="349">
        <v>71</v>
      </c>
      <c r="C881" s="350" t="s">
        <v>997</v>
      </c>
      <c r="D881" s="351">
        <v>45162</v>
      </c>
      <c r="E881" s="352"/>
      <c r="F881" s="352">
        <v>6</v>
      </c>
      <c r="G881" s="348" t="s">
        <v>1038</v>
      </c>
      <c r="H881" s="350" t="s">
        <v>1359</v>
      </c>
      <c r="I881" s="350" t="s">
        <v>393</v>
      </c>
      <c r="J881" s="375">
        <v>196000</v>
      </c>
      <c r="K881" s="350" t="s">
        <v>394</v>
      </c>
      <c r="L881" s="354">
        <v>2802.3999950000002</v>
      </c>
      <c r="M881" s="375">
        <f t="shared" si="40"/>
        <v>69.940051509313534</v>
      </c>
      <c r="N881" s="354" t="s">
        <v>395</v>
      </c>
      <c r="O881" s="354">
        <v>0</v>
      </c>
      <c r="P881" s="355" t="s">
        <v>396</v>
      </c>
      <c r="Q881" s="354" t="s">
        <v>397</v>
      </c>
      <c r="R881" s="353">
        <v>0</v>
      </c>
      <c r="S881" s="353">
        <v>0</v>
      </c>
      <c r="T881" s="353">
        <v>0</v>
      </c>
      <c r="U881" s="353">
        <v>0</v>
      </c>
      <c r="V881" s="353">
        <v>0</v>
      </c>
      <c r="W881" s="353">
        <v>0</v>
      </c>
    </row>
    <row r="882" spans="1:23" x14ac:dyDescent="0.25">
      <c r="A882" s="348" t="s">
        <v>1356</v>
      </c>
      <c r="B882" s="349">
        <v>71</v>
      </c>
      <c r="C882" s="350" t="s">
        <v>997</v>
      </c>
      <c r="D882" s="351">
        <v>45162</v>
      </c>
      <c r="E882" s="352"/>
      <c r="F882" s="352">
        <v>6</v>
      </c>
      <c r="G882" s="348" t="s">
        <v>1038</v>
      </c>
      <c r="H882" s="350" t="s">
        <v>1360</v>
      </c>
      <c r="I882" s="350" t="s">
        <v>393</v>
      </c>
      <c r="J882" s="375">
        <v>56000</v>
      </c>
      <c r="K882" s="350" t="s">
        <v>394</v>
      </c>
      <c r="L882" s="354">
        <v>2802.3999950000002</v>
      </c>
      <c r="M882" s="375">
        <f t="shared" si="40"/>
        <v>19.982871859803865</v>
      </c>
      <c r="N882" s="354" t="s">
        <v>395</v>
      </c>
      <c r="O882" s="354">
        <v>0</v>
      </c>
      <c r="P882" s="355" t="s">
        <v>396</v>
      </c>
      <c r="Q882" s="354" t="s">
        <v>397</v>
      </c>
      <c r="R882" s="353">
        <v>0</v>
      </c>
      <c r="S882" s="353">
        <v>0</v>
      </c>
      <c r="T882" s="353">
        <v>0</v>
      </c>
      <c r="U882" s="353">
        <v>0</v>
      </c>
      <c r="V882" s="353">
        <v>0</v>
      </c>
      <c r="W882" s="353">
        <v>0</v>
      </c>
    </row>
    <row r="883" spans="1:23" x14ac:dyDescent="0.25">
      <c r="A883" s="348" t="s">
        <v>1361</v>
      </c>
      <c r="B883" s="349">
        <v>72</v>
      </c>
      <c r="C883" s="350" t="s">
        <v>997</v>
      </c>
      <c r="D883" s="351">
        <v>45162</v>
      </c>
      <c r="E883" s="352"/>
      <c r="F883" s="352">
        <v>6</v>
      </c>
      <c r="G883" s="348" t="s">
        <v>1038</v>
      </c>
      <c r="H883" s="350" t="s">
        <v>1362</v>
      </c>
      <c r="I883" s="350" t="s">
        <v>393</v>
      </c>
      <c r="J883" s="375">
        <v>100000</v>
      </c>
      <c r="K883" s="350" t="s">
        <v>394</v>
      </c>
      <c r="L883" s="354">
        <v>2802.3999950000002</v>
      </c>
      <c r="M883" s="375">
        <f t="shared" si="40"/>
        <v>35.683699749649762</v>
      </c>
      <c r="N883" s="354" t="s">
        <v>395</v>
      </c>
      <c r="O883" s="354">
        <v>0</v>
      </c>
      <c r="P883" s="355" t="s">
        <v>396</v>
      </c>
      <c r="Q883" s="354" t="s">
        <v>397</v>
      </c>
      <c r="R883" s="353">
        <v>0</v>
      </c>
      <c r="S883" s="353">
        <v>0</v>
      </c>
      <c r="T883" s="353">
        <v>0</v>
      </c>
      <c r="U883" s="353">
        <v>0</v>
      </c>
      <c r="V883" s="353">
        <v>0</v>
      </c>
      <c r="W883" s="353">
        <v>0</v>
      </c>
    </row>
    <row r="884" spans="1:23" x14ac:dyDescent="0.25">
      <c r="A884" s="348" t="s">
        <v>1361</v>
      </c>
      <c r="B884" s="349">
        <v>72</v>
      </c>
      <c r="C884" s="350" t="s">
        <v>997</v>
      </c>
      <c r="D884" s="351">
        <v>45162</v>
      </c>
      <c r="E884" s="352"/>
      <c r="F884" s="352">
        <v>6</v>
      </c>
      <c r="G884" s="348" t="s">
        <v>1038</v>
      </c>
      <c r="H884" s="350" t="s">
        <v>1363</v>
      </c>
      <c r="I884" s="350" t="s">
        <v>393</v>
      </c>
      <c r="J884" s="375">
        <v>112000</v>
      </c>
      <c r="K884" s="350" t="s">
        <v>394</v>
      </c>
      <c r="L884" s="354">
        <v>2802.3999950000002</v>
      </c>
      <c r="M884" s="375">
        <f t="shared" si="40"/>
        <v>39.96574371960773</v>
      </c>
      <c r="N884" s="354" t="s">
        <v>395</v>
      </c>
      <c r="O884" s="354">
        <v>0</v>
      </c>
      <c r="P884" s="355" t="s">
        <v>396</v>
      </c>
      <c r="Q884" s="354" t="s">
        <v>397</v>
      </c>
      <c r="R884" s="353">
        <v>0</v>
      </c>
      <c r="S884" s="353">
        <v>0</v>
      </c>
      <c r="T884" s="353">
        <v>0</v>
      </c>
      <c r="U884" s="353">
        <v>0</v>
      </c>
      <c r="V884" s="353">
        <v>0</v>
      </c>
      <c r="W884" s="353">
        <v>0</v>
      </c>
    </row>
    <row r="885" spans="1:23" x14ac:dyDescent="0.25">
      <c r="A885" s="348" t="s">
        <v>1361</v>
      </c>
      <c r="B885" s="349">
        <v>72</v>
      </c>
      <c r="C885" s="350" t="s">
        <v>997</v>
      </c>
      <c r="D885" s="351">
        <v>45162</v>
      </c>
      <c r="E885" s="352"/>
      <c r="F885" s="352">
        <v>6</v>
      </c>
      <c r="G885" s="348" t="s">
        <v>1038</v>
      </c>
      <c r="H885" s="350" t="s">
        <v>1364</v>
      </c>
      <c r="I885" s="350" t="s">
        <v>393</v>
      </c>
      <c r="J885" s="375">
        <v>224000</v>
      </c>
      <c r="K885" s="350" t="s">
        <v>394</v>
      </c>
      <c r="L885" s="354">
        <v>2802.3999950000002</v>
      </c>
      <c r="M885" s="375">
        <f t="shared" si="40"/>
        <v>79.931487439215459</v>
      </c>
      <c r="N885" s="354" t="s">
        <v>395</v>
      </c>
      <c r="O885" s="354">
        <v>0</v>
      </c>
      <c r="P885" s="355" t="s">
        <v>396</v>
      </c>
      <c r="Q885" s="354" t="s">
        <v>397</v>
      </c>
      <c r="R885" s="353">
        <v>0</v>
      </c>
      <c r="S885" s="353">
        <v>0</v>
      </c>
      <c r="T885" s="353">
        <v>0</v>
      </c>
      <c r="U885" s="353">
        <v>0</v>
      </c>
      <c r="V885" s="353">
        <v>0</v>
      </c>
      <c r="W885" s="353">
        <v>0</v>
      </c>
    </row>
    <row r="886" spans="1:23" x14ac:dyDescent="0.25">
      <c r="A886" s="348" t="s">
        <v>1361</v>
      </c>
      <c r="B886" s="349">
        <v>72</v>
      </c>
      <c r="C886" s="350" t="s">
        <v>997</v>
      </c>
      <c r="D886" s="351">
        <v>45162</v>
      </c>
      <c r="E886" s="352"/>
      <c r="F886" s="352">
        <v>6</v>
      </c>
      <c r="G886" s="348" t="s">
        <v>1038</v>
      </c>
      <c r="H886" s="350" t="s">
        <v>1365</v>
      </c>
      <c r="I886" s="350" t="s">
        <v>393</v>
      </c>
      <c r="J886" s="375">
        <v>56000</v>
      </c>
      <c r="K886" s="350" t="s">
        <v>394</v>
      </c>
      <c r="L886" s="354">
        <v>2802.3999950000002</v>
      </c>
      <c r="M886" s="375">
        <f t="shared" si="40"/>
        <v>19.982871859803865</v>
      </c>
      <c r="N886" s="354" t="s">
        <v>395</v>
      </c>
      <c r="O886" s="354">
        <v>0</v>
      </c>
      <c r="P886" s="355" t="s">
        <v>396</v>
      </c>
      <c r="Q886" s="354" t="s">
        <v>397</v>
      </c>
      <c r="R886" s="353">
        <v>0</v>
      </c>
      <c r="S886" s="353">
        <v>0</v>
      </c>
      <c r="T886" s="353">
        <v>0</v>
      </c>
      <c r="U886" s="353">
        <v>0</v>
      </c>
      <c r="V886" s="353">
        <v>0</v>
      </c>
      <c r="W886" s="353">
        <v>0</v>
      </c>
    </row>
    <row r="887" spans="1:23" x14ac:dyDescent="0.25">
      <c r="A887" s="348" t="s">
        <v>1366</v>
      </c>
      <c r="B887" s="349">
        <v>73</v>
      </c>
      <c r="C887" s="350" t="s">
        <v>997</v>
      </c>
      <c r="D887" s="351">
        <v>45162</v>
      </c>
      <c r="E887" s="352"/>
      <c r="F887" s="352">
        <v>6</v>
      </c>
      <c r="G887" s="348" t="s">
        <v>1038</v>
      </c>
      <c r="H887" s="350" t="s">
        <v>351</v>
      </c>
      <c r="I887" s="350" t="s">
        <v>393</v>
      </c>
      <c r="J887" s="560">
        <v>600000</v>
      </c>
      <c r="K887" s="350" t="s">
        <v>394</v>
      </c>
      <c r="L887" s="354">
        <v>2802.3999950000002</v>
      </c>
      <c r="M887" s="375">
        <f t="shared" si="40"/>
        <v>214.10219849789857</v>
      </c>
      <c r="N887" s="354" t="s">
        <v>395</v>
      </c>
      <c r="O887" s="354">
        <v>0</v>
      </c>
      <c r="P887" s="355" t="s">
        <v>396</v>
      </c>
      <c r="Q887" s="354" t="s">
        <v>397</v>
      </c>
      <c r="R887" s="353">
        <v>0</v>
      </c>
      <c r="S887" s="353">
        <v>0</v>
      </c>
      <c r="T887" s="353">
        <v>0</v>
      </c>
      <c r="U887" s="353">
        <v>0</v>
      </c>
      <c r="V887" s="353">
        <v>0</v>
      </c>
      <c r="W887" s="353">
        <v>0</v>
      </c>
    </row>
    <row r="888" spans="1:23" x14ac:dyDescent="0.25">
      <c r="A888" s="348" t="s">
        <v>1367</v>
      </c>
      <c r="B888" s="349">
        <v>74</v>
      </c>
      <c r="C888" s="350" t="s">
        <v>997</v>
      </c>
      <c r="D888" s="351">
        <v>45162</v>
      </c>
      <c r="E888" s="352"/>
      <c r="F888" s="352">
        <v>6</v>
      </c>
      <c r="G888" s="348" t="s">
        <v>1038</v>
      </c>
      <c r="H888" s="350" t="s">
        <v>1368</v>
      </c>
      <c r="I888" s="350" t="s">
        <v>393</v>
      </c>
      <c r="J888" s="375">
        <v>36000</v>
      </c>
      <c r="K888" s="350" t="s">
        <v>394</v>
      </c>
      <c r="L888" s="354">
        <v>2802.3999950000002</v>
      </c>
      <c r="M888" s="375">
        <f t="shared" si="40"/>
        <v>12.846131909873915</v>
      </c>
      <c r="N888" s="354" t="s">
        <v>395</v>
      </c>
      <c r="O888" s="354">
        <v>0</v>
      </c>
      <c r="P888" s="355" t="s">
        <v>396</v>
      </c>
      <c r="Q888" s="354" t="s">
        <v>397</v>
      </c>
      <c r="R888" s="353">
        <v>0</v>
      </c>
      <c r="S888" s="353">
        <v>0</v>
      </c>
      <c r="T888" s="353">
        <v>0</v>
      </c>
      <c r="U888" s="353">
        <v>0</v>
      </c>
      <c r="V888" s="353">
        <v>0</v>
      </c>
      <c r="W888" s="353">
        <v>0</v>
      </c>
    </row>
    <row r="889" spans="1:23" x14ac:dyDescent="0.25">
      <c r="A889" s="348" t="s">
        <v>1367</v>
      </c>
      <c r="B889" s="349">
        <v>74</v>
      </c>
      <c r="C889" s="350" t="s">
        <v>997</v>
      </c>
      <c r="D889" s="351">
        <v>45162</v>
      </c>
      <c r="E889" s="352"/>
      <c r="F889" s="352">
        <v>6</v>
      </c>
      <c r="G889" s="348" t="s">
        <v>1038</v>
      </c>
      <c r="H889" s="350" t="s">
        <v>1225</v>
      </c>
      <c r="I889" s="350" t="s">
        <v>393</v>
      </c>
      <c r="J889" s="375">
        <v>25000</v>
      </c>
      <c r="K889" s="350" t="s">
        <v>394</v>
      </c>
      <c r="L889" s="354">
        <v>2802.3999950000002</v>
      </c>
      <c r="M889" s="375">
        <f t="shared" si="40"/>
        <v>8.9209249374124404</v>
      </c>
      <c r="N889" s="354" t="s">
        <v>395</v>
      </c>
      <c r="O889" s="354">
        <v>0</v>
      </c>
      <c r="P889" s="355" t="s">
        <v>396</v>
      </c>
      <c r="Q889" s="354" t="s">
        <v>397</v>
      </c>
      <c r="R889" s="353">
        <v>0</v>
      </c>
      <c r="S889" s="353">
        <v>0</v>
      </c>
      <c r="T889" s="353">
        <v>0</v>
      </c>
      <c r="U889" s="353">
        <v>0</v>
      </c>
      <c r="V889" s="353">
        <v>0</v>
      </c>
      <c r="W889" s="353">
        <v>0</v>
      </c>
    </row>
    <row r="890" spans="1:23" x14ac:dyDescent="0.25">
      <c r="A890" s="348" t="s">
        <v>1367</v>
      </c>
      <c r="B890" s="349">
        <v>74</v>
      </c>
      <c r="C890" s="350" t="s">
        <v>997</v>
      </c>
      <c r="D890" s="351">
        <v>45162</v>
      </c>
      <c r="E890" s="352"/>
      <c r="F890" s="352">
        <v>6</v>
      </c>
      <c r="G890" s="348" t="s">
        <v>1038</v>
      </c>
      <c r="H890" s="350" t="s">
        <v>1369</v>
      </c>
      <c r="I890" s="350" t="s">
        <v>393</v>
      </c>
      <c r="J890" s="375">
        <v>66000</v>
      </c>
      <c r="K890" s="350" t="s">
        <v>394</v>
      </c>
      <c r="L890" s="354">
        <v>2802.3999950000002</v>
      </c>
      <c r="M890" s="375">
        <f t="shared" si="40"/>
        <v>23.551241834768842</v>
      </c>
      <c r="N890" s="354" t="s">
        <v>395</v>
      </c>
      <c r="O890" s="354">
        <v>0</v>
      </c>
      <c r="P890" s="355" t="s">
        <v>396</v>
      </c>
      <c r="Q890" s="354" t="s">
        <v>397</v>
      </c>
      <c r="R890" s="353">
        <v>0</v>
      </c>
      <c r="S890" s="353">
        <v>0</v>
      </c>
      <c r="T890" s="353">
        <v>0</v>
      </c>
      <c r="U890" s="353">
        <v>0</v>
      </c>
      <c r="V890" s="353">
        <v>0</v>
      </c>
      <c r="W890" s="353">
        <v>0</v>
      </c>
    </row>
    <row r="891" spans="1:23" x14ac:dyDescent="0.25">
      <c r="A891" s="348" t="s">
        <v>1367</v>
      </c>
      <c r="B891" s="349">
        <v>74</v>
      </c>
      <c r="C891" s="350" t="s">
        <v>997</v>
      </c>
      <c r="D891" s="351">
        <v>45162</v>
      </c>
      <c r="E891" s="352"/>
      <c r="F891" s="352">
        <v>6</v>
      </c>
      <c r="G891" s="348" t="s">
        <v>1038</v>
      </c>
      <c r="H891" s="350" t="s">
        <v>1226</v>
      </c>
      <c r="I891" s="350" t="s">
        <v>393</v>
      </c>
      <c r="J891" s="375">
        <v>15000</v>
      </c>
      <c r="K891" s="350" t="s">
        <v>394</v>
      </c>
      <c r="L891" s="354">
        <v>2802.3999950000002</v>
      </c>
      <c r="M891" s="375">
        <f t="shared" si="40"/>
        <v>5.3525549624474644</v>
      </c>
      <c r="N891" s="354" t="s">
        <v>395</v>
      </c>
      <c r="O891" s="354">
        <v>0</v>
      </c>
      <c r="P891" s="355" t="s">
        <v>396</v>
      </c>
      <c r="Q891" s="354" t="s">
        <v>397</v>
      </c>
      <c r="R891" s="353">
        <v>0</v>
      </c>
      <c r="S891" s="353">
        <v>0</v>
      </c>
      <c r="T891" s="353">
        <v>0</v>
      </c>
      <c r="U891" s="353">
        <v>0</v>
      </c>
      <c r="V891" s="353">
        <v>0</v>
      </c>
      <c r="W891" s="353">
        <v>0</v>
      </c>
    </row>
    <row r="892" spans="1:23" x14ac:dyDescent="0.25">
      <c r="A892" s="348" t="s">
        <v>1367</v>
      </c>
      <c r="B892" s="349">
        <v>74</v>
      </c>
      <c r="C892" s="350" t="s">
        <v>997</v>
      </c>
      <c r="D892" s="351">
        <v>45162</v>
      </c>
      <c r="E892" s="352"/>
      <c r="F892" s="352">
        <v>6</v>
      </c>
      <c r="G892" s="348" t="s">
        <v>1038</v>
      </c>
      <c r="H892" s="350" t="s">
        <v>1227</v>
      </c>
      <c r="I892" s="350" t="s">
        <v>393</v>
      </c>
      <c r="J892" s="375">
        <v>10500</v>
      </c>
      <c r="K892" s="350" t="s">
        <v>394</v>
      </c>
      <c r="L892" s="354">
        <v>2802.3999950000002</v>
      </c>
      <c r="M892" s="375">
        <f t="shared" si="40"/>
        <v>3.7467884737132251</v>
      </c>
      <c r="N892" s="354" t="s">
        <v>395</v>
      </c>
      <c r="O892" s="354">
        <v>0</v>
      </c>
      <c r="P892" s="355" t="s">
        <v>396</v>
      </c>
      <c r="Q892" s="354" t="s">
        <v>397</v>
      </c>
      <c r="R892" s="353">
        <v>0</v>
      </c>
      <c r="S892" s="353">
        <v>0</v>
      </c>
      <c r="T892" s="353">
        <v>0</v>
      </c>
      <c r="U892" s="353">
        <v>0</v>
      </c>
      <c r="V892" s="353">
        <v>0</v>
      </c>
      <c r="W892" s="353">
        <v>0</v>
      </c>
    </row>
    <row r="893" spans="1:23" x14ac:dyDescent="0.25">
      <c r="A893" s="348" t="s">
        <v>1367</v>
      </c>
      <c r="B893" s="349">
        <v>74</v>
      </c>
      <c r="C893" s="350" t="s">
        <v>997</v>
      </c>
      <c r="D893" s="351">
        <v>45162</v>
      </c>
      <c r="E893" s="352"/>
      <c r="F893" s="352">
        <v>6</v>
      </c>
      <c r="G893" s="348" t="s">
        <v>1038</v>
      </c>
      <c r="H893" s="350" t="s">
        <v>1370</v>
      </c>
      <c r="I893" s="350" t="s">
        <v>393</v>
      </c>
      <c r="J893" s="375">
        <v>66000</v>
      </c>
      <c r="K893" s="350" t="s">
        <v>394</v>
      </c>
      <c r="L893" s="354">
        <v>2802.3999950000002</v>
      </c>
      <c r="M893" s="375">
        <f t="shared" si="40"/>
        <v>23.551241834768842</v>
      </c>
      <c r="N893" s="354" t="s">
        <v>395</v>
      </c>
      <c r="O893" s="354">
        <v>0</v>
      </c>
      <c r="P893" s="355" t="s">
        <v>396</v>
      </c>
      <c r="Q893" s="354" t="s">
        <v>397</v>
      </c>
      <c r="R893" s="353">
        <v>0</v>
      </c>
      <c r="S893" s="353">
        <v>0</v>
      </c>
      <c r="T893" s="353">
        <v>0</v>
      </c>
      <c r="U893" s="353">
        <v>0</v>
      </c>
      <c r="V893" s="353">
        <v>0</v>
      </c>
      <c r="W893" s="353">
        <v>0</v>
      </c>
    </row>
    <row r="894" spans="1:23" x14ac:dyDescent="0.25">
      <c r="A894" s="348" t="s">
        <v>1371</v>
      </c>
      <c r="B894" s="349">
        <v>75</v>
      </c>
      <c r="C894" s="350" t="s">
        <v>997</v>
      </c>
      <c r="D894" s="351">
        <v>45162</v>
      </c>
      <c r="F894" s="353">
        <v>6</v>
      </c>
      <c r="G894" s="348" t="s">
        <v>1038</v>
      </c>
      <c r="H894" s="350" t="s">
        <v>1372</v>
      </c>
      <c r="I894" s="350" t="s">
        <v>393</v>
      </c>
      <c r="J894" s="375">
        <v>100000</v>
      </c>
      <c r="K894" s="350" t="s">
        <v>394</v>
      </c>
      <c r="L894" s="354">
        <v>2802.3999950000002</v>
      </c>
      <c r="M894" s="375">
        <f t="shared" si="40"/>
        <v>35.683699749649762</v>
      </c>
      <c r="N894" s="354" t="s">
        <v>395</v>
      </c>
      <c r="O894" s="354">
        <v>0</v>
      </c>
      <c r="P894" s="355" t="s">
        <v>396</v>
      </c>
      <c r="Q894" s="354" t="s">
        <v>397</v>
      </c>
      <c r="R894" s="353">
        <v>0</v>
      </c>
      <c r="S894" s="353">
        <v>0</v>
      </c>
      <c r="T894" s="353">
        <v>0</v>
      </c>
      <c r="U894" s="353">
        <v>0</v>
      </c>
      <c r="V894" s="353">
        <v>0</v>
      </c>
      <c r="W894" s="353">
        <v>0</v>
      </c>
    </row>
    <row r="895" spans="1:23" x14ac:dyDescent="0.25">
      <c r="A895" s="348" t="s">
        <v>1371</v>
      </c>
      <c r="B895" s="349">
        <v>75</v>
      </c>
      <c r="C895" s="350" t="s">
        <v>997</v>
      </c>
      <c r="D895" s="351">
        <v>45162</v>
      </c>
      <c r="F895" s="353">
        <v>6</v>
      </c>
      <c r="G895" s="348" t="s">
        <v>1038</v>
      </c>
      <c r="H895" s="350" t="s">
        <v>1373</v>
      </c>
      <c r="I895" s="350" t="s">
        <v>393</v>
      </c>
      <c r="J895" s="375">
        <v>140000</v>
      </c>
      <c r="K895" s="350" t="s">
        <v>394</v>
      </c>
      <c r="L895" s="354">
        <v>2802.3999950000002</v>
      </c>
      <c r="M895" s="375">
        <f t="shared" si="40"/>
        <v>49.957179649509669</v>
      </c>
      <c r="N895" s="354" t="s">
        <v>395</v>
      </c>
      <c r="O895" s="354">
        <v>0</v>
      </c>
      <c r="P895" s="355" t="s">
        <v>396</v>
      </c>
      <c r="Q895" s="354" t="s">
        <v>397</v>
      </c>
      <c r="R895" s="353">
        <v>0</v>
      </c>
      <c r="S895" s="353">
        <v>0</v>
      </c>
      <c r="T895" s="353">
        <v>0</v>
      </c>
      <c r="U895" s="353">
        <v>0</v>
      </c>
      <c r="V895" s="353">
        <v>0</v>
      </c>
      <c r="W895" s="353">
        <v>0</v>
      </c>
    </row>
    <row r="896" spans="1:23" x14ac:dyDescent="0.25">
      <c r="A896" s="348" t="s">
        <v>1371</v>
      </c>
      <c r="B896" s="349">
        <v>75</v>
      </c>
      <c r="C896" s="350" t="s">
        <v>997</v>
      </c>
      <c r="D896" s="351">
        <v>45162</v>
      </c>
      <c r="F896" s="353">
        <v>6</v>
      </c>
      <c r="G896" s="348" t="s">
        <v>1038</v>
      </c>
      <c r="H896" s="350" t="s">
        <v>1374</v>
      </c>
      <c r="I896" s="350" t="s">
        <v>393</v>
      </c>
      <c r="J896" s="375">
        <v>336000</v>
      </c>
      <c r="K896" s="350" t="s">
        <v>394</v>
      </c>
      <c r="L896" s="354">
        <v>2802.3999950000002</v>
      </c>
      <c r="M896" s="375">
        <f t="shared" si="40"/>
        <v>119.8972311588232</v>
      </c>
      <c r="N896" s="354" t="s">
        <v>395</v>
      </c>
      <c r="O896" s="354">
        <v>0</v>
      </c>
      <c r="P896" s="355" t="s">
        <v>396</v>
      </c>
      <c r="Q896" s="354" t="s">
        <v>397</v>
      </c>
      <c r="R896" s="353">
        <v>0</v>
      </c>
      <c r="S896" s="353">
        <v>0</v>
      </c>
      <c r="T896" s="353">
        <v>0</v>
      </c>
      <c r="U896" s="353">
        <v>0</v>
      </c>
      <c r="V896" s="353">
        <v>0</v>
      </c>
      <c r="W896" s="353">
        <v>0</v>
      </c>
    </row>
    <row r="897" spans="1:23" x14ac:dyDescent="0.25">
      <c r="A897" s="348" t="s">
        <v>1371</v>
      </c>
      <c r="B897" s="349">
        <v>75</v>
      </c>
      <c r="C897" s="350" t="s">
        <v>997</v>
      </c>
      <c r="D897" s="351">
        <v>45162</v>
      </c>
      <c r="F897" s="353">
        <v>6</v>
      </c>
      <c r="G897" s="348" t="s">
        <v>1038</v>
      </c>
      <c r="H897" s="350" t="s">
        <v>1375</v>
      </c>
      <c r="I897" s="350" t="s">
        <v>393</v>
      </c>
      <c r="J897" s="375">
        <v>56000</v>
      </c>
      <c r="K897" s="350" t="s">
        <v>394</v>
      </c>
      <c r="L897" s="354">
        <v>2802.3999950000002</v>
      </c>
      <c r="M897" s="375">
        <f t="shared" si="40"/>
        <v>19.982871859803865</v>
      </c>
      <c r="N897" s="354" t="s">
        <v>395</v>
      </c>
      <c r="O897" s="354">
        <v>0</v>
      </c>
      <c r="P897" s="355" t="s">
        <v>396</v>
      </c>
      <c r="Q897" s="354" t="s">
        <v>397</v>
      </c>
      <c r="R897" s="353">
        <v>0</v>
      </c>
      <c r="S897" s="353">
        <v>0</v>
      </c>
      <c r="T897" s="353">
        <v>0</v>
      </c>
      <c r="U897" s="353">
        <v>0</v>
      </c>
      <c r="V897" s="353">
        <v>0</v>
      </c>
      <c r="W897" s="353">
        <v>0</v>
      </c>
    </row>
    <row r="898" spans="1:23" x14ac:dyDescent="0.25">
      <c r="A898" s="348" t="s">
        <v>1376</v>
      </c>
      <c r="B898" s="349">
        <v>76</v>
      </c>
      <c r="C898" s="350" t="s">
        <v>997</v>
      </c>
      <c r="D898" s="351">
        <v>45162</v>
      </c>
      <c r="F898" s="353">
        <v>6</v>
      </c>
      <c r="G898" s="348" t="s">
        <v>1038</v>
      </c>
      <c r="H898" s="350" t="s">
        <v>1205</v>
      </c>
      <c r="I898" s="350" t="s">
        <v>393</v>
      </c>
      <c r="J898" s="375">
        <v>60000</v>
      </c>
      <c r="K898" s="350" t="s">
        <v>394</v>
      </c>
      <c r="L898" s="354">
        <v>2802.3999950000002</v>
      </c>
      <c r="M898" s="375">
        <f t="shared" si="40"/>
        <v>21.410219849789858</v>
      </c>
      <c r="N898" s="354" t="s">
        <v>395</v>
      </c>
      <c r="O898" s="354">
        <v>0</v>
      </c>
      <c r="P898" s="355" t="s">
        <v>396</v>
      </c>
      <c r="Q898" s="354" t="s">
        <v>397</v>
      </c>
      <c r="R898" s="353">
        <v>0</v>
      </c>
      <c r="S898" s="353">
        <v>0</v>
      </c>
      <c r="T898" s="353">
        <v>0</v>
      </c>
      <c r="U898" s="353">
        <v>0</v>
      </c>
      <c r="V898" s="353">
        <v>0</v>
      </c>
      <c r="W898" s="353">
        <v>0</v>
      </c>
    </row>
    <row r="899" spans="1:23" x14ac:dyDescent="0.25">
      <c r="A899" s="348" t="s">
        <v>1377</v>
      </c>
      <c r="B899" s="349">
        <v>77</v>
      </c>
      <c r="C899" s="350" t="s">
        <v>997</v>
      </c>
      <c r="D899" s="351">
        <v>45162</v>
      </c>
      <c r="F899" s="353">
        <v>6</v>
      </c>
      <c r="G899" s="348" t="s">
        <v>1038</v>
      </c>
      <c r="H899" s="350" t="s">
        <v>351</v>
      </c>
      <c r="I899" s="350" t="s">
        <v>393</v>
      </c>
      <c r="J899" s="375">
        <v>360000</v>
      </c>
      <c r="K899" s="350" t="s">
        <v>394</v>
      </c>
      <c r="L899" s="354">
        <v>2802.3999950000002</v>
      </c>
      <c r="M899" s="375">
        <f t="shared" si="40"/>
        <v>128.46131909873915</v>
      </c>
      <c r="N899" s="354" t="s">
        <v>395</v>
      </c>
      <c r="O899" s="354">
        <v>0</v>
      </c>
      <c r="P899" s="355" t="s">
        <v>396</v>
      </c>
      <c r="Q899" s="354" t="s">
        <v>397</v>
      </c>
      <c r="R899" s="353">
        <v>0</v>
      </c>
      <c r="S899" s="353">
        <v>0</v>
      </c>
      <c r="T899" s="353">
        <v>0</v>
      </c>
      <c r="U899" s="353">
        <v>0</v>
      </c>
      <c r="V899" s="353">
        <v>0</v>
      </c>
      <c r="W899" s="353">
        <v>0</v>
      </c>
    </row>
    <row r="900" spans="1:23" x14ac:dyDescent="0.25">
      <c r="A900" s="348" t="s">
        <v>1378</v>
      </c>
      <c r="B900" s="349">
        <v>78</v>
      </c>
      <c r="C900" s="350" t="s">
        <v>997</v>
      </c>
      <c r="D900" s="562">
        <v>45142</v>
      </c>
      <c r="F900" s="353">
        <v>6</v>
      </c>
      <c r="G900" s="348" t="s">
        <v>1038</v>
      </c>
      <c r="H900" s="353" t="s">
        <v>352</v>
      </c>
      <c r="I900" s="350" t="s">
        <v>393</v>
      </c>
      <c r="J900" s="375">
        <v>300000</v>
      </c>
      <c r="K900" s="350" t="s">
        <v>394</v>
      </c>
      <c r="L900" s="354">
        <v>2802.3999950000002</v>
      </c>
      <c r="M900" s="375">
        <f t="shared" si="40"/>
        <v>107.05109924894928</v>
      </c>
      <c r="N900" s="354" t="s">
        <v>395</v>
      </c>
      <c r="O900" s="354">
        <v>0</v>
      </c>
      <c r="P900" s="355" t="s">
        <v>396</v>
      </c>
      <c r="Q900" s="354" t="s">
        <v>397</v>
      </c>
      <c r="R900" s="353">
        <v>0</v>
      </c>
      <c r="S900" s="353">
        <v>0</v>
      </c>
      <c r="T900" s="353">
        <v>0</v>
      </c>
      <c r="U900" s="353">
        <v>0</v>
      </c>
      <c r="V900" s="353">
        <v>0</v>
      </c>
      <c r="W900" s="353">
        <v>0</v>
      </c>
    </row>
    <row r="901" spans="1:23" x14ac:dyDescent="0.25">
      <c r="A901" s="348" t="s">
        <v>1378</v>
      </c>
      <c r="B901" s="349">
        <v>79</v>
      </c>
      <c r="C901" s="350" t="s">
        <v>997</v>
      </c>
      <c r="D901" s="562">
        <v>45142</v>
      </c>
      <c r="F901" s="353">
        <v>6</v>
      </c>
      <c r="G901" s="348" t="s">
        <v>1038</v>
      </c>
      <c r="H901" s="353" t="s">
        <v>1162</v>
      </c>
      <c r="I901" s="350" t="s">
        <v>393</v>
      </c>
      <c r="J901" s="375">
        <v>25000</v>
      </c>
      <c r="K901" s="350" t="s">
        <v>394</v>
      </c>
      <c r="L901" s="354">
        <v>2802.3999950000002</v>
      </c>
      <c r="M901" s="375">
        <f t="shared" si="40"/>
        <v>8.9209249374124404</v>
      </c>
      <c r="N901" s="354" t="s">
        <v>395</v>
      </c>
      <c r="O901" s="354">
        <v>0</v>
      </c>
      <c r="P901" s="355" t="s">
        <v>396</v>
      </c>
      <c r="Q901" s="354" t="s">
        <v>397</v>
      </c>
      <c r="R901" s="353">
        <v>0</v>
      </c>
      <c r="S901" s="353">
        <v>0</v>
      </c>
      <c r="T901" s="353">
        <v>0</v>
      </c>
      <c r="U901" s="353">
        <v>0</v>
      </c>
      <c r="V901" s="353">
        <v>0</v>
      </c>
      <c r="W901" s="353">
        <v>0</v>
      </c>
    </row>
    <row r="902" spans="1:23" x14ac:dyDescent="0.25">
      <c r="A902" s="348" t="s">
        <v>1378</v>
      </c>
      <c r="B902" s="349">
        <v>80</v>
      </c>
      <c r="C902" s="350" t="s">
        <v>997</v>
      </c>
      <c r="D902" s="562">
        <v>45142</v>
      </c>
      <c r="E902" s="352"/>
      <c r="F902" s="352">
        <v>6</v>
      </c>
      <c r="G902" s="348" t="s">
        <v>1038</v>
      </c>
      <c r="H902" s="353" t="s">
        <v>1379</v>
      </c>
      <c r="I902" s="350" t="s">
        <v>393</v>
      </c>
      <c r="J902" s="375">
        <v>75000</v>
      </c>
      <c r="K902" s="350" t="s">
        <v>394</v>
      </c>
      <c r="L902" s="354">
        <v>2802.3999950000002</v>
      </c>
      <c r="M902" s="375">
        <f t="shared" si="40"/>
        <v>26.762774812237321</v>
      </c>
      <c r="N902" s="354" t="s">
        <v>395</v>
      </c>
      <c r="O902" s="354">
        <v>0</v>
      </c>
      <c r="P902" s="355" t="s">
        <v>396</v>
      </c>
      <c r="Q902" s="354" t="s">
        <v>397</v>
      </c>
      <c r="R902" s="353">
        <v>0</v>
      </c>
      <c r="S902" s="353">
        <v>0</v>
      </c>
      <c r="T902" s="353">
        <v>0</v>
      </c>
      <c r="U902" s="353">
        <v>0</v>
      </c>
      <c r="V902" s="353">
        <v>0</v>
      </c>
      <c r="W902" s="353">
        <v>0</v>
      </c>
    </row>
    <row r="903" spans="1:23" x14ac:dyDescent="0.25">
      <c r="A903" s="348" t="s">
        <v>1378</v>
      </c>
      <c r="B903" s="349">
        <v>81</v>
      </c>
      <c r="C903" s="350" t="s">
        <v>997</v>
      </c>
      <c r="D903" s="562">
        <v>45142</v>
      </c>
      <c r="E903" s="352"/>
      <c r="F903" s="352">
        <v>6</v>
      </c>
      <c r="G903" s="348" t="s">
        <v>1038</v>
      </c>
      <c r="H903" s="353" t="s">
        <v>1380</v>
      </c>
      <c r="I903" s="350" t="s">
        <v>393</v>
      </c>
      <c r="J903" s="375">
        <f>90000+90000</f>
        <v>180000</v>
      </c>
      <c r="K903" s="350" t="s">
        <v>394</v>
      </c>
      <c r="L903" s="354">
        <v>2802.3999950000002</v>
      </c>
      <c r="M903" s="375">
        <f t="shared" si="40"/>
        <v>64.230659549369577</v>
      </c>
      <c r="N903" s="354" t="s">
        <v>395</v>
      </c>
      <c r="O903" s="354">
        <v>0</v>
      </c>
      <c r="P903" s="355" t="s">
        <v>396</v>
      </c>
      <c r="Q903" s="354" t="s">
        <v>397</v>
      </c>
      <c r="R903" s="353">
        <v>0</v>
      </c>
      <c r="S903" s="353">
        <v>0</v>
      </c>
      <c r="T903" s="353">
        <v>0</v>
      </c>
      <c r="U903" s="353">
        <v>0</v>
      </c>
      <c r="V903" s="353">
        <v>0</v>
      </c>
      <c r="W903" s="353">
        <v>0</v>
      </c>
    </row>
    <row r="904" spans="1:23" x14ac:dyDescent="0.25">
      <c r="A904" s="348" t="s">
        <v>1378</v>
      </c>
      <c r="B904" s="349">
        <v>82</v>
      </c>
      <c r="C904" s="350" t="s">
        <v>997</v>
      </c>
      <c r="D904" s="562">
        <v>45142</v>
      </c>
      <c r="E904" s="352"/>
      <c r="F904" s="352">
        <v>6</v>
      </c>
      <c r="G904" s="348" t="s">
        <v>1038</v>
      </c>
      <c r="H904" s="353" t="s">
        <v>1381</v>
      </c>
      <c r="I904" s="350" t="s">
        <v>393</v>
      </c>
      <c r="J904" s="375">
        <f>100000+100000</f>
        <v>200000</v>
      </c>
      <c r="K904" s="350" t="s">
        <v>394</v>
      </c>
      <c r="L904" s="354">
        <v>2802.3999950000002</v>
      </c>
      <c r="M904" s="375">
        <f t="shared" si="40"/>
        <v>71.367399499299523</v>
      </c>
      <c r="N904" s="354" t="s">
        <v>395</v>
      </c>
      <c r="O904" s="354">
        <v>0</v>
      </c>
      <c r="P904" s="355" t="s">
        <v>396</v>
      </c>
      <c r="Q904" s="354" t="s">
        <v>397</v>
      </c>
      <c r="R904" s="353">
        <v>0</v>
      </c>
      <c r="S904" s="353">
        <v>0</v>
      </c>
      <c r="T904" s="353">
        <v>0</v>
      </c>
      <c r="U904" s="353">
        <v>0</v>
      </c>
      <c r="V904" s="353">
        <v>0</v>
      </c>
      <c r="W904" s="353">
        <v>0</v>
      </c>
    </row>
    <row r="905" spans="1:23" x14ac:dyDescent="0.25">
      <c r="A905" s="348" t="s">
        <v>1378</v>
      </c>
      <c r="B905" s="349">
        <v>83</v>
      </c>
      <c r="C905" s="350" t="s">
        <v>997</v>
      </c>
      <c r="D905" s="562">
        <v>45142</v>
      </c>
      <c r="E905" s="352"/>
      <c r="F905" s="352">
        <v>6</v>
      </c>
      <c r="G905" s="348" t="s">
        <v>1038</v>
      </c>
      <c r="H905" s="353" t="s">
        <v>1382</v>
      </c>
      <c r="I905" s="350" t="s">
        <v>393</v>
      </c>
      <c r="J905" s="375">
        <v>180000</v>
      </c>
      <c r="K905" s="350" t="s">
        <v>394</v>
      </c>
      <c r="L905" s="354">
        <v>2802.3999950000002</v>
      </c>
      <c r="M905" s="375">
        <f t="shared" si="40"/>
        <v>64.230659549369577</v>
      </c>
      <c r="N905" s="354" t="s">
        <v>395</v>
      </c>
      <c r="O905" s="354">
        <v>0</v>
      </c>
      <c r="P905" s="355" t="s">
        <v>396</v>
      </c>
      <c r="Q905" s="354" t="s">
        <v>397</v>
      </c>
      <c r="R905" s="353">
        <v>0</v>
      </c>
      <c r="S905" s="353">
        <v>0</v>
      </c>
      <c r="T905" s="353">
        <v>0</v>
      </c>
      <c r="U905" s="353">
        <v>0</v>
      </c>
      <c r="V905" s="353">
        <v>0</v>
      </c>
      <c r="W905" s="353">
        <v>0</v>
      </c>
    </row>
    <row r="906" spans="1:23" x14ac:dyDescent="0.25">
      <c r="A906" s="348" t="s">
        <v>1378</v>
      </c>
      <c r="B906" s="349">
        <v>84</v>
      </c>
      <c r="C906" s="350" t="s">
        <v>997</v>
      </c>
      <c r="D906" s="562">
        <v>45142</v>
      </c>
      <c r="E906" s="352"/>
      <c r="F906" s="352">
        <v>6</v>
      </c>
      <c r="G906" s="348" t="s">
        <v>1038</v>
      </c>
      <c r="H906" s="353" t="s">
        <v>1355</v>
      </c>
      <c r="I906" s="350" t="s">
        <v>393</v>
      </c>
      <c r="J906" s="375">
        <f>200000+100000</f>
        <v>300000</v>
      </c>
      <c r="K906" s="350" t="s">
        <v>394</v>
      </c>
      <c r="L906" s="354">
        <v>2802.3999950000002</v>
      </c>
      <c r="M906" s="375">
        <f t="shared" si="40"/>
        <v>107.05109924894928</v>
      </c>
      <c r="N906" s="354" t="s">
        <v>395</v>
      </c>
      <c r="O906" s="354">
        <v>0</v>
      </c>
      <c r="P906" s="355" t="s">
        <v>396</v>
      </c>
      <c r="Q906" s="354" t="s">
        <v>397</v>
      </c>
      <c r="R906" s="353">
        <v>0</v>
      </c>
      <c r="S906" s="353">
        <v>0</v>
      </c>
      <c r="T906" s="353">
        <v>0</v>
      </c>
      <c r="U906" s="353">
        <v>0</v>
      </c>
      <c r="V906" s="353">
        <v>0</v>
      </c>
      <c r="W906" s="353">
        <v>0</v>
      </c>
    </row>
    <row r="907" spans="1:23" x14ac:dyDescent="0.25">
      <c r="A907" s="348" t="s">
        <v>1378</v>
      </c>
      <c r="B907" s="349">
        <v>85</v>
      </c>
      <c r="C907" s="350" t="s">
        <v>997</v>
      </c>
      <c r="D907" s="562">
        <v>45142</v>
      </c>
      <c r="E907" s="352"/>
      <c r="F907" s="352">
        <v>6</v>
      </c>
      <c r="G907" s="348" t="s">
        <v>1038</v>
      </c>
      <c r="H907" s="353" t="s">
        <v>1168</v>
      </c>
      <c r="I907" s="350" t="s">
        <v>393</v>
      </c>
      <c r="J907" s="375">
        <f>157155+191685+195760+95000</f>
        <v>639600</v>
      </c>
      <c r="K907" s="350" t="s">
        <v>394</v>
      </c>
      <c r="L907" s="354">
        <v>2802.3999950000002</v>
      </c>
      <c r="M907" s="375">
        <f t="shared" si="40"/>
        <v>228.23294359875987</v>
      </c>
      <c r="N907" s="354" t="s">
        <v>395</v>
      </c>
      <c r="O907" s="354">
        <v>0</v>
      </c>
      <c r="P907" s="355" t="s">
        <v>396</v>
      </c>
      <c r="Q907" s="354" t="s">
        <v>397</v>
      </c>
      <c r="R907" s="353">
        <v>0</v>
      </c>
      <c r="S907" s="353">
        <v>0</v>
      </c>
      <c r="T907" s="353">
        <v>0</v>
      </c>
      <c r="U907" s="353">
        <v>0</v>
      </c>
      <c r="V907" s="353">
        <v>0</v>
      </c>
      <c r="W907" s="353">
        <v>0</v>
      </c>
    </row>
    <row r="908" spans="1:23" ht="30" x14ac:dyDescent="0.25">
      <c r="A908" s="422" t="s">
        <v>1052</v>
      </c>
      <c r="B908" s="349">
        <v>24</v>
      </c>
      <c r="C908" s="424" t="s">
        <v>997</v>
      </c>
      <c r="D908" s="351">
        <v>45149</v>
      </c>
      <c r="E908" s="352"/>
      <c r="F908" s="352">
        <v>6</v>
      </c>
      <c r="G908" s="434" t="s">
        <v>1053</v>
      </c>
      <c r="H908" s="424" t="s">
        <v>1054</v>
      </c>
      <c r="I908" s="350" t="s">
        <v>393</v>
      </c>
      <c r="J908" s="560">
        <v>177000</v>
      </c>
      <c r="K908" s="350" t="s">
        <v>394</v>
      </c>
      <c r="L908" s="354">
        <v>2803.6597999999999</v>
      </c>
      <c r="M908" s="576">
        <f t="shared" si="40"/>
        <v>63.131767984118476</v>
      </c>
      <c r="N908" s="354" t="s">
        <v>395</v>
      </c>
      <c r="O908" s="354">
        <v>0</v>
      </c>
      <c r="P908" s="355" t="s">
        <v>396</v>
      </c>
      <c r="Q908" s="354" t="s">
        <v>346</v>
      </c>
      <c r="R908" s="353">
        <v>0</v>
      </c>
      <c r="S908" s="353">
        <v>0</v>
      </c>
      <c r="T908" s="353">
        <v>0</v>
      </c>
      <c r="U908" s="353">
        <v>0</v>
      </c>
      <c r="V908" s="353">
        <v>0</v>
      </c>
      <c r="W908" s="353">
        <v>0</v>
      </c>
    </row>
    <row r="909" spans="1:23" x14ac:dyDescent="0.25">
      <c r="A909" s="348" t="s">
        <v>1055</v>
      </c>
      <c r="B909" s="349">
        <v>24</v>
      </c>
      <c r="C909" s="424" t="s">
        <v>997</v>
      </c>
      <c r="D909" s="351">
        <v>45156</v>
      </c>
      <c r="E909" s="352"/>
      <c r="F909" s="352">
        <v>6</v>
      </c>
      <c r="G909" s="434" t="s">
        <v>1053</v>
      </c>
      <c r="H909" s="350" t="s">
        <v>1056</v>
      </c>
      <c r="I909" s="350" t="s">
        <v>393</v>
      </c>
      <c r="J909" s="560">
        <v>100000</v>
      </c>
      <c r="K909" s="350" t="s">
        <v>394</v>
      </c>
      <c r="L909" s="354">
        <v>2803.6597999999999</v>
      </c>
      <c r="M909" s="576">
        <f t="shared" si="40"/>
        <v>35.66766552775055</v>
      </c>
      <c r="N909" s="354" t="s">
        <v>395</v>
      </c>
      <c r="O909" s="354">
        <v>0</v>
      </c>
      <c r="P909" s="355" t="s">
        <v>396</v>
      </c>
      <c r="Q909" s="354" t="s">
        <v>346</v>
      </c>
      <c r="R909" s="353">
        <v>0</v>
      </c>
      <c r="S909" s="353">
        <v>0</v>
      </c>
      <c r="T909" s="353">
        <v>0</v>
      </c>
      <c r="U909" s="353">
        <v>0</v>
      </c>
      <c r="V909" s="353">
        <v>0</v>
      </c>
      <c r="W909" s="353">
        <v>0</v>
      </c>
    </row>
    <row r="910" spans="1:23" x14ac:dyDescent="0.25">
      <c r="A910" s="348" t="s">
        <v>1057</v>
      </c>
      <c r="B910" s="349">
        <v>24</v>
      </c>
      <c r="C910" s="424" t="s">
        <v>997</v>
      </c>
      <c r="D910" s="351">
        <v>45156</v>
      </c>
      <c r="E910" s="352"/>
      <c r="F910" s="352">
        <v>6</v>
      </c>
      <c r="G910" s="434" t="s">
        <v>1053</v>
      </c>
      <c r="H910" s="350" t="s">
        <v>1058</v>
      </c>
      <c r="I910" s="350" t="s">
        <v>393</v>
      </c>
      <c r="J910" s="560">
        <v>70000</v>
      </c>
      <c r="K910" s="350" t="s">
        <v>394</v>
      </c>
      <c r="L910" s="354">
        <v>2803.6597999999999</v>
      </c>
      <c r="M910" s="576">
        <f t="shared" si="40"/>
        <v>24.967365869425386</v>
      </c>
      <c r="N910" s="354" t="s">
        <v>395</v>
      </c>
      <c r="O910" s="354">
        <v>0</v>
      </c>
      <c r="P910" s="355" t="s">
        <v>396</v>
      </c>
      <c r="Q910" s="354" t="s">
        <v>346</v>
      </c>
      <c r="R910" s="353">
        <v>0</v>
      </c>
      <c r="S910" s="353">
        <v>0</v>
      </c>
      <c r="T910" s="353">
        <v>0</v>
      </c>
      <c r="U910" s="353">
        <v>0</v>
      </c>
      <c r="V910" s="353">
        <v>0</v>
      </c>
      <c r="W910" s="353">
        <v>0</v>
      </c>
    </row>
    <row r="911" spans="1:23" x14ac:dyDescent="0.25">
      <c r="A911" s="348" t="s">
        <v>1383</v>
      </c>
      <c r="B911" s="349">
        <v>54</v>
      </c>
      <c r="C911" s="350" t="s">
        <v>1287</v>
      </c>
      <c r="D911" s="351">
        <v>45138</v>
      </c>
      <c r="E911" s="352"/>
      <c r="F911" s="352">
        <v>6</v>
      </c>
      <c r="G911" s="351" t="s">
        <v>1384</v>
      </c>
      <c r="H911" s="350" t="s">
        <v>1385</v>
      </c>
      <c r="I911" s="350" t="s">
        <v>393</v>
      </c>
      <c r="J911" s="375">
        <v>61065</v>
      </c>
      <c r="K911" s="350" t="s">
        <v>394</v>
      </c>
      <c r="L911" s="354">
        <v>2802.3999950000002</v>
      </c>
      <c r="M911" s="375">
        <f>J911/L911</f>
        <v>21.790251252123628</v>
      </c>
      <c r="N911" s="354" t="s">
        <v>395</v>
      </c>
      <c r="O911" s="354">
        <v>0</v>
      </c>
      <c r="P911" s="355" t="s">
        <v>396</v>
      </c>
      <c r="Q911" s="354" t="s">
        <v>397</v>
      </c>
      <c r="R911" s="353">
        <v>0</v>
      </c>
      <c r="S911" s="353">
        <v>0</v>
      </c>
      <c r="T911" s="353">
        <v>0</v>
      </c>
      <c r="U911" s="353">
        <v>0</v>
      </c>
      <c r="V911" s="353">
        <v>0</v>
      </c>
      <c r="W911" s="353">
        <v>0</v>
      </c>
    </row>
    <row r="912" spans="1:23" x14ac:dyDescent="0.25">
      <c r="A912" s="348" t="s">
        <v>1386</v>
      </c>
      <c r="B912" s="349">
        <v>98</v>
      </c>
      <c r="C912" s="350" t="s">
        <v>1330</v>
      </c>
      <c r="D912" s="351">
        <v>45176</v>
      </c>
      <c r="E912" s="352"/>
      <c r="F912" s="352">
        <v>6</v>
      </c>
      <c r="G912" s="351" t="s">
        <v>1384</v>
      </c>
      <c r="H912" s="350" t="s">
        <v>1385</v>
      </c>
      <c r="I912" s="350" t="s">
        <v>393</v>
      </c>
      <c r="J912" s="375">
        <v>194899</v>
      </c>
      <c r="K912" s="350" t="s">
        <v>394</v>
      </c>
      <c r="L912" s="354">
        <v>2802.3999950000002</v>
      </c>
      <c r="M912" s="375">
        <f>J912/L912</f>
        <v>69.547173975069882</v>
      </c>
      <c r="N912" s="354" t="s">
        <v>395</v>
      </c>
      <c r="O912" s="354">
        <v>0</v>
      </c>
      <c r="P912" s="355" t="s">
        <v>396</v>
      </c>
      <c r="Q912" s="354" t="s">
        <v>397</v>
      </c>
      <c r="R912" s="353">
        <v>0</v>
      </c>
      <c r="S912" s="353">
        <v>0</v>
      </c>
      <c r="T912" s="353">
        <v>0</v>
      </c>
      <c r="U912" s="353">
        <v>0</v>
      </c>
      <c r="V912" s="353">
        <v>0</v>
      </c>
      <c r="W912" s="353">
        <v>0</v>
      </c>
    </row>
    <row r="913" spans="1:23" x14ac:dyDescent="0.25">
      <c r="A913" s="348" t="s">
        <v>1446</v>
      </c>
      <c r="B913" s="349">
        <v>5281</v>
      </c>
      <c r="C913" s="350" t="s">
        <v>1429</v>
      </c>
      <c r="D913" s="351">
        <v>45127</v>
      </c>
      <c r="E913" s="352">
        <v>3490</v>
      </c>
      <c r="F913" s="352">
        <v>7</v>
      </c>
      <c r="G913" s="351" t="s">
        <v>1535</v>
      </c>
      <c r="H913" s="350" t="s">
        <v>1447</v>
      </c>
      <c r="I913" s="350" t="s">
        <v>393</v>
      </c>
      <c r="J913" s="354">
        <v>2500</v>
      </c>
      <c r="K913" s="350" t="s">
        <v>394</v>
      </c>
      <c r="L913" s="354">
        <v>2.8078499999999998E-4</v>
      </c>
      <c r="M913" s="354">
        <v>0.89</v>
      </c>
      <c r="N913" s="350" t="s">
        <v>395</v>
      </c>
      <c r="O913" s="354">
        <v>0.7</v>
      </c>
      <c r="P913" s="355" t="s">
        <v>396</v>
      </c>
      <c r="Q913" s="354" t="s">
        <v>404</v>
      </c>
      <c r="R913" s="355" t="s">
        <v>405</v>
      </c>
      <c r="S913" s="355">
        <v>0</v>
      </c>
      <c r="T913" s="350" t="s">
        <v>410</v>
      </c>
      <c r="U913" s="351">
        <v>45145</v>
      </c>
      <c r="V913" s="351">
        <v>45145</v>
      </c>
      <c r="W913" s="350" t="s">
        <v>407</v>
      </c>
    </row>
    <row r="914" spans="1:23" x14ac:dyDescent="0.25">
      <c r="A914" s="348" t="s">
        <v>1460</v>
      </c>
      <c r="B914" s="349">
        <v>5223</v>
      </c>
      <c r="C914" s="350" t="s">
        <v>1429</v>
      </c>
      <c r="D914" s="351">
        <v>45127</v>
      </c>
      <c r="E914" s="352">
        <v>3570</v>
      </c>
      <c r="F914" s="352">
        <v>7</v>
      </c>
      <c r="G914" s="351" t="s">
        <v>1535</v>
      </c>
      <c r="H914" s="350" t="s">
        <v>1461</v>
      </c>
      <c r="I914" s="350" t="s">
        <v>393</v>
      </c>
      <c r="J914" s="375">
        <v>1088000</v>
      </c>
      <c r="K914" s="350" t="s">
        <v>394</v>
      </c>
      <c r="L914" s="354">
        <v>2.8078499999999998E-4</v>
      </c>
      <c r="M914" s="354">
        <v>387.83</v>
      </c>
      <c r="N914" s="350" t="s">
        <v>395</v>
      </c>
      <c r="O914" s="354">
        <v>305.49</v>
      </c>
      <c r="P914" s="355" t="s">
        <v>396</v>
      </c>
      <c r="Q914" s="354" t="s">
        <v>404</v>
      </c>
      <c r="R914" s="355" t="s">
        <v>405</v>
      </c>
      <c r="S914" s="355">
        <v>0</v>
      </c>
      <c r="T914" s="350" t="s">
        <v>406</v>
      </c>
      <c r="U914" s="351">
        <v>45145</v>
      </c>
      <c r="V914" s="351">
        <v>45145</v>
      </c>
      <c r="W914" s="350" t="s">
        <v>407</v>
      </c>
    </row>
    <row r="915" spans="1:23" x14ac:dyDescent="0.25">
      <c r="A915" s="348" t="s">
        <v>1462</v>
      </c>
      <c r="B915" s="349">
        <v>5186</v>
      </c>
      <c r="C915" s="350" t="s">
        <v>1429</v>
      </c>
      <c r="D915" s="351">
        <v>45124</v>
      </c>
      <c r="E915" s="352">
        <v>3570</v>
      </c>
      <c r="F915" s="352">
        <v>7</v>
      </c>
      <c r="G915" s="351" t="s">
        <v>1535</v>
      </c>
      <c r="H915" s="350" t="s">
        <v>1463</v>
      </c>
      <c r="I915" s="350" t="s">
        <v>393</v>
      </c>
      <c r="J915" s="375">
        <v>784000</v>
      </c>
      <c r="K915" s="350" t="s">
        <v>394</v>
      </c>
      <c r="L915" s="354">
        <v>2.8078499999999998E-4</v>
      </c>
      <c r="M915" s="354">
        <v>279.45999999999998</v>
      </c>
      <c r="N915" s="350" t="s">
        <v>395</v>
      </c>
      <c r="O915" s="354">
        <v>220.14</v>
      </c>
      <c r="P915" s="355" t="s">
        <v>396</v>
      </c>
      <c r="Q915" s="354" t="s">
        <v>404</v>
      </c>
      <c r="R915" s="355" t="s">
        <v>405</v>
      </c>
      <c r="S915" s="355">
        <v>0</v>
      </c>
      <c r="T915" s="350" t="s">
        <v>406</v>
      </c>
      <c r="U915" s="351">
        <v>45142</v>
      </c>
      <c r="V915" s="351">
        <v>45142</v>
      </c>
      <c r="W915" s="350" t="s">
        <v>407</v>
      </c>
    </row>
    <row r="916" spans="1:23" x14ac:dyDescent="0.25">
      <c r="A916" s="348" t="s">
        <v>1464</v>
      </c>
      <c r="B916" s="349">
        <v>5148</v>
      </c>
      <c r="C916" s="350" t="s">
        <v>1429</v>
      </c>
      <c r="D916" s="351">
        <v>45127</v>
      </c>
      <c r="E916" s="352">
        <v>3570</v>
      </c>
      <c r="F916" s="352">
        <v>7</v>
      </c>
      <c r="G916" s="351" t="s">
        <v>1535</v>
      </c>
      <c r="H916" s="350" t="s">
        <v>1465</v>
      </c>
      <c r="I916" s="350" t="s">
        <v>393</v>
      </c>
      <c r="J916" s="375">
        <v>1088000</v>
      </c>
      <c r="K916" s="350" t="s">
        <v>394</v>
      </c>
      <c r="L916" s="354">
        <v>2.8078499999999998E-4</v>
      </c>
      <c r="M916" s="354">
        <v>387.83</v>
      </c>
      <c r="N916" s="350" t="s">
        <v>395</v>
      </c>
      <c r="O916" s="354">
        <v>305.49</v>
      </c>
      <c r="P916" s="355" t="s">
        <v>396</v>
      </c>
      <c r="Q916" s="354" t="s">
        <v>404</v>
      </c>
      <c r="R916" s="355" t="s">
        <v>405</v>
      </c>
      <c r="S916" s="355">
        <v>0</v>
      </c>
      <c r="T916" s="350" t="s">
        <v>406</v>
      </c>
      <c r="U916" s="351">
        <v>45141</v>
      </c>
      <c r="V916" s="351">
        <v>45139</v>
      </c>
      <c r="W916" s="350" t="s">
        <v>407</v>
      </c>
    </row>
    <row r="917" spans="1:23" x14ac:dyDescent="0.25">
      <c r="A917" s="348" t="s">
        <v>1466</v>
      </c>
      <c r="B917" s="349">
        <v>5185</v>
      </c>
      <c r="C917" s="350" t="s">
        <v>1429</v>
      </c>
      <c r="D917" s="351">
        <v>45135</v>
      </c>
      <c r="E917" s="352">
        <v>3570</v>
      </c>
      <c r="F917" s="352">
        <v>7</v>
      </c>
      <c r="G917" s="351" t="s">
        <v>1535</v>
      </c>
      <c r="H917" s="350" t="s">
        <v>1467</v>
      </c>
      <c r="I917" s="350" t="s">
        <v>393</v>
      </c>
      <c r="J917" s="375">
        <v>8350000</v>
      </c>
      <c r="K917" s="350" t="s">
        <v>394</v>
      </c>
      <c r="L917" s="354">
        <v>2.8078499999999998E-4</v>
      </c>
      <c r="M917" s="354">
        <v>2976.42</v>
      </c>
      <c r="N917" s="350" t="s">
        <v>395</v>
      </c>
      <c r="O917" s="354">
        <v>2344.5500000000002</v>
      </c>
      <c r="P917" s="355" t="s">
        <v>396</v>
      </c>
      <c r="Q917" s="354" t="s">
        <v>404</v>
      </c>
      <c r="R917" s="355" t="s">
        <v>405</v>
      </c>
      <c r="S917" s="355">
        <v>0</v>
      </c>
      <c r="T917" s="350" t="s">
        <v>406</v>
      </c>
      <c r="U917" s="351">
        <v>45142</v>
      </c>
      <c r="V917" s="351">
        <v>45142</v>
      </c>
      <c r="W917" s="350" t="s">
        <v>407</v>
      </c>
    </row>
    <row r="918" spans="1:23" x14ac:dyDescent="0.25">
      <c r="A918" s="348" t="s">
        <v>1492</v>
      </c>
      <c r="B918" s="349">
        <v>5386</v>
      </c>
      <c r="C918" s="350" t="s">
        <v>1469</v>
      </c>
      <c r="D918" s="351">
        <v>45168</v>
      </c>
      <c r="E918" s="352">
        <v>3570</v>
      </c>
      <c r="F918" s="352">
        <v>7</v>
      </c>
      <c r="G918" s="351" t="s">
        <v>1535</v>
      </c>
      <c r="H918" s="350" t="s">
        <v>1493</v>
      </c>
      <c r="I918" s="350" t="s">
        <v>393</v>
      </c>
      <c r="J918" s="354">
        <v>4590400</v>
      </c>
      <c r="K918" s="350" t="s">
        <v>394</v>
      </c>
      <c r="L918" s="354">
        <v>2.7534199999999998E-4</v>
      </c>
      <c r="M918" s="354">
        <v>1626.42</v>
      </c>
      <c r="N918" s="350" t="s">
        <v>395</v>
      </c>
      <c r="O918" s="354">
        <v>1263.93</v>
      </c>
      <c r="P918" s="355" t="s">
        <v>396</v>
      </c>
      <c r="Q918" s="354" t="s">
        <v>404</v>
      </c>
      <c r="R918" s="355" t="s">
        <v>405</v>
      </c>
      <c r="S918" s="355">
        <v>0</v>
      </c>
      <c r="T918" s="350" t="s">
        <v>406</v>
      </c>
      <c r="U918" s="351">
        <v>45173</v>
      </c>
      <c r="V918" s="351">
        <v>45175</v>
      </c>
      <c r="W918" s="350" t="s">
        <v>407</v>
      </c>
    </row>
    <row r="919" spans="1:23" x14ac:dyDescent="0.25">
      <c r="A919" s="348" t="s">
        <v>1494</v>
      </c>
      <c r="B919" s="349">
        <v>5337</v>
      </c>
      <c r="C919" s="350" t="s">
        <v>1469</v>
      </c>
      <c r="D919" s="351">
        <v>45141</v>
      </c>
      <c r="E919" s="352">
        <v>3570</v>
      </c>
      <c r="F919" s="352">
        <v>7</v>
      </c>
      <c r="G919" s="351" t="s">
        <v>1535</v>
      </c>
      <c r="H919" s="350" t="s">
        <v>1495</v>
      </c>
      <c r="I919" s="350" t="s">
        <v>393</v>
      </c>
      <c r="J919" s="354">
        <v>360000</v>
      </c>
      <c r="K919" s="350" t="s">
        <v>394</v>
      </c>
      <c r="L919" s="354">
        <v>2.7534199999999998E-4</v>
      </c>
      <c r="M919" s="354">
        <v>127.55</v>
      </c>
      <c r="N919" s="350" t="s">
        <v>395</v>
      </c>
      <c r="O919" s="354">
        <v>99.12</v>
      </c>
      <c r="P919" s="355" t="s">
        <v>396</v>
      </c>
      <c r="Q919" s="354" t="s">
        <v>404</v>
      </c>
      <c r="R919" s="355" t="s">
        <v>405</v>
      </c>
      <c r="S919" s="355">
        <v>0</v>
      </c>
      <c r="T919" s="350" t="s">
        <v>406</v>
      </c>
      <c r="U919" s="351">
        <v>45173</v>
      </c>
      <c r="V919" s="351">
        <v>45174</v>
      </c>
      <c r="W919" s="350" t="s">
        <v>407</v>
      </c>
    </row>
    <row r="920" spans="1:23" x14ac:dyDescent="0.25">
      <c r="A920" s="348" t="s">
        <v>1496</v>
      </c>
      <c r="B920" s="349">
        <v>5338</v>
      </c>
      <c r="C920" s="350" t="s">
        <v>1469</v>
      </c>
      <c r="D920" s="351">
        <v>45142</v>
      </c>
      <c r="E920" s="352">
        <v>3570</v>
      </c>
      <c r="F920" s="352">
        <v>7</v>
      </c>
      <c r="G920" s="351" t="s">
        <v>1535</v>
      </c>
      <c r="H920" s="350" t="s">
        <v>1495</v>
      </c>
      <c r="I920" s="350" t="s">
        <v>393</v>
      </c>
      <c r="J920" s="354">
        <v>540000</v>
      </c>
      <c r="K920" s="350" t="s">
        <v>394</v>
      </c>
      <c r="L920" s="354">
        <v>2.7534199999999998E-4</v>
      </c>
      <c r="M920" s="354">
        <v>191.33</v>
      </c>
      <c r="N920" s="350" t="s">
        <v>395</v>
      </c>
      <c r="O920" s="354">
        <v>148.68</v>
      </c>
      <c r="P920" s="355" t="s">
        <v>396</v>
      </c>
      <c r="Q920" s="354" t="s">
        <v>404</v>
      </c>
      <c r="R920" s="355" t="s">
        <v>405</v>
      </c>
      <c r="S920" s="355">
        <v>0</v>
      </c>
      <c r="T920" s="350" t="s">
        <v>406</v>
      </c>
      <c r="U920" s="351">
        <v>45173</v>
      </c>
      <c r="V920" s="351">
        <v>45174</v>
      </c>
      <c r="W920" s="350" t="s">
        <v>407</v>
      </c>
    </row>
    <row r="921" spans="1:23" x14ac:dyDescent="0.25">
      <c r="A921" s="348" t="s">
        <v>838</v>
      </c>
      <c r="B921" s="349">
        <v>8</v>
      </c>
      <c r="C921" s="380">
        <v>45194</v>
      </c>
      <c r="D921" s="351">
        <v>45194</v>
      </c>
      <c r="E921" s="352"/>
      <c r="F921" s="352">
        <v>6</v>
      </c>
      <c r="G921" s="353" t="s">
        <v>839</v>
      </c>
      <c r="H921" s="350" t="s">
        <v>840</v>
      </c>
      <c r="I921" s="350" t="s">
        <v>393</v>
      </c>
      <c r="J921" s="560">
        <v>7663000</v>
      </c>
      <c r="K921" s="350" t="s">
        <v>394</v>
      </c>
      <c r="L921" s="353">
        <v>2830.26</v>
      </c>
      <c r="M921" s="560">
        <f t="shared" ref="M921:M922" si="41">J921/L921</f>
        <v>2707.5251037007197</v>
      </c>
      <c r="N921" s="354" t="s">
        <v>395</v>
      </c>
      <c r="O921" s="354">
        <v>0</v>
      </c>
      <c r="P921" s="355" t="s">
        <v>396</v>
      </c>
      <c r="Q921" s="354" t="s">
        <v>344</v>
      </c>
      <c r="R921" s="355">
        <v>0</v>
      </c>
      <c r="S921" s="355">
        <v>0</v>
      </c>
      <c r="T921" s="355">
        <v>0</v>
      </c>
      <c r="U921" s="355">
        <v>0</v>
      </c>
      <c r="V921" s="355">
        <v>0</v>
      </c>
      <c r="W921" s="355">
        <v>0</v>
      </c>
    </row>
    <row r="922" spans="1:23" x14ac:dyDescent="0.25">
      <c r="A922" s="348" t="s">
        <v>841</v>
      </c>
      <c r="B922" s="349">
        <v>9</v>
      </c>
      <c r="C922" s="380">
        <v>45194</v>
      </c>
      <c r="D922" s="351">
        <v>45194</v>
      </c>
      <c r="E922" s="352"/>
      <c r="F922" s="352">
        <v>6</v>
      </c>
      <c r="G922" s="353" t="s">
        <v>839</v>
      </c>
      <c r="H922" s="350" t="s">
        <v>842</v>
      </c>
      <c r="I922" s="350" t="s">
        <v>393</v>
      </c>
      <c r="J922" s="560">
        <v>7358670</v>
      </c>
      <c r="K922" s="350" t="s">
        <v>394</v>
      </c>
      <c r="L922" s="353">
        <v>2830.26</v>
      </c>
      <c r="M922" s="560">
        <f t="shared" si="41"/>
        <v>2599.9978800534223</v>
      </c>
      <c r="N922" s="354" t="s">
        <v>395</v>
      </c>
      <c r="O922" s="354">
        <v>0</v>
      </c>
      <c r="P922" s="355" t="s">
        <v>396</v>
      </c>
      <c r="Q922" s="354" t="s">
        <v>344</v>
      </c>
      <c r="R922" s="355">
        <v>0</v>
      </c>
      <c r="S922" s="355">
        <v>0</v>
      </c>
      <c r="T922" s="355">
        <v>0</v>
      </c>
      <c r="U922" s="355">
        <v>0</v>
      </c>
      <c r="V922" s="355">
        <v>0</v>
      </c>
      <c r="W922" s="355">
        <v>0</v>
      </c>
    </row>
    <row r="923" spans="1:23" x14ac:dyDescent="0.25">
      <c r="A923" s="348" t="s">
        <v>1206</v>
      </c>
      <c r="B923" s="349">
        <v>66</v>
      </c>
      <c r="C923" s="350" t="s">
        <v>1137</v>
      </c>
      <c r="D923" s="351" t="s">
        <v>1207</v>
      </c>
      <c r="E923" s="352">
        <v>6345</v>
      </c>
      <c r="F923" s="352">
        <v>6</v>
      </c>
      <c r="G923" s="351" t="s">
        <v>1208</v>
      </c>
      <c r="H923" s="350" t="s">
        <v>1209</v>
      </c>
      <c r="I923" s="350" t="s">
        <v>393</v>
      </c>
      <c r="J923" s="560">
        <v>150000</v>
      </c>
      <c r="K923" s="350" t="s">
        <v>394</v>
      </c>
      <c r="L923" s="353">
        <v>2801.6</v>
      </c>
      <c r="M923" s="560">
        <f>+J923/L923</f>
        <v>53.540833809251858</v>
      </c>
      <c r="N923" s="354" t="s">
        <v>395</v>
      </c>
      <c r="O923" s="354">
        <v>0</v>
      </c>
      <c r="P923" s="355" t="s">
        <v>396</v>
      </c>
      <c r="Q923" s="354" t="s">
        <v>345</v>
      </c>
      <c r="R923" s="355">
        <v>0</v>
      </c>
      <c r="S923" s="355">
        <v>0</v>
      </c>
      <c r="T923" s="355">
        <v>0</v>
      </c>
      <c r="U923" s="355">
        <v>0</v>
      </c>
      <c r="V923" s="355">
        <v>0</v>
      </c>
      <c r="W923" s="355">
        <v>0</v>
      </c>
    </row>
    <row r="924" spans="1:23" x14ac:dyDescent="0.25">
      <c r="A924" s="348" t="s">
        <v>1210</v>
      </c>
      <c r="B924" s="349">
        <v>60</v>
      </c>
      <c r="C924" s="350" t="s">
        <v>1137</v>
      </c>
      <c r="D924" s="351" t="s">
        <v>1207</v>
      </c>
      <c r="E924" s="352">
        <v>6345</v>
      </c>
      <c r="F924" s="352">
        <v>6</v>
      </c>
      <c r="G924" s="351" t="s">
        <v>1208</v>
      </c>
      <c r="H924" s="350" t="s">
        <v>1211</v>
      </c>
      <c r="I924" s="350" t="s">
        <v>393</v>
      </c>
      <c r="J924" s="560">
        <f>10000000-150000</f>
        <v>9850000</v>
      </c>
      <c r="K924" s="350" t="s">
        <v>394</v>
      </c>
      <c r="L924" s="353">
        <v>2801.6</v>
      </c>
      <c r="M924" s="560">
        <f t="shared" ref="M924:M980" si="42">+J924/L924</f>
        <v>3515.8480868075385</v>
      </c>
      <c r="N924" s="354" t="s">
        <v>395</v>
      </c>
      <c r="O924" s="354">
        <v>0</v>
      </c>
      <c r="P924" s="355" t="s">
        <v>396</v>
      </c>
      <c r="Q924" s="354" t="s">
        <v>345</v>
      </c>
      <c r="R924" s="355">
        <v>0</v>
      </c>
      <c r="S924" s="355">
        <v>0</v>
      </c>
      <c r="T924" s="355">
        <v>0</v>
      </c>
      <c r="U924" s="355">
        <v>0</v>
      </c>
      <c r="V924" s="355">
        <v>0</v>
      </c>
      <c r="W924" s="355">
        <v>0</v>
      </c>
    </row>
    <row r="925" spans="1:23" x14ac:dyDescent="0.25">
      <c r="A925" s="348" t="s">
        <v>1212</v>
      </c>
      <c r="B925" s="349">
        <v>60</v>
      </c>
      <c r="C925" s="350" t="s">
        <v>1137</v>
      </c>
      <c r="D925" s="351" t="s">
        <v>1213</v>
      </c>
      <c r="E925" s="352">
        <v>6345</v>
      </c>
      <c r="F925" s="352">
        <v>6</v>
      </c>
      <c r="G925" s="351" t="s">
        <v>1208</v>
      </c>
      <c r="H925" s="350" t="s">
        <v>1211</v>
      </c>
      <c r="I925" s="350" t="s">
        <v>393</v>
      </c>
      <c r="J925" s="560">
        <v>4400000</v>
      </c>
      <c r="K925" s="350" t="s">
        <v>394</v>
      </c>
      <c r="L925" s="353">
        <v>2801.6</v>
      </c>
      <c r="M925" s="560">
        <f t="shared" si="42"/>
        <v>1570.5311250713878</v>
      </c>
      <c r="N925" s="354" t="s">
        <v>395</v>
      </c>
      <c r="O925" s="354">
        <v>0</v>
      </c>
      <c r="P925" s="355" t="s">
        <v>396</v>
      </c>
      <c r="Q925" s="354" t="s">
        <v>345</v>
      </c>
      <c r="R925" s="355">
        <v>0</v>
      </c>
      <c r="S925" s="355">
        <v>0</v>
      </c>
      <c r="T925" s="355">
        <v>0</v>
      </c>
      <c r="U925" s="355">
        <v>0</v>
      </c>
      <c r="V925" s="355">
        <v>0</v>
      </c>
      <c r="W925" s="355">
        <v>0</v>
      </c>
    </row>
    <row r="926" spans="1:23" x14ac:dyDescent="0.25">
      <c r="A926" s="348" t="s">
        <v>1212</v>
      </c>
      <c r="B926" s="349">
        <v>60</v>
      </c>
      <c r="C926" s="350" t="s">
        <v>1137</v>
      </c>
      <c r="D926" s="351" t="s">
        <v>1213</v>
      </c>
      <c r="E926" s="352">
        <v>6345</v>
      </c>
      <c r="F926" s="352">
        <v>6</v>
      </c>
      <c r="G926" s="351" t="s">
        <v>1208</v>
      </c>
      <c r="H926" s="350" t="s">
        <v>1214</v>
      </c>
      <c r="I926" s="350" t="s">
        <v>393</v>
      </c>
      <c r="J926" s="560">
        <v>360000</v>
      </c>
      <c r="K926" s="350" t="s">
        <v>394</v>
      </c>
      <c r="L926" s="353">
        <v>2801.6</v>
      </c>
      <c r="M926" s="560">
        <f t="shared" si="42"/>
        <v>128.49800114220446</v>
      </c>
      <c r="N926" s="354" t="s">
        <v>395</v>
      </c>
      <c r="O926" s="354">
        <v>0</v>
      </c>
      <c r="P926" s="355" t="s">
        <v>396</v>
      </c>
      <c r="Q926" s="354" t="s">
        <v>345</v>
      </c>
      <c r="R926" s="355">
        <v>0</v>
      </c>
      <c r="S926" s="355">
        <v>0</v>
      </c>
      <c r="T926" s="355">
        <v>0</v>
      </c>
      <c r="U926" s="355">
        <v>0</v>
      </c>
      <c r="V926" s="355">
        <v>0</v>
      </c>
      <c r="W926" s="355">
        <v>0</v>
      </c>
    </row>
    <row r="927" spans="1:23" x14ac:dyDescent="0.25">
      <c r="A927" s="348" t="s">
        <v>1212</v>
      </c>
      <c r="B927" s="349">
        <v>60</v>
      </c>
      <c r="C927" s="350" t="s">
        <v>1137</v>
      </c>
      <c r="D927" s="351" t="s">
        <v>1213</v>
      </c>
      <c r="E927" s="352">
        <v>6345</v>
      </c>
      <c r="F927" s="352">
        <v>6</v>
      </c>
      <c r="G927" s="351" t="s">
        <v>1208</v>
      </c>
      <c r="H927" s="350" t="s">
        <v>1215</v>
      </c>
      <c r="I927" s="350" t="s">
        <v>393</v>
      </c>
      <c r="J927" s="560">
        <v>60000</v>
      </c>
      <c r="K927" s="350" t="s">
        <v>394</v>
      </c>
      <c r="L927" s="353">
        <v>2801.6</v>
      </c>
      <c r="M927" s="560">
        <f t="shared" si="42"/>
        <v>21.416333523700743</v>
      </c>
      <c r="N927" s="354" t="s">
        <v>395</v>
      </c>
      <c r="O927" s="354">
        <v>0</v>
      </c>
      <c r="P927" s="355" t="s">
        <v>396</v>
      </c>
      <c r="Q927" s="354" t="s">
        <v>345</v>
      </c>
      <c r="R927" s="355">
        <v>0</v>
      </c>
      <c r="S927" s="355">
        <v>0</v>
      </c>
      <c r="T927" s="355">
        <v>0</v>
      </c>
      <c r="U927" s="355">
        <v>0</v>
      </c>
      <c r="V927" s="355">
        <v>0</v>
      </c>
      <c r="W927" s="355">
        <v>0</v>
      </c>
    </row>
    <row r="928" spans="1:23" x14ac:dyDescent="0.25">
      <c r="A928" s="348" t="s">
        <v>1212</v>
      </c>
      <c r="B928" s="349">
        <v>60</v>
      </c>
      <c r="C928" s="350" t="s">
        <v>1137</v>
      </c>
      <c r="D928" s="351" t="s">
        <v>1213</v>
      </c>
      <c r="E928" s="352">
        <v>6345</v>
      </c>
      <c r="F928" s="352">
        <v>6</v>
      </c>
      <c r="G928" s="351" t="s">
        <v>1208</v>
      </c>
      <c r="H928" s="350" t="s">
        <v>1216</v>
      </c>
      <c r="I928" s="350" t="s">
        <v>393</v>
      </c>
      <c r="J928" s="560">
        <v>30000</v>
      </c>
      <c r="K928" s="350" t="s">
        <v>394</v>
      </c>
      <c r="L928" s="353">
        <v>2801.6</v>
      </c>
      <c r="M928" s="560">
        <f t="shared" si="42"/>
        <v>10.708166761850372</v>
      </c>
      <c r="N928" s="354" t="s">
        <v>395</v>
      </c>
      <c r="O928" s="354">
        <v>0</v>
      </c>
      <c r="P928" s="355" t="s">
        <v>396</v>
      </c>
      <c r="Q928" s="354" t="s">
        <v>345</v>
      </c>
      <c r="R928" s="355">
        <v>0</v>
      </c>
      <c r="S928" s="355">
        <v>0</v>
      </c>
      <c r="T928" s="355">
        <v>0</v>
      </c>
      <c r="U928" s="355">
        <v>0</v>
      </c>
      <c r="V928" s="355">
        <v>0</v>
      </c>
      <c r="W928" s="355">
        <v>0</v>
      </c>
    </row>
    <row r="929" spans="1:23" x14ac:dyDescent="0.25">
      <c r="A929" s="348" t="s">
        <v>1212</v>
      </c>
      <c r="B929" s="349">
        <v>60</v>
      </c>
      <c r="C929" s="350" t="s">
        <v>1137</v>
      </c>
      <c r="D929" s="351" t="s">
        <v>1213</v>
      </c>
      <c r="E929" s="352">
        <v>6345</v>
      </c>
      <c r="F929" s="352">
        <v>6</v>
      </c>
      <c r="G929" s="351" t="s">
        <v>1208</v>
      </c>
      <c r="H929" s="350" t="s">
        <v>1217</v>
      </c>
      <c r="I929" s="350" t="s">
        <v>393</v>
      </c>
      <c r="J929" s="560">
        <v>10000</v>
      </c>
      <c r="K929" s="350" t="s">
        <v>394</v>
      </c>
      <c r="L929" s="353">
        <v>2801.6</v>
      </c>
      <c r="M929" s="560">
        <f t="shared" si="42"/>
        <v>3.5693889206167904</v>
      </c>
      <c r="N929" s="354" t="s">
        <v>395</v>
      </c>
      <c r="O929" s="354">
        <v>0</v>
      </c>
      <c r="P929" s="355" t="s">
        <v>396</v>
      </c>
      <c r="Q929" s="354" t="s">
        <v>345</v>
      </c>
      <c r="R929" s="355">
        <v>0</v>
      </c>
      <c r="S929" s="355">
        <v>0</v>
      </c>
      <c r="T929" s="355">
        <v>0</v>
      </c>
      <c r="U929" s="355">
        <v>0</v>
      </c>
      <c r="V929" s="355">
        <v>0</v>
      </c>
      <c r="W929" s="355">
        <v>0</v>
      </c>
    </row>
    <row r="930" spans="1:23" x14ac:dyDescent="0.25">
      <c r="A930" s="348" t="s">
        <v>1218</v>
      </c>
      <c r="B930" s="353">
        <v>63</v>
      </c>
      <c r="C930" s="350" t="s">
        <v>1137</v>
      </c>
      <c r="D930" s="351" t="s">
        <v>1207</v>
      </c>
      <c r="E930" s="352">
        <v>6345</v>
      </c>
      <c r="F930" s="352">
        <v>6</v>
      </c>
      <c r="G930" s="351" t="s">
        <v>1208</v>
      </c>
      <c r="H930" s="350" t="s">
        <v>1219</v>
      </c>
      <c r="I930" s="350" t="s">
        <v>393</v>
      </c>
      <c r="J930" s="560">
        <v>1440000</v>
      </c>
      <c r="K930" s="350" t="s">
        <v>394</v>
      </c>
      <c r="L930" s="353">
        <v>2801.6</v>
      </c>
      <c r="M930" s="560">
        <f t="shared" si="42"/>
        <v>513.99200456881783</v>
      </c>
      <c r="N930" s="354" t="s">
        <v>395</v>
      </c>
      <c r="O930" s="354">
        <v>0</v>
      </c>
      <c r="P930" s="355" t="s">
        <v>396</v>
      </c>
      <c r="Q930" s="354" t="s">
        <v>345</v>
      </c>
      <c r="R930" s="355">
        <v>0</v>
      </c>
      <c r="S930" s="355">
        <v>0</v>
      </c>
      <c r="T930" s="355">
        <v>0</v>
      </c>
      <c r="U930" s="355">
        <v>0</v>
      </c>
      <c r="V930" s="355">
        <v>0</v>
      </c>
      <c r="W930" s="355">
        <v>0</v>
      </c>
    </row>
    <row r="931" spans="1:23" x14ac:dyDescent="0.25">
      <c r="A931" s="348" t="s">
        <v>1220</v>
      </c>
      <c r="B931" s="353">
        <v>63</v>
      </c>
      <c r="C931" s="350" t="s">
        <v>1137</v>
      </c>
      <c r="D931" s="351" t="s">
        <v>1207</v>
      </c>
      <c r="E931" s="352">
        <v>6345</v>
      </c>
      <c r="F931" s="352">
        <v>6</v>
      </c>
      <c r="G931" s="351" t="s">
        <v>1208</v>
      </c>
      <c r="H931" s="350" t="s">
        <v>1221</v>
      </c>
      <c r="I931" s="350" t="s">
        <v>393</v>
      </c>
      <c r="J931" s="560">
        <v>720000</v>
      </c>
      <c r="K931" s="350" t="s">
        <v>394</v>
      </c>
      <c r="L931" s="353">
        <v>2801.6</v>
      </c>
      <c r="M931" s="560">
        <f t="shared" si="42"/>
        <v>256.99600228440892</v>
      </c>
      <c r="N931" s="354" t="s">
        <v>395</v>
      </c>
      <c r="O931" s="354">
        <v>0</v>
      </c>
      <c r="P931" s="355" t="s">
        <v>396</v>
      </c>
      <c r="Q931" s="354" t="s">
        <v>345</v>
      </c>
      <c r="R931" s="355">
        <v>0</v>
      </c>
      <c r="S931" s="355">
        <v>0</v>
      </c>
      <c r="T931" s="355">
        <v>0</v>
      </c>
      <c r="U931" s="355">
        <v>0</v>
      </c>
      <c r="V931" s="355">
        <v>0</v>
      </c>
      <c r="W931" s="355">
        <v>0</v>
      </c>
    </row>
    <row r="932" spans="1:23" x14ac:dyDescent="0.25">
      <c r="A932" s="348" t="s">
        <v>1222</v>
      </c>
      <c r="B932" s="349">
        <v>69</v>
      </c>
      <c r="C932" s="350" t="s">
        <v>1137</v>
      </c>
      <c r="D932" s="351" t="s">
        <v>1207</v>
      </c>
      <c r="E932" s="352">
        <v>6172</v>
      </c>
      <c r="F932" s="352">
        <v>6</v>
      </c>
      <c r="G932" s="351" t="s">
        <v>1208</v>
      </c>
      <c r="H932" s="350" t="s">
        <v>1168</v>
      </c>
      <c r="I932" s="350" t="s">
        <v>393</v>
      </c>
      <c r="J932" s="560">
        <v>1707750</v>
      </c>
      <c r="K932" s="350" t="s">
        <v>394</v>
      </c>
      <c r="L932" s="353">
        <v>2801.6</v>
      </c>
      <c r="M932" s="560">
        <f t="shared" si="42"/>
        <v>609.56239291833242</v>
      </c>
      <c r="N932" s="354" t="s">
        <v>395</v>
      </c>
      <c r="O932" s="354">
        <v>0</v>
      </c>
      <c r="P932" s="355" t="s">
        <v>396</v>
      </c>
      <c r="Q932" s="354" t="s">
        <v>345</v>
      </c>
      <c r="R932" s="355">
        <v>0</v>
      </c>
      <c r="S932" s="355">
        <v>0</v>
      </c>
      <c r="T932" s="355">
        <v>0</v>
      </c>
      <c r="U932" s="355">
        <v>0</v>
      </c>
      <c r="V932" s="355">
        <v>0</v>
      </c>
      <c r="W932" s="355">
        <v>0</v>
      </c>
    </row>
    <row r="933" spans="1:23" x14ac:dyDescent="0.25">
      <c r="A933" s="348" t="s">
        <v>1223</v>
      </c>
      <c r="B933" s="352">
        <v>79</v>
      </c>
      <c r="C933" s="350" t="s">
        <v>1137</v>
      </c>
      <c r="D933" s="351" t="s">
        <v>1207</v>
      </c>
      <c r="E933" s="352">
        <v>6179</v>
      </c>
      <c r="F933" s="352">
        <v>6</v>
      </c>
      <c r="G933" s="351" t="s">
        <v>1208</v>
      </c>
      <c r="H933" s="350" t="s">
        <v>1224</v>
      </c>
      <c r="I933" s="350" t="s">
        <v>393</v>
      </c>
      <c r="J933" s="560">
        <v>540000</v>
      </c>
      <c r="K933" s="350" t="s">
        <v>394</v>
      </c>
      <c r="L933" s="353">
        <v>2801.6</v>
      </c>
      <c r="M933" s="560">
        <f t="shared" si="42"/>
        <v>192.7470017133067</v>
      </c>
      <c r="N933" s="354" t="s">
        <v>395</v>
      </c>
      <c r="O933" s="354">
        <v>0</v>
      </c>
      <c r="P933" s="355" t="s">
        <v>396</v>
      </c>
      <c r="Q933" s="354" t="s">
        <v>345</v>
      </c>
      <c r="R933" s="355">
        <v>0</v>
      </c>
      <c r="S933" s="355">
        <v>0</v>
      </c>
      <c r="T933" s="355">
        <v>0</v>
      </c>
      <c r="U933" s="355">
        <v>0</v>
      </c>
      <c r="V933" s="355">
        <v>0</v>
      </c>
      <c r="W933" s="355">
        <v>0</v>
      </c>
    </row>
    <row r="934" spans="1:23" x14ac:dyDescent="0.25">
      <c r="A934" s="348" t="s">
        <v>1223</v>
      </c>
      <c r="B934" s="352">
        <v>79</v>
      </c>
      <c r="C934" s="350" t="s">
        <v>1137</v>
      </c>
      <c r="D934" s="351" t="s">
        <v>1207</v>
      </c>
      <c r="E934" s="352">
        <v>6179</v>
      </c>
      <c r="F934" s="352">
        <v>6</v>
      </c>
      <c r="G934" s="351" t="s">
        <v>1208</v>
      </c>
      <c r="H934" s="350" t="s">
        <v>1225</v>
      </c>
      <c r="I934" s="350" t="s">
        <v>393</v>
      </c>
      <c r="J934" s="560">
        <v>180000</v>
      </c>
      <c r="K934" s="350" t="s">
        <v>394</v>
      </c>
      <c r="L934" s="353">
        <v>2801.6</v>
      </c>
      <c r="M934" s="560">
        <f t="shared" si="42"/>
        <v>64.249000571102229</v>
      </c>
      <c r="N934" s="354" t="s">
        <v>395</v>
      </c>
      <c r="O934" s="354">
        <v>0</v>
      </c>
      <c r="P934" s="355" t="s">
        <v>396</v>
      </c>
      <c r="Q934" s="354" t="s">
        <v>345</v>
      </c>
      <c r="R934" s="355">
        <v>0</v>
      </c>
      <c r="S934" s="355">
        <v>0</v>
      </c>
      <c r="T934" s="355">
        <v>0</v>
      </c>
      <c r="U934" s="355">
        <v>0</v>
      </c>
      <c r="V934" s="355">
        <v>0</v>
      </c>
      <c r="W934" s="355">
        <v>0</v>
      </c>
    </row>
    <row r="935" spans="1:23" x14ac:dyDescent="0.25">
      <c r="A935" s="348" t="s">
        <v>1223</v>
      </c>
      <c r="B935" s="352">
        <v>79</v>
      </c>
      <c r="C935" s="350" t="s">
        <v>1137</v>
      </c>
      <c r="D935" s="351" t="s">
        <v>1207</v>
      </c>
      <c r="E935" s="352">
        <v>6179</v>
      </c>
      <c r="F935" s="352">
        <v>6</v>
      </c>
      <c r="G935" s="351" t="s">
        <v>1208</v>
      </c>
      <c r="H935" s="350" t="s">
        <v>1226</v>
      </c>
      <c r="I935" s="350" t="s">
        <v>393</v>
      </c>
      <c r="J935" s="560">
        <v>90000</v>
      </c>
      <c r="K935" s="350" t="s">
        <v>394</v>
      </c>
      <c r="L935" s="353">
        <v>2801.6</v>
      </c>
      <c r="M935" s="560">
        <f t="shared" si="42"/>
        <v>32.124500285551115</v>
      </c>
      <c r="N935" s="354" t="s">
        <v>395</v>
      </c>
      <c r="O935" s="354">
        <v>0</v>
      </c>
      <c r="P935" s="355" t="s">
        <v>396</v>
      </c>
      <c r="Q935" s="354" t="s">
        <v>345</v>
      </c>
      <c r="R935" s="355">
        <v>0</v>
      </c>
      <c r="S935" s="355">
        <v>0</v>
      </c>
      <c r="T935" s="355">
        <v>0</v>
      </c>
      <c r="U935" s="355">
        <v>0</v>
      </c>
      <c r="V935" s="355">
        <v>0</v>
      </c>
      <c r="W935" s="355">
        <v>0</v>
      </c>
    </row>
    <row r="936" spans="1:23" x14ac:dyDescent="0.25">
      <c r="A936" s="348" t="s">
        <v>1223</v>
      </c>
      <c r="B936" s="352">
        <v>79</v>
      </c>
      <c r="C936" s="350" t="s">
        <v>1137</v>
      </c>
      <c r="D936" s="351" t="s">
        <v>1207</v>
      </c>
      <c r="E936" s="352">
        <v>6179</v>
      </c>
      <c r="F936" s="352">
        <v>6</v>
      </c>
      <c r="G936" s="351" t="s">
        <v>1208</v>
      </c>
      <c r="H936" s="350" t="s">
        <v>1227</v>
      </c>
      <c r="I936" s="350" t="s">
        <v>393</v>
      </c>
      <c r="J936" s="560">
        <v>30000</v>
      </c>
      <c r="K936" s="350" t="s">
        <v>394</v>
      </c>
      <c r="L936" s="353">
        <v>2801.6</v>
      </c>
      <c r="M936" s="560">
        <f t="shared" si="42"/>
        <v>10.708166761850372</v>
      </c>
      <c r="N936" s="354" t="s">
        <v>395</v>
      </c>
      <c r="O936" s="354">
        <v>0</v>
      </c>
      <c r="P936" s="355" t="s">
        <v>396</v>
      </c>
      <c r="Q936" s="354" t="s">
        <v>345</v>
      </c>
      <c r="R936" s="355">
        <v>0</v>
      </c>
      <c r="S936" s="355">
        <v>0</v>
      </c>
      <c r="T936" s="355">
        <v>0</v>
      </c>
      <c r="U936" s="355">
        <v>0</v>
      </c>
      <c r="V936" s="355">
        <v>0</v>
      </c>
      <c r="W936" s="355">
        <v>0</v>
      </c>
    </row>
    <row r="937" spans="1:23" x14ac:dyDescent="0.25">
      <c r="A937" s="348" t="s">
        <v>1223</v>
      </c>
      <c r="B937" s="352">
        <v>79</v>
      </c>
      <c r="C937" s="350" t="s">
        <v>1137</v>
      </c>
      <c r="D937" s="351" t="s">
        <v>1207</v>
      </c>
      <c r="E937" s="352">
        <v>6179</v>
      </c>
      <c r="F937" s="352">
        <v>6</v>
      </c>
      <c r="G937" s="351" t="s">
        <v>1208</v>
      </c>
      <c r="H937" s="350" t="s">
        <v>1228</v>
      </c>
      <c r="I937" s="350" t="s">
        <v>393</v>
      </c>
      <c r="J937" s="560">
        <v>108000</v>
      </c>
      <c r="K937" s="350" t="s">
        <v>394</v>
      </c>
      <c r="L937" s="353">
        <v>2801.6</v>
      </c>
      <c r="M937" s="560">
        <f t="shared" si="42"/>
        <v>38.549400342661336</v>
      </c>
      <c r="N937" s="354" t="s">
        <v>395</v>
      </c>
      <c r="O937" s="354">
        <v>0</v>
      </c>
      <c r="P937" s="355" t="s">
        <v>396</v>
      </c>
      <c r="Q937" s="354" t="s">
        <v>345</v>
      </c>
      <c r="R937" s="355">
        <v>0</v>
      </c>
      <c r="S937" s="355">
        <v>0</v>
      </c>
      <c r="T937" s="355">
        <v>0</v>
      </c>
      <c r="U937" s="355">
        <v>0</v>
      </c>
      <c r="V937" s="355">
        <v>0</v>
      </c>
      <c r="W937" s="355">
        <v>0</v>
      </c>
    </row>
    <row r="938" spans="1:23" x14ac:dyDescent="0.25">
      <c r="A938" s="348" t="s">
        <v>1223</v>
      </c>
      <c r="B938" s="352">
        <v>79</v>
      </c>
      <c r="C938" s="350" t="s">
        <v>1137</v>
      </c>
      <c r="D938" s="351" t="s">
        <v>1207</v>
      </c>
      <c r="E938" s="352">
        <v>6179</v>
      </c>
      <c r="F938" s="352">
        <v>6</v>
      </c>
      <c r="G938" s="351" t="s">
        <v>1208</v>
      </c>
      <c r="H938" s="350" t="s">
        <v>1229</v>
      </c>
      <c r="I938" s="350" t="s">
        <v>393</v>
      </c>
      <c r="J938" s="560">
        <v>22000</v>
      </c>
      <c r="K938" s="350" t="s">
        <v>394</v>
      </c>
      <c r="L938" s="353">
        <v>2801.6</v>
      </c>
      <c r="M938" s="560">
        <f t="shared" si="42"/>
        <v>7.8526556253569391</v>
      </c>
      <c r="N938" s="354" t="s">
        <v>395</v>
      </c>
      <c r="O938" s="354">
        <v>0</v>
      </c>
      <c r="P938" s="355" t="s">
        <v>396</v>
      </c>
      <c r="Q938" s="354" t="s">
        <v>345</v>
      </c>
      <c r="R938" s="355">
        <v>0</v>
      </c>
      <c r="S938" s="355">
        <v>0</v>
      </c>
      <c r="T938" s="355">
        <v>0</v>
      </c>
      <c r="U938" s="355">
        <v>0</v>
      </c>
      <c r="V938" s="355">
        <v>0</v>
      </c>
      <c r="W938" s="355">
        <v>0</v>
      </c>
    </row>
    <row r="939" spans="1:23" x14ac:dyDescent="0.25">
      <c r="A939" s="348" t="s">
        <v>1230</v>
      </c>
      <c r="B939" s="349">
        <v>71</v>
      </c>
      <c r="C939" s="350" t="s">
        <v>1137</v>
      </c>
      <c r="D939" s="351" t="s">
        <v>1231</v>
      </c>
      <c r="E939" s="352">
        <v>6311</v>
      </c>
      <c r="F939" s="352">
        <v>6</v>
      </c>
      <c r="G939" s="351" t="s">
        <v>1208</v>
      </c>
      <c r="H939" s="350" t="s">
        <v>1232</v>
      </c>
      <c r="I939" s="350" t="s">
        <v>393</v>
      </c>
      <c r="J939" s="560">
        <v>150000</v>
      </c>
      <c r="K939" s="350" t="s">
        <v>394</v>
      </c>
      <c r="L939" s="353">
        <v>2801.6</v>
      </c>
      <c r="M939" s="560">
        <f t="shared" si="42"/>
        <v>53.540833809251858</v>
      </c>
      <c r="N939" s="354" t="s">
        <v>395</v>
      </c>
      <c r="O939" s="354">
        <v>0</v>
      </c>
      <c r="P939" s="355" t="s">
        <v>396</v>
      </c>
      <c r="Q939" s="354" t="s">
        <v>345</v>
      </c>
      <c r="R939" s="355">
        <v>0</v>
      </c>
      <c r="S939" s="355">
        <v>0</v>
      </c>
      <c r="T939" s="355">
        <v>0</v>
      </c>
      <c r="U939" s="355">
        <v>0</v>
      </c>
      <c r="V939" s="355">
        <v>0</v>
      </c>
      <c r="W939" s="355">
        <v>0</v>
      </c>
    </row>
    <row r="940" spans="1:23" x14ac:dyDescent="0.25">
      <c r="A940" s="348" t="s">
        <v>1230</v>
      </c>
      <c r="B940" s="349">
        <v>71</v>
      </c>
      <c r="C940" s="350" t="s">
        <v>1137</v>
      </c>
      <c r="D940" s="351" t="s">
        <v>1231</v>
      </c>
      <c r="E940" s="352">
        <v>6349</v>
      </c>
      <c r="F940" s="352">
        <v>6</v>
      </c>
      <c r="G940" s="351" t="s">
        <v>1208</v>
      </c>
      <c r="H940" s="350" t="s">
        <v>1233</v>
      </c>
      <c r="I940" s="350" t="s">
        <v>393</v>
      </c>
      <c r="J940" s="560">
        <v>124000</v>
      </c>
      <c r="K940" s="350" t="s">
        <v>394</v>
      </c>
      <c r="L940" s="353">
        <v>2801.6</v>
      </c>
      <c r="M940" s="560">
        <f t="shared" si="42"/>
        <v>44.260422615648203</v>
      </c>
      <c r="N940" s="354" t="s">
        <v>395</v>
      </c>
      <c r="O940" s="354">
        <v>0</v>
      </c>
      <c r="P940" s="355" t="s">
        <v>396</v>
      </c>
      <c r="Q940" s="354" t="s">
        <v>345</v>
      </c>
      <c r="R940" s="355">
        <v>0</v>
      </c>
      <c r="S940" s="355">
        <v>0</v>
      </c>
      <c r="T940" s="355">
        <v>0</v>
      </c>
      <c r="U940" s="355">
        <v>0</v>
      </c>
      <c r="V940" s="355">
        <v>0</v>
      </c>
      <c r="W940" s="355">
        <v>0</v>
      </c>
    </row>
    <row r="941" spans="1:23" x14ac:dyDescent="0.25">
      <c r="A941" s="348" t="s">
        <v>1230</v>
      </c>
      <c r="B941" s="349">
        <v>71</v>
      </c>
      <c r="C941" s="350" t="s">
        <v>1137</v>
      </c>
      <c r="D941" s="351" t="s">
        <v>1231</v>
      </c>
      <c r="E941" s="352">
        <v>6349</v>
      </c>
      <c r="F941" s="352">
        <v>6</v>
      </c>
      <c r="G941" s="351" t="s">
        <v>1208</v>
      </c>
      <c r="H941" s="350" t="s">
        <v>1016</v>
      </c>
      <c r="I941" s="350" t="s">
        <v>393</v>
      </c>
      <c r="J941" s="560">
        <v>558000</v>
      </c>
      <c r="K941" s="350" t="s">
        <v>394</v>
      </c>
      <c r="L941" s="353">
        <v>2801.6</v>
      </c>
      <c r="M941" s="560">
        <f t="shared" si="42"/>
        <v>199.17190177041692</v>
      </c>
      <c r="N941" s="354" t="s">
        <v>395</v>
      </c>
      <c r="O941" s="354">
        <v>0</v>
      </c>
      <c r="P941" s="355" t="s">
        <v>396</v>
      </c>
      <c r="Q941" s="354" t="s">
        <v>345</v>
      </c>
      <c r="R941" s="355">
        <v>0</v>
      </c>
      <c r="S941" s="355">
        <v>0</v>
      </c>
      <c r="T941" s="355">
        <v>0</v>
      </c>
      <c r="U941" s="355">
        <v>0</v>
      </c>
      <c r="V941" s="355">
        <v>0</v>
      </c>
      <c r="W941" s="355">
        <v>0</v>
      </c>
    </row>
    <row r="942" spans="1:23" x14ac:dyDescent="0.25">
      <c r="A942" s="348" t="s">
        <v>1230</v>
      </c>
      <c r="B942" s="349">
        <v>71</v>
      </c>
      <c r="C942" s="350" t="s">
        <v>1137</v>
      </c>
      <c r="D942" s="351" t="s">
        <v>1231</v>
      </c>
      <c r="E942" s="352">
        <v>6349</v>
      </c>
      <c r="F942" s="352">
        <v>6</v>
      </c>
      <c r="G942" s="351" t="s">
        <v>1208</v>
      </c>
      <c r="H942" s="350" t="s">
        <v>1234</v>
      </c>
      <c r="I942" s="350" t="s">
        <v>393</v>
      </c>
      <c r="J942" s="560">
        <v>1736000</v>
      </c>
      <c r="K942" s="350" t="s">
        <v>394</v>
      </c>
      <c r="L942" s="353">
        <v>2801.6</v>
      </c>
      <c r="M942" s="560">
        <f t="shared" si="42"/>
        <v>619.6459166190748</v>
      </c>
      <c r="N942" s="354" t="s">
        <v>395</v>
      </c>
      <c r="O942" s="354">
        <v>0</v>
      </c>
      <c r="P942" s="355" t="s">
        <v>396</v>
      </c>
      <c r="Q942" s="354" t="s">
        <v>345</v>
      </c>
      <c r="R942" s="355">
        <v>0</v>
      </c>
      <c r="S942" s="355">
        <v>0</v>
      </c>
      <c r="T942" s="355">
        <v>0</v>
      </c>
      <c r="U942" s="355">
        <v>0</v>
      </c>
      <c r="V942" s="355">
        <v>0</v>
      </c>
      <c r="W942" s="355">
        <v>0</v>
      </c>
    </row>
    <row r="943" spans="1:23" x14ac:dyDescent="0.25">
      <c r="A943" s="348" t="s">
        <v>1235</v>
      </c>
      <c r="B943" s="353">
        <v>81</v>
      </c>
      <c r="C943" s="350" t="s">
        <v>1137</v>
      </c>
      <c r="D943" s="351" t="s">
        <v>1231</v>
      </c>
      <c r="E943" s="352">
        <v>6311</v>
      </c>
      <c r="F943" s="352">
        <v>6</v>
      </c>
      <c r="G943" s="351" t="s">
        <v>1208</v>
      </c>
      <c r="H943" s="350" t="s">
        <v>1232</v>
      </c>
      <c r="I943" s="350" t="s">
        <v>393</v>
      </c>
      <c r="J943" s="560">
        <v>140000</v>
      </c>
      <c r="K943" s="350" t="s">
        <v>394</v>
      </c>
      <c r="L943" s="353">
        <v>2801.6</v>
      </c>
      <c r="M943" s="560">
        <f t="shared" si="42"/>
        <v>49.97144488863507</v>
      </c>
      <c r="N943" s="354" t="s">
        <v>395</v>
      </c>
      <c r="O943" s="354">
        <v>0</v>
      </c>
      <c r="P943" s="355" t="s">
        <v>396</v>
      </c>
      <c r="Q943" s="354" t="s">
        <v>345</v>
      </c>
      <c r="R943" s="355">
        <v>0</v>
      </c>
      <c r="S943" s="355">
        <v>0</v>
      </c>
      <c r="T943" s="355">
        <v>0</v>
      </c>
      <c r="U943" s="355">
        <v>0</v>
      </c>
      <c r="V943" s="355">
        <v>0</v>
      </c>
      <c r="W943" s="355">
        <v>0</v>
      </c>
    </row>
    <row r="944" spans="1:23" x14ac:dyDescent="0.25">
      <c r="A944" s="348" t="s">
        <v>1235</v>
      </c>
      <c r="B944" s="353">
        <v>81</v>
      </c>
      <c r="C944" s="350" t="s">
        <v>1137</v>
      </c>
      <c r="D944" s="351" t="s">
        <v>1231</v>
      </c>
      <c r="E944" s="352">
        <v>6349</v>
      </c>
      <c r="F944" s="352">
        <v>6</v>
      </c>
      <c r="G944" s="351" t="s">
        <v>1208</v>
      </c>
      <c r="H944" s="350" t="s">
        <v>1233</v>
      </c>
      <c r="I944" s="350" t="s">
        <v>393</v>
      </c>
      <c r="J944" s="560">
        <v>124000</v>
      </c>
      <c r="K944" s="350" t="s">
        <v>394</v>
      </c>
      <c r="L944" s="353">
        <v>2801.6</v>
      </c>
      <c r="M944" s="560">
        <f t="shared" si="42"/>
        <v>44.260422615648203</v>
      </c>
      <c r="N944" s="354" t="s">
        <v>395</v>
      </c>
      <c r="O944" s="354">
        <v>0</v>
      </c>
      <c r="P944" s="355" t="s">
        <v>396</v>
      </c>
      <c r="Q944" s="354" t="s">
        <v>345</v>
      </c>
      <c r="R944" s="355">
        <v>0</v>
      </c>
      <c r="S944" s="355">
        <v>0</v>
      </c>
      <c r="T944" s="355">
        <v>0</v>
      </c>
      <c r="U944" s="355">
        <v>0</v>
      </c>
      <c r="V944" s="355">
        <v>0</v>
      </c>
      <c r="W944" s="355">
        <v>0</v>
      </c>
    </row>
    <row r="945" spans="1:23" x14ac:dyDescent="0.25">
      <c r="A945" s="348" t="s">
        <v>1235</v>
      </c>
      <c r="B945" s="353">
        <v>81</v>
      </c>
      <c r="C945" s="350" t="s">
        <v>1137</v>
      </c>
      <c r="D945" s="351" t="s">
        <v>1231</v>
      </c>
      <c r="E945" s="352">
        <v>6349</v>
      </c>
      <c r="F945" s="352">
        <v>6</v>
      </c>
      <c r="G945" s="351" t="s">
        <v>1208</v>
      </c>
      <c r="H945" s="350" t="s">
        <v>1016</v>
      </c>
      <c r="I945" s="350" t="s">
        <v>393</v>
      </c>
      <c r="J945" s="560">
        <v>496000</v>
      </c>
      <c r="K945" s="350" t="s">
        <v>394</v>
      </c>
      <c r="L945" s="353">
        <v>2801.6</v>
      </c>
      <c r="M945" s="560">
        <f t="shared" si="42"/>
        <v>177.04169046259281</v>
      </c>
      <c r="N945" s="354" t="s">
        <v>395</v>
      </c>
      <c r="O945" s="354">
        <v>0</v>
      </c>
      <c r="P945" s="355" t="s">
        <v>396</v>
      </c>
      <c r="Q945" s="354" t="s">
        <v>345</v>
      </c>
      <c r="R945" s="355">
        <v>0</v>
      </c>
      <c r="S945" s="355">
        <v>0</v>
      </c>
      <c r="T945" s="355">
        <v>0</v>
      </c>
      <c r="U945" s="355">
        <v>0</v>
      </c>
      <c r="V945" s="355">
        <v>0</v>
      </c>
      <c r="W945" s="355">
        <v>0</v>
      </c>
    </row>
    <row r="946" spans="1:23" x14ac:dyDescent="0.25">
      <c r="A946" s="348" t="s">
        <v>1235</v>
      </c>
      <c r="B946" s="353">
        <v>81</v>
      </c>
      <c r="C946" s="350" t="s">
        <v>1137</v>
      </c>
      <c r="D946" s="351" t="s">
        <v>1231</v>
      </c>
      <c r="E946" s="352">
        <v>6349</v>
      </c>
      <c r="F946" s="352">
        <v>6</v>
      </c>
      <c r="G946" s="351" t="s">
        <v>1208</v>
      </c>
      <c r="H946" s="350" t="s">
        <v>1234</v>
      </c>
      <c r="I946" s="350" t="s">
        <v>393</v>
      </c>
      <c r="J946" s="560">
        <v>1736000</v>
      </c>
      <c r="K946" s="350" t="s">
        <v>394</v>
      </c>
      <c r="L946" s="353">
        <v>2801.6</v>
      </c>
      <c r="M946" s="560">
        <f t="shared" si="42"/>
        <v>619.6459166190748</v>
      </c>
      <c r="N946" s="354" t="s">
        <v>395</v>
      </c>
      <c r="O946" s="354">
        <v>0</v>
      </c>
      <c r="P946" s="355" t="s">
        <v>396</v>
      </c>
      <c r="Q946" s="354" t="s">
        <v>345</v>
      </c>
      <c r="R946" s="355">
        <v>0</v>
      </c>
      <c r="S946" s="355">
        <v>0</v>
      </c>
      <c r="T946" s="355">
        <v>0</v>
      </c>
      <c r="U946" s="355">
        <v>0</v>
      </c>
      <c r="V946" s="355">
        <v>0</v>
      </c>
      <c r="W946" s="355">
        <v>0</v>
      </c>
    </row>
    <row r="947" spans="1:23" x14ac:dyDescent="0.25">
      <c r="A947" s="348" t="s">
        <v>1236</v>
      </c>
      <c r="B947" s="349">
        <v>74</v>
      </c>
      <c r="C947" s="350" t="s">
        <v>1137</v>
      </c>
      <c r="D947" s="351" t="s">
        <v>1237</v>
      </c>
      <c r="E947" s="352">
        <v>6349</v>
      </c>
      <c r="F947" s="352">
        <v>6</v>
      </c>
      <c r="G947" s="351" t="s">
        <v>1208</v>
      </c>
      <c r="H947" s="350" t="s">
        <v>1232</v>
      </c>
      <c r="I947" s="350" t="s">
        <v>393</v>
      </c>
      <c r="J947" s="560">
        <v>150000</v>
      </c>
      <c r="K947" s="350" t="s">
        <v>394</v>
      </c>
      <c r="L947" s="353">
        <v>2801.6</v>
      </c>
      <c r="M947" s="560">
        <f t="shared" si="42"/>
        <v>53.540833809251858</v>
      </c>
      <c r="N947" s="354" t="s">
        <v>395</v>
      </c>
      <c r="O947" s="354">
        <v>0</v>
      </c>
      <c r="P947" s="355" t="s">
        <v>396</v>
      </c>
      <c r="Q947" s="354" t="s">
        <v>345</v>
      </c>
      <c r="R947" s="355">
        <v>0</v>
      </c>
      <c r="S947" s="355">
        <v>0</v>
      </c>
      <c r="T947" s="355">
        <v>0</v>
      </c>
      <c r="U947" s="355">
        <v>0</v>
      </c>
      <c r="V947" s="355">
        <v>0</v>
      </c>
      <c r="W947" s="355">
        <v>0</v>
      </c>
    </row>
    <row r="948" spans="1:23" x14ac:dyDescent="0.25">
      <c r="A948" s="348" t="s">
        <v>1236</v>
      </c>
      <c r="B948" s="349">
        <v>74</v>
      </c>
      <c r="C948" s="350" t="s">
        <v>1137</v>
      </c>
      <c r="D948" s="351" t="s">
        <v>1237</v>
      </c>
      <c r="E948" s="352">
        <v>6349</v>
      </c>
      <c r="F948" s="352">
        <v>6</v>
      </c>
      <c r="G948" s="351" t="s">
        <v>1208</v>
      </c>
      <c r="H948" s="350" t="s">
        <v>1233</v>
      </c>
      <c r="I948" s="350" t="s">
        <v>393</v>
      </c>
      <c r="J948" s="560">
        <v>124000</v>
      </c>
      <c r="K948" s="350" t="s">
        <v>394</v>
      </c>
      <c r="L948" s="353">
        <v>2801.6</v>
      </c>
      <c r="M948" s="560">
        <f t="shared" si="42"/>
        <v>44.260422615648203</v>
      </c>
      <c r="N948" s="354" t="s">
        <v>395</v>
      </c>
      <c r="O948" s="354">
        <v>0</v>
      </c>
      <c r="P948" s="355" t="s">
        <v>396</v>
      </c>
      <c r="Q948" s="354" t="s">
        <v>345</v>
      </c>
      <c r="R948" s="355">
        <v>0</v>
      </c>
      <c r="S948" s="355">
        <v>0</v>
      </c>
      <c r="T948" s="355">
        <v>0</v>
      </c>
      <c r="U948" s="355">
        <v>0</v>
      </c>
      <c r="V948" s="355">
        <v>0</v>
      </c>
      <c r="W948" s="355">
        <v>0</v>
      </c>
    </row>
    <row r="949" spans="1:23" x14ac:dyDescent="0.25">
      <c r="A949" s="348" t="s">
        <v>1236</v>
      </c>
      <c r="B949" s="349">
        <v>74</v>
      </c>
      <c r="C949" s="350" t="s">
        <v>1137</v>
      </c>
      <c r="D949" s="351" t="s">
        <v>1237</v>
      </c>
      <c r="E949" s="352">
        <v>6349</v>
      </c>
      <c r="F949" s="352">
        <v>6</v>
      </c>
      <c r="G949" s="351" t="s">
        <v>1208</v>
      </c>
      <c r="H949" s="350" t="s">
        <v>1016</v>
      </c>
      <c r="I949" s="350" t="s">
        <v>393</v>
      </c>
      <c r="J949" s="560">
        <v>620000</v>
      </c>
      <c r="K949" s="350" t="s">
        <v>394</v>
      </c>
      <c r="L949" s="353">
        <v>2801.6</v>
      </c>
      <c r="M949" s="560">
        <f t="shared" si="42"/>
        <v>221.30211307824101</v>
      </c>
      <c r="N949" s="354" t="s">
        <v>395</v>
      </c>
      <c r="O949" s="354">
        <v>0</v>
      </c>
      <c r="P949" s="355" t="s">
        <v>396</v>
      </c>
      <c r="Q949" s="354" t="s">
        <v>345</v>
      </c>
      <c r="R949" s="355">
        <v>0</v>
      </c>
      <c r="S949" s="355">
        <v>0</v>
      </c>
      <c r="T949" s="355">
        <v>0</v>
      </c>
      <c r="U949" s="355">
        <v>0</v>
      </c>
      <c r="V949" s="355">
        <v>0</v>
      </c>
      <c r="W949" s="355">
        <v>0</v>
      </c>
    </row>
    <row r="950" spans="1:23" x14ac:dyDescent="0.25">
      <c r="A950" s="348" t="s">
        <v>1236</v>
      </c>
      <c r="B950" s="349">
        <v>74</v>
      </c>
      <c r="C950" s="350" t="s">
        <v>1137</v>
      </c>
      <c r="D950" s="351" t="s">
        <v>1237</v>
      </c>
      <c r="E950" s="352">
        <v>6349</v>
      </c>
      <c r="F950" s="352">
        <v>6</v>
      </c>
      <c r="G950" s="351" t="s">
        <v>1208</v>
      </c>
      <c r="H950" s="350" t="s">
        <v>1234</v>
      </c>
      <c r="I950" s="350" t="s">
        <v>393</v>
      </c>
      <c r="J950" s="560">
        <v>1736000</v>
      </c>
      <c r="K950" s="350" t="s">
        <v>394</v>
      </c>
      <c r="L950" s="353">
        <v>2801.6</v>
      </c>
      <c r="M950" s="560">
        <f t="shared" si="42"/>
        <v>619.6459166190748</v>
      </c>
      <c r="N950" s="354" t="s">
        <v>395</v>
      </c>
      <c r="O950" s="354">
        <v>0</v>
      </c>
      <c r="P950" s="355" t="s">
        <v>396</v>
      </c>
      <c r="Q950" s="354" t="s">
        <v>345</v>
      </c>
      <c r="R950" s="355">
        <v>0</v>
      </c>
      <c r="S950" s="355">
        <v>0</v>
      </c>
      <c r="T950" s="355">
        <v>0</v>
      </c>
      <c r="U950" s="355">
        <v>0</v>
      </c>
      <c r="V950" s="355">
        <v>0</v>
      </c>
      <c r="W950" s="355">
        <v>0</v>
      </c>
    </row>
    <row r="951" spans="1:23" x14ac:dyDescent="0.25">
      <c r="A951" s="348" t="s">
        <v>1238</v>
      </c>
      <c r="B951" s="349">
        <v>64</v>
      </c>
      <c r="C951" s="349" t="s">
        <v>1137</v>
      </c>
      <c r="D951" s="351" t="s">
        <v>1138</v>
      </c>
      <c r="E951" s="352"/>
      <c r="F951" s="352">
        <v>6</v>
      </c>
      <c r="G951" s="351" t="s">
        <v>1208</v>
      </c>
      <c r="H951" s="350" t="s">
        <v>1239</v>
      </c>
      <c r="I951" s="350" t="s">
        <v>393</v>
      </c>
      <c r="J951" s="560">
        <v>3600000</v>
      </c>
      <c r="K951" s="350" t="s">
        <v>394</v>
      </c>
      <c r="L951" s="353">
        <v>2801.6</v>
      </c>
      <c r="M951" s="560">
        <f t="shared" si="42"/>
        <v>1284.9800114220445</v>
      </c>
      <c r="N951" s="354" t="s">
        <v>395</v>
      </c>
      <c r="O951" s="354">
        <v>0</v>
      </c>
      <c r="P951" s="355" t="s">
        <v>396</v>
      </c>
      <c r="Q951" s="354" t="s">
        <v>345</v>
      </c>
      <c r="R951" s="355">
        <v>0</v>
      </c>
      <c r="S951" s="355">
        <v>0</v>
      </c>
      <c r="T951" s="355">
        <v>0</v>
      </c>
      <c r="U951" s="355">
        <v>0</v>
      </c>
      <c r="V951" s="355">
        <v>0</v>
      </c>
      <c r="W951" s="355">
        <v>0</v>
      </c>
    </row>
    <row r="952" spans="1:23" x14ac:dyDescent="0.25">
      <c r="A952" s="348" t="s">
        <v>1240</v>
      </c>
      <c r="B952" s="349">
        <v>72</v>
      </c>
      <c r="C952" s="349" t="s">
        <v>1137</v>
      </c>
      <c r="D952" s="351" t="s">
        <v>983</v>
      </c>
      <c r="E952" s="352"/>
      <c r="F952" s="352">
        <v>6</v>
      </c>
      <c r="G952" s="351" t="s">
        <v>1208</v>
      </c>
      <c r="H952" s="350" t="s">
        <v>1232</v>
      </c>
      <c r="I952" s="350" t="s">
        <v>393</v>
      </c>
      <c r="J952" s="560">
        <v>140000</v>
      </c>
      <c r="K952" s="350" t="s">
        <v>394</v>
      </c>
      <c r="L952" s="353">
        <v>2801.6</v>
      </c>
      <c r="M952" s="560">
        <f t="shared" si="42"/>
        <v>49.97144488863507</v>
      </c>
      <c r="N952" s="354" t="s">
        <v>395</v>
      </c>
      <c r="O952" s="354">
        <v>0</v>
      </c>
      <c r="P952" s="355" t="s">
        <v>396</v>
      </c>
      <c r="Q952" s="354" t="s">
        <v>345</v>
      </c>
      <c r="R952" s="355">
        <v>0</v>
      </c>
      <c r="S952" s="355">
        <v>0</v>
      </c>
      <c r="T952" s="355">
        <v>0</v>
      </c>
      <c r="U952" s="355">
        <v>0</v>
      </c>
      <c r="V952" s="355">
        <v>0</v>
      </c>
      <c r="W952" s="355">
        <v>0</v>
      </c>
    </row>
    <row r="953" spans="1:23" x14ac:dyDescent="0.25">
      <c r="A953" s="348" t="s">
        <v>1240</v>
      </c>
      <c r="B953" s="349">
        <v>72</v>
      </c>
      <c r="C953" s="349" t="s">
        <v>1137</v>
      </c>
      <c r="D953" s="351" t="s">
        <v>983</v>
      </c>
      <c r="E953" s="352"/>
      <c r="F953" s="352">
        <v>6</v>
      </c>
      <c r="G953" s="351" t="s">
        <v>1208</v>
      </c>
      <c r="H953" s="350" t="s">
        <v>1233</v>
      </c>
      <c r="I953" s="350" t="s">
        <v>393</v>
      </c>
      <c r="J953" s="560">
        <v>124000</v>
      </c>
      <c r="K953" s="350" t="s">
        <v>394</v>
      </c>
      <c r="L953" s="353">
        <v>2801.6</v>
      </c>
      <c r="M953" s="560">
        <f t="shared" si="42"/>
        <v>44.260422615648203</v>
      </c>
      <c r="N953" s="354" t="s">
        <v>395</v>
      </c>
      <c r="O953" s="354">
        <v>0</v>
      </c>
      <c r="P953" s="355" t="s">
        <v>396</v>
      </c>
      <c r="Q953" s="354" t="s">
        <v>345</v>
      </c>
      <c r="R953" s="355">
        <v>0</v>
      </c>
      <c r="S953" s="355">
        <v>0</v>
      </c>
      <c r="T953" s="355">
        <v>0</v>
      </c>
      <c r="U953" s="355">
        <v>0</v>
      </c>
      <c r="V953" s="355">
        <v>0</v>
      </c>
      <c r="W953" s="355">
        <v>0</v>
      </c>
    </row>
    <row r="954" spans="1:23" x14ac:dyDescent="0.25">
      <c r="A954" s="348" t="s">
        <v>1240</v>
      </c>
      <c r="B954" s="349">
        <v>72</v>
      </c>
      <c r="C954" s="349" t="s">
        <v>1137</v>
      </c>
      <c r="D954" s="351" t="s">
        <v>983</v>
      </c>
      <c r="E954" s="352"/>
      <c r="F954" s="352">
        <v>6</v>
      </c>
      <c r="G954" s="351" t="s">
        <v>1208</v>
      </c>
      <c r="H954" s="350" t="s">
        <v>1016</v>
      </c>
      <c r="I954" s="350" t="s">
        <v>393</v>
      </c>
      <c r="J954" s="560">
        <v>496000</v>
      </c>
      <c r="K954" s="350" t="s">
        <v>394</v>
      </c>
      <c r="L954" s="353">
        <v>2801.6</v>
      </c>
      <c r="M954" s="560">
        <f t="shared" si="42"/>
        <v>177.04169046259281</v>
      </c>
      <c r="N954" s="354" t="s">
        <v>395</v>
      </c>
      <c r="O954" s="354">
        <v>0</v>
      </c>
      <c r="P954" s="355" t="s">
        <v>396</v>
      </c>
      <c r="Q954" s="354" t="s">
        <v>345</v>
      </c>
      <c r="R954" s="355">
        <v>0</v>
      </c>
      <c r="S954" s="355">
        <v>0</v>
      </c>
      <c r="T954" s="355">
        <v>0</v>
      </c>
      <c r="U954" s="355">
        <v>0</v>
      </c>
      <c r="V954" s="355">
        <v>0</v>
      </c>
      <c r="W954" s="355">
        <v>0</v>
      </c>
    </row>
    <row r="955" spans="1:23" x14ac:dyDescent="0.25">
      <c r="A955" s="348" t="s">
        <v>1240</v>
      </c>
      <c r="B955" s="349">
        <v>72</v>
      </c>
      <c r="C955" s="349" t="s">
        <v>1137</v>
      </c>
      <c r="D955" s="351" t="s">
        <v>983</v>
      </c>
      <c r="E955" s="352"/>
      <c r="F955" s="352">
        <v>6</v>
      </c>
      <c r="G955" s="351" t="s">
        <v>1208</v>
      </c>
      <c r="H955" s="350" t="s">
        <v>1234</v>
      </c>
      <c r="I955" s="350" t="s">
        <v>393</v>
      </c>
      <c r="J955" s="560">
        <v>1860000</v>
      </c>
      <c r="K955" s="350" t="s">
        <v>394</v>
      </c>
      <c r="L955" s="353">
        <v>2801.6</v>
      </c>
      <c r="M955" s="560">
        <f t="shared" si="42"/>
        <v>663.90633923472308</v>
      </c>
      <c r="N955" s="354" t="s">
        <v>395</v>
      </c>
      <c r="O955" s="354">
        <v>0</v>
      </c>
      <c r="P955" s="355" t="s">
        <v>396</v>
      </c>
      <c r="Q955" s="354" t="s">
        <v>345</v>
      </c>
      <c r="R955" s="355">
        <v>0</v>
      </c>
      <c r="S955" s="355">
        <v>0</v>
      </c>
      <c r="T955" s="355">
        <v>0</v>
      </c>
      <c r="U955" s="355">
        <v>0</v>
      </c>
      <c r="V955" s="355">
        <v>0</v>
      </c>
      <c r="W955" s="355">
        <v>0</v>
      </c>
    </row>
    <row r="956" spans="1:23" x14ac:dyDescent="0.25">
      <c r="A956" s="348" t="s">
        <v>1241</v>
      </c>
      <c r="B956" s="349">
        <v>78</v>
      </c>
      <c r="C956" s="350" t="s">
        <v>1137</v>
      </c>
      <c r="D956" s="351" t="s">
        <v>1242</v>
      </c>
      <c r="E956" s="352">
        <v>6312</v>
      </c>
      <c r="F956" s="352">
        <v>6</v>
      </c>
      <c r="G956" s="351" t="s">
        <v>1208</v>
      </c>
      <c r="H956" s="350" t="s">
        <v>1243</v>
      </c>
      <c r="I956" s="350" t="s">
        <v>393</v>
      </c>
      <c r="J956" s="560">
        <v>1800000</v>
      </c>
      <c r="K956" s="350" t="s">
        <v>394</v>
      </c>
      <c r="L956" s="353">
        <v>2801.6</v>
      </c>
      <c r="M956" s="560">
        <f t="shared" si="42"/>
        <v>642.49000571102226</v>
      </c>
      <c r="N956" s="354" t="s">
        <v>395</v>
      </c>
      <c r="O956" s="354">
        <v>0</v>
      </c>
      <c r="P956" s="355" t="s">
        <v>396</v>
      </c>
      <c r="Q956" s="354" t="s">
        <v>345</v>
      </c>
      <c r="R956" s="355">
        <v>0</v>
      </c>
      <c r="S956" s="355">
        <v>0</v>
      </c>
      <c r="T956" s="355">
        <v>0</v>
      </c>
      <c r="U956" s="355">
        <v>0</v>
      </c>
      <c r="V956" s="355">
        <v>0</v>
      </c>
      <c r="W956" s="355">
        <v>0</v>
      </c>
    </row>
    <row r="957" spans="1:23" x14ac:dyDescent="0.25">
      <c r="A957" s="348" t="s">
        <v>1244</v>
      </c>
      <c r="B957" s="349">
        <v>83</v>
      </c>
      <c r="C957" s="350" t="s">
        <v>1137</v>
      </c>
      <c r="D957" s="351" t="s">
        <v>1245</v>
      </c>
      <c r="E957" s="352">
        <v>6345</v>
      </c>
      <c r="F957" s="352">
        <v>6</v>
      </c>
      <c r="G957" s="351" t="s">
        <v>1208</v>
      </c>
      <c r="H957" s="350" t="s">
        <v>1246</v>
      </c>
      <c r="I957" s="350" t="s">
        <v>393</v>
      </c>
      <c r="J957" s="560">
        <v>640000</v>
      </c>
      <c r="K957" s="350" t="s">
        <v>394</v>
      </c>
      <c r="L957" s="353">
        <v>2801.6</v>
      </c>
      <c r="M957" s="560">
        <f t="shared" si="42"/>
        <v>228.44089091947458</v>
      </c>
      <c r="N957" s="354" t="s">
        <v>395</v>
      </c>
      <c r="O957" s="354">
        <v>0</v>
      </c>
      <c r="P957" s="355" t="s">
        <v>396</v>
      </c>
      <c r="Q957" s="354" t="s">
        <v>345</v>
      </c>
      <c r="R957" s="355">
        <v>0</v>
      </c>
      <c r="S957" s="355">
        <v>0</v>
      </c>
      <c r="T957" s="355">
        <v>0</v>
      </c>
      <c r="U957" s="355">
        <v>0</v>
      </c>
      <c r="V957" s="355">
        <v>0</v>
      </c>
      <c r="W957" s="355">
        <v>0</v>
      </c>
    </row>
    <row r="958" spans="1:23" x14ac:dyDescent="0.25">
      <c r="A958" s="348" t="s">
        <v>1244</v>
      </c>
      <c r="B958" s="349">
        <v>83</v>
      </c>
      <c r="C958" s="350" t="s">
        <v>1137</v>
      </c>
      <c r="D958" s="351" t="s">
        <v>1245</v>
      </c>
      <c r="E958" s="352">
        <v>6345</v>
      </c>
      <c r="F958" s="352">
        <v>6</v>
      </c>
      <c r="G958" s="351" t="s">
        <v>1208</v>
      </c>
      <c r="H958" s="350" t="s">
        <v>1221</v>
      </c>
      <c r="I958" s="350" t="s">
        <v>393</v>
      </c>
      <c r="J958" s="560">
        <v>360000</v>
      </c>
      <c r="K958" s="350" t="s">
        <v>394</v>
      </c>
      <c r="L958" s="353">
        <v>2801.6</v>
      </c>
      <c r="M958" s="560">
        <f t="shared" si="42"/>
        <v>128.49800114220446</v>
      </c>
      <c r="N958" s="354" t="s">
        <v>395</v>
      </c>
      <c r="O958" s="354">
        <v>0</v>
      </c>
      <c r="P958" s="355" t="s">
        <v>396</v>
      </c>
      <c r="Q958" s="354" t="s">
        <v>345</v>
      </c>
      <c r="R958" s="355">
        <v>0</v>
      </c>
      <c r="S958" s="355">
        <v>0</v>
      </c>
      <c r="T958" s="355">
        <v>0</v>
      </c>
      <c r="U958" s="355">
        <v>0</v>
      </c>
      <c r="V958" s="355">
        <v>0</v>
      </c>
      <c r="W958" s="355">
        <v>0</v>
      </c>
    </row>
    <row r="959" spans="1:23" x14ac:dyDescent="0.25">
      <c r="A959" s="348" t="s">
        <v>1244</v>
      </c>
      <c r="B959" s="349">
        <v>83</v>
      </c>
      <c r="C959" s="350" t="s">
        <v>1137</v>
      </c>
      <c r="D959" s="351" t="s">
        <v>1245</v>
      </c>
      <c r="E959" s="352">
        <v>6345</v>
      </c>
      <c r="F959" s="352">
        <v>6</v>
      </c>
      <c r="G959" s="351" t="s">
        <v>1208</v>
      </c>
      <c r="H959" s="350" t="s">
        <v>1247</v>
      </c>
      <c r="I959" s="350" t="s">
        <v>393</v>
      </c>
      <c r="J959" s="560">
        <v>200000</v>
      </c>
      <c r="K959" s="350" t="s">
        <v>394</v>
      </c>
      <c r="L959" s="353">
        <v>2801.6</v>
      </c>
      <c r="M959" s="560">
        <f t="shared" si="42"/>
        <v>71.387778412335805</v>
      </c>
      <c r="N959" s="354" t="s">
        <v>395</v>
      </c>
      <c r="O959" s="354">
        <v>0</v>
      </c>
      <c r="P959" s="355" t="s">
        <v>396</v>
      </c>
      <c r="Q959" s="354" t="s">
        <v>345</v>
      </c>
      <c r="R959" s="355">
        <v>0</v>
      </c>
      <c r="S959" s="355">
        <v>0</v>
      </c>
      <c r="T959" s="355">
        <v>0</v>
      </c>
      <c r="U959" s="355">
        <v>0</v>
      </c>
      <c r="V959" s="355">
        <v>0</v>
      </c>
      <c r="W959" s="355">
        <v>0</v>
      </c>
    </row>
    <row r="960" spans="1:23" x14ac:dyDescent="0.25">
      <c r="A960" s="348" t="s">
        <v>1248</v>
      </c>
      <c r="B960" s="349">
        <v>67</v>
      </c>
      <c r="C960" s="350" t="s">
        <v>1137</v>
      </c>
      <c r="D960" s="351" t="s">
        <v>1245</v>
      </c>
      <c r="E960" s="352">
        <v>6172</v>
      </c>
      <c r="F960" s="352">
        <v>6</v>
      </c>
      <c r="G960" s="351" t="s">
        <v>1208</v>
      </c>
      <c r="H960" s="350" t="s">
        <v>1249</v>
      </c>
      <c r="I960" s="350" t="s">
        <v>393</v>
      </c>
      <c r="J960" s="560">
        <v>1201500</v>
      </c>
      <c r="K960" s="350" t="s">
        <v>394</v>
      </c>
      <c r="L960" s="353">
        <v>2801.6</v>
      </c>
      <c r="M960" s="560">
        <f t="shared" si="42"/>
        <v>428.86207881210737</v>
      </c>
      <c r="N960" s="354" t="s">
        <v>395</v>
      </c>
      <c r="O960" s="354">
        <v>0</v>
      </c>
      <c r="P960" s="355" t="s">
        <v>396</v>
      </c>
      <c r="Q960" s="354" t="s">
        <v>345</v>
      </c>
      <c r="R960" s="355">
        <v>0</v>
      </c>
      <c r="S960" s="355">
        <v>0</v>
      </c>
      <c r="T960" s="355">
        <v>0</v>
      </c>
      <c r="U960" s="355">
        <v>0</v>
      </c>
      <c r="V960" s="355">
        <v>0</v>
      </c>
      <c r="W960" s="355">
        <v>0</v>
      </c>
    </row>
    <row r="961" spans="1:23" x14ac:dyDescent="0.25">
      <c r="A961" s="348" t="s">
        <v>1250</v>
      </c>
      <c r="B961" s="349">
        <v>65</v>
      </c>
      <c r="C961" s="350" t="s">
        <v>1137</v>
      </c>
      <c r="D961" s="351" t="s">
        <v>1245</v>
      </c>
      <c r="E961" s="352">
        <v>6179</v>
      </c>
      <c r="F961" s="352">
        <v>6</v>
      </c>
      <c r="G961" s="351" t="s">
        <v>1208</v>
      </c>
      <c r="H961" s="350" t="s">
        <v>1251</v>
      </c>
      <c r="I961" s="350" t="s">
        <v>393</v>
      </c>
      <c r="J961" s="560">
        <v>400000</v>
      </c>
      <c r="K961" s="350" t="s">
        <v>394</v>
      </c>
      <c r="L961" s="353">
        <v>2801.6</v>
      </c>
      <c r="M961" s="560">
        <f t="shared" si="42"/>
        <v>142.77555682467161</v>
      </c>
      <c r="N961" s="354" t="s">
        <v>395</v>
      </c>
      <c r="O961" s="354">
        <v>0</v>
      </c>
      <c r="P961" s="355" t="s">
        <v>396</v>
      </c>
      <c r="Q961" s="354" t="s">
        <v>345</v>
      </c>
      <c r="R961" s="355">
        <v>0</v>
      </c>
      <c r="S961" s="355">
        <v>0</v>
      </c>
      <c r="T961" s="355">
        <v>0</v>
      </c>
      <c r="U961" s="355">
        <v>0</v>
      </c>
      <c r="V961" s="355">
        <v>0</v>
      </c>
      <c r="W961" s="355">
        <v>0</v>
      </c>
    </row>
    <row r="962" spans="1:23" x14ac:dyDescent="0.25">
      <c r="A962" s="348" t="s">
        <v>1250</v>
      </c>
      <c r="B962" s="349">
        <v>65</v>
      </c>
      <c r="C962" s="350" t="s">
        <v>1137</v>
      </c>
      <c r="D962" s="351" t="s">
        <v>1245</v>
      </c>
      <c r="E962" s="352">
        <v>6179</v>
      </c>
      <c r="F962" s="352">
        <v>6</v>
      </c>
      <c r="G962" s="351" t="s">
        <v>1208</v>
      </c>
      <c r="H962" s="350" t="s">
        <v>1252</v>
      </c>
      <c r="I962" s="350" t="s">
        <v>393</v>
      </c>
      <c r="J962" s="560">
        <v>150000</v>
      </c>
      <c r="K962" s="350" t="s">
        <v>394</v>
      </c>
      <c r="L962" s="353">
        <v>2801.6</v>
      </c>
      <c r="M962" s="560">
        <f t="shared" si="42"/>
        <v>53.540833809251858</v>
      </c>
      <c r="N962" s="354" t="s">
        <v>395</v>
      </c>
      <c r="O962" s="354">
        <v>0</v>
      </c>
      <c r="P962" s="355" t="s">
        <v>396</v>
      </c>
      <c r="Q962" s="354" t="s">
        <v>345</v>
      </c>
      <c r="R962" s="355">
        <v>0</v>
      </c>
      <c r="S962" s="355">
        <v>0</v>
      </c>
      <c r="T962" s="355">
        <v>0</v>
      </c>
      <c r="U962" s="355">
        <v>0</v>
      </c>
      <c r="V962" s="355">
        <v>0</v>
      </c>
      <c r="W962" s="355">
        <v>0</v>
      </c>
    </row>
    <row r="963" spans="1:23" x14ac:dyDescent="0.25">
      <c r="A963" s="348" t="s">
        <v>1250</v>
      </c>
      <c r="B963" s="349">
        <v>65</v>
      </c>
      <c r="C963" s="350" t="s">
        <v>1137</v>
      </c>
      <c r="D963" s="351" t="s">
        <v>1245</v>
      </c>
      <c r="E963" s="352">
        <v>6179</v>
      </c>
      <c r="F963" s="352">
        <v>6</v>
      </c>
      <c r="G963" s="351" t="s">
        <v>1208</v>
      </c>
      <c r="H963" s="350" t="s">
        <v>1253</v>
      </c>
      <c r="I963" s="350" t="s">
        <v>393</v>
      </c>
      <c r="J963" s="560">
        <v>300000</v>
      </c>
      <c r="K963" s="350" t="s">
        <v>394</v>
      </c>
      <c r="L963" s="353">
        <v>2801.6</v>
      </c>
      <c r="M963" s="560">
        <f t="shared" si="42"/>
        <v>107.08166761850372</v>
      </c>
      <c r="N963" s="354" t="s">
        <v>395</v>
      </c>
      <c r="O963" s="354">
        <v>0</v>
      </c>
      <c r="P963" s="355" t="s">
        <v>396</v>
      </c>
      <c r="Q963" s="354" t="s">
        <v>345</v>
      </c>
      <c r="R963" s="355">
        <v>0</v>
      </c>
      <c r="S963" s="355">
        <v>0</v>
      </c>
      <c r="T963" s="355">
        <v>0</v>
      </c>
      <c r="U963" s="355">
        <v>0</v>
      </c>
      <c r="V963" s="355">
        <v>0</v>
      </c>
      <c r="W963" s="355">
        <v>0</v>
      </c>
    </row>
    <row r="964" spans="1:23" x14ac:dyDescent="0.25">
      <c r="A964" s="348" t="s">
        <v>1250</v>
      </c>
      <c r="B964" s="349">
        <v>65</v>
      </c>
      <c r="C964" s="350" t="s">
        <v>1137</v>
      </c>
      <c r="D964" s="351" t="s">
        <v>1245</v>
      </c>
      <c r="E964" s="352">
        <v>6179</v>
      </c>
      <c r="F964" s="352">
        <v>6</v>
      </c>
      <c r="G964" s="351" t="s">
        <v>1208</v>
      </c>
      <c r="H964" s="350" t="s">
        <v>1254</v>
      </c>
      <c r="I964" s="350" t="s">
        <v>393</v>
      </c>
      <c r="J964" s="560">
        <v>150000</v>
      </c>
      <c r="K964" s="350" t="s">
        <v>394</v>
      </c>
      <c r="L964" s="353">
        <v>2801.6</v>
      </c>
      <c r="M964" s="560">
        <f t="shared" si="42"/>
        <v>53.540833809251858</v>
      </c>
      <c r="N964" s="354" t="s">
        <v>395</v>
      </c>
      <c r="O964" s="354">
        <v>0</v>
      </c>
      <c r="P964" s="355" t="s">
        <v>396</v>
      </c>
      <c r="Q964" s="354" t="s">
        <v>345</v>
      </c>
      <c r="R964" s="355">
        <v>0</v>
      </c>
      <c r="S964" s="355">
        <v>0</v>
      </c>
      <c r="T964" s="355">
        <v>0</v>
      </c>
      <c r="U964" s="355">
        <v>0</v>
      </c>
      <c r="V964" s="355">
        <v>0</v>
      </c>
      <c r="W964" s="355">
        <v>0</v>
      </c>
    </row>
    <row r="965" spans="1:23" x14ac:dyDescent="0.25">
      <c r="A965" s="348" t="s">
        <v>1250</v>
      </c>
      <c r="B965" s="349">
        <v>65</v>
      </c>
      <c r="C965" s="350" t="s">
        <v>1137</v>
      </c>
      <c r="D965" s="351" t="s">
        <v>1245</v>
      </c>
      <c r="E965" s="352">
        <v>6179</v>
      </c>
      <c r="F965" s="352">
        <v>6</v>
      </c>
      <c r="G965" s="351" t="s">
        <v>1208</v>
      </c>
      <c r="H965" s="350" t="s">
        <v>1255</v>
      </c>
      <c r="I965" s="350" t="s">
        <v>393</v>
      </c>
      <c r="J965" s="560">
        <v>60000</v>
      </c>
      <c r="K965" s="350" t="s">
        <v>394</v>
      </c>
      <c r="L965" s="353">
        <v>2801.6</v>
      </c>
      <c r="M965" s="560">
        <f t="shared" si="42"/>
        <v>21.416333523700743</v>
      </c>
      <c r="N965" s="354" t="s">
        <v>395</v>
      </c>
      <c r="O965" s="354">
        <v>0</v>
      </c>
      <c r="P965" s="355" t="s">
        <v>396</v>
      </c>
      <c r="Q965" s="354" t="s">
        <v>345</v>
      </c>
      <c r="R965" s="355">
        <v>0</v>
      </c>
      <c r="S965" s="355">
        <v>0</v>
      </c>
      <c r="T965" s="355">
        <v>0</v>
      </c>
      <c r="U965" s="355">
        <v>0</v>
      </c>
      <c r="V965" s="355">
        <v>0</v>
      </c>
      <c r="W965" s="355">
        <v>0</v>
      </c>
    </row>
    <row r="966" spans="1:23" x14ac:dyDescent="0.25">
      <c r="A966" s="348" t="s">
        <v>1250</v>
      </c>
      <c r="B966" s="349">
        <v>65</v>
      </c>
      <c r="C966" s="350" t="s">
        <v>1137</v>
      </c>
      <c r="D966" s="351" t="s">
        <v>1245</v>
      </c>
      <c r="E966" s="352">
        <v>6179</v>
      </c>
      <c r="F966" s="352">
        <v>6</v>
      </c>
      <c r="G966" s="351" t="s">
        <v>1208</v>
      </c>
      <c r="H966" s="350" t="s">
        <v>1256</v>
      </c>
      <c r="I966" s="350" t="s">
        <v>393</v>
      </c>
      <c r="J966" s="560">
        <v>70000</v>
      </c>
      <c r="K966" s="350" t="s">
        <v>394</v>
      </c>
      <c r="L966" s="353">
        <v>2801.6</v>
      </c>
      <c r="M966" s="560">
        <f t="shared" si="42"/>
        <v>24.985722444317535</v>
      </c>
      <c r="N966" s="354" t="s">
        <v>395</v>
      </c>
      <c r="O966" s="354">
        <v>0</v>
      </c>
      <c r="P966" s="355" t="s">
        <v>396</v>
      </c>
      <c r="Q966" s="354" t="s">
        <v>345</v>
      </c>
      <c r="R966" s="355">
        <v>0</v>
      </c>
      <c r="S966" s="355">
        <v>0</v>
      </c>
      <c r="T966" s="355">
        <v>0</v>
      </c>
      <c r="U966" s="355">
        <v>0</v>
      </c>
      <c r="V966" s="355">
        <v>0</v>
      </c>
      <c r="W966" s="355">
        <v>0</v>
      </c>
    </row>
    <row r="967" spans="1:23" x14ac:dyDescent="0.25">
      <c r="A967" s="348" t="s">
        <v>1257</v>
      </c>
      <c r="B967" s="349">
        <v>82</v>
      </c>
      <c r="C967" s="350" t="s">
        <v>1137</v>
      </c>
      <c r="D967" s="351" t="s">
        <v>1245</v>
      </c>
      <c r="E967" s="352">
        <v>6345</v>
      </c>
      <c r="F967" s="352">
        <v>6</v>
      </c>
      <c r="G967" s="351" t="s">
        <v>1208</v>
      </c>
      <c r="H967" s="350" t="s">
        <v>1258</v>
      </c>
      <c r="I967" s="350" t="s">
        <v>393</v>
      </c>
      <c r="J967" s="560">
        <v>5000</v>
      </c>
      <c r="K967" s="350" t="s">
        <v>394</v>
      </c>
      <c r="L967" s="353">
        <v>2801.6</v>
      </c>
      <c r="M967" s="560">
        <f t="shared" si="42"/>
        <v>1.7846944603083952</v>
      </c>
      <c r="N967" s="354" t="s">
        <v>395</v>
      </c>
      <c r="O967" s="354">
        <v>0</v>
      </c>
      <c r="P967" s="355" t="s">
        <v>396</v>
      </c>
      <c r="Q967" s="354" t="s">
        <v>345</v>
      </c>
      <c r="R967" s="355">
        <v>0</v>
      </c>
      <c r="S967" s="355">
        <v>0</v>
      </c>
      <c r="T967" s="355">
        <v>0</v>
      </c>
      <c r="U967" s="355">
        <v>0</v>
      </c>
      <c r="V967" s="355">
        <v>0</v>
      </c>
      <c r="W967" s="355">
        <v>0</v>
      </c>
    </row>
    <row r="968" spans="1:23" x14ac:dyDescent="0.25">
      <c r="A968" s="348" t="s">
        <v>1257</v>
      </c>
      <c r="B968" s="349">
        <v>82</v>
      </c>
      <c r="C968" s="350" t="s">
        <v>1137</v>
      </c>
      <c r="D968" s="351" t="s">
        <v>1245</v>
      </c>
      <c r="E968" s="352">
        <v>6345</v>
      </c>
      <c r="F968" s="352">
        <v>6</v>
      </c>
      <c r="G968" s="351" t="s">
        <v>1208</v>
      </c>
      <c r="H968" s="350" t="s">
        <v>1259</v>
      </c>
      <c r="I968" s="350" t="s">
        <v>393</v>
      </c>
      <c r="J968" s="560">
        <v>10000</v>
      </c>
      <c r="K968" s="350" t="s">
        <v>394</v>
      </c>
      <c r="L968" s="353">
        <v>2801.6</v>
      </c>
      <c r="M968" s="560">
        <f t="shared" si="42"/>
        <v>3.5693889206167904</v>
      </c>
      <c r="N968" s="354" t="s">
        <v>395</v>
      </c>
      <c r="O968" s="354">
        <v>0</v>
      </c>
      <c r="P968" s="355" t="s">
        <v>396</v>
      </c>
      <c r="Q968" s="354" t="s">
        <v>345</v>
      </c>
      <c r="R968" s="355">
        <v>0</v>
      </c>
      <c r="S968" s="355">
        <v>0</v>
      </c>
      <c r="T968" s="355">
        <v>0</v>
      </c>
      <c r="U968" s="355">
        <v>0</v>
      </c>
      <c r="V968" s="355">
        <v>0</v>
      </c>
      <c r="W968" s="355">
        <v>0</v>
      </c>
    </row>
    <row r="969" spans="1:23" x14ac:dyDescent="0.25">
      <c r="A969" s="348" t="s">
        <v>1257</v>
      </c>
      <c r="B969" s="349">
        <v>82</v>
      </c>
      <c r="C969" s="350" t="s">
        <v>1137</v>
      </c>
      <c r="D969" s="351" t="s">
        <v>1245</v>
      </c>
      <c r="E969" s="352">
        <v>6345</v>
      </c>
      <c r="F969" s="352">
        <v>6</v>
      </c>
      <c r="G969" s="351" t="s">
        <v>1208</v>
      </c>
      <c r="H969" s="350" t="s">
        <v>1260</v>
      </c>
      <c r="I969" s="350" t="s">
        <v>393</v>
      </c>
      <c r="J969" s="560">
        <v>20000</v>
      </c>
      <c r="K969" s="350" t="s">
        <v>394</v>
      </c>
      <c r="L969" s="353">
        <v>2801.6</v>
      </c>
      <c r="M969" s="560">
        <f t="shared" si="42"/>
        <v>7.1387778412335807</v>
      </c>
      <c r="N969" s="354" t="s">
        <v>395</v>
      </c>
      <c r="O969" s="354">
        <v>0</v>
      </c>
      <c r="P969" s="355" t="s">
        <v>396</v>
      </c>
      <c r="Q969" s="354" t="s">
        <v>345</v>
      </c>
      <c r="R969" s="355">
        <v>0</v>
      </c>
      <c r="S969" s="355">
        <v>0</v>
      </c>
      <c r="T969" s="355">
        <v>0</v>
      </c>
      <c r="U969" s="355">
        <v>0</v>
      </c>
      <c r="V969" s="355">
        <v>0</v>
      </c>
      <c r="W969" s="355">
        <v>0</v>
      </c>
    </row>
    <row r="970" spans="1:23" x14ac:dyDescent="0.25">
      <c r="A970" s="348" t="s">
        <v>1257</v>
      </c>
      <c r="B970" s="349">
        <v>82</v>
      </c>
      <c r="C970" s="350" t="s">
        <v>1137</v>
      </c>
      <c r="D970" s="351" t="s">
        <v>1245</v>
      </c>
      <c r="E970" s="352">
        <v>6345</v>
      </c>
      <c r="F970" s="352">
        <v>6</v>
      </c>
      <c r="G970" s="351" t="s">
        <v>1208</v>
      </c>
      <c r="H970" s="350" t="s">
        <v>1261</v>
      </c>
      <c r="I970" s="350" t="s">
        <v>393</v>
      </c>
      <c r="J970" s="560">
        <f>200000-40000</f>
        <v>160000</v>
      </c>
      <c r="K970" s="350" t="s">
        <v>394</v>
      </c>
      <c r="L970" s="353">
        <v>2801.6</v>
      </c>
      <c r="M970" s="560">
        <f t="shared" si="42"/>
        <v>57.110222729868646</v>
      </c>
      <c r="N970" s="354" t="s">
        <v>395</v>
      </c>
      <c r="O970" s="354">
        <v>0</v>
      </c>
      <c r="P970" s="355" t="s">
        <v>396</v>
      </c>
      <c r="Q970" s="354" t="s">
        <v>345</v>
      </c>
      <c r="R970" s="355">
        <v>0</v>
      </c>
      <c r="S970" s="355">
        <v>0</v>
      </c>
      <c r="T970" s="355">
        <v>0</v>
      </c>
      <c r="U970" s="355">
        <v>0</v>
      </c>
      <c r="V970" s="355">
        <v>0</v>
      </c>
      <c r="W970" s="355">
        <v>0</v>
      </c>
    </row>
    <row r="971" spans="1:23" x14ac:dyDescent="0.25">
      <c r="A971" s="348" t="s">
        <v>1257</v>
      </c>
      <c r="B971" s="349">
        <v>82</v>
      </c>
      <c r="C971" s="350" t="s">
        <v>1137</v>
      </c>
      <c r="D971" s="351" t="s">
        <v>1245</v>
      </c>
      <c r="E971" s="352">
        <v>6345</v>
      </c>
      <c r="F971" s="352">
        <v>6</v>
      </c>
      <c r="G971" s="351" t="s">
        <v>1208</v>
      </c>
      <c r="H971" s="350" t="s">
        <v>1262</v>
      </c>
      <c r="I971" s="350" t="s">
        <v>393</v>
      </c>
      <c r="J971" s="560">
        <v>60000</v>
      </c>
      <c r="K971" s="350" t="s">
        <v>394</v>
      </c>
      <c r="L971" s="353">
        <v>2801.6</v>
      </c>
      <c r="M971" s="560">
        <f t="shared" si="42"/>
        <v>21.416333523700743</v>
      </c>
      <c r="N971" s="354" t="s">
        <v>395</v>
      </c>
      <c r="O971" s="354">
        <v>0</v>
      </c>
      <c r="P971" s="355" t="s">
        <v>396</v>
      </c>
      <c r="Q971" s="354" t="s">
        <v>345</v>
      </c>
      <c r="R971" s="355">
        <v>0</v>
      </c>
      <c r="S971" s="355">
        <v>0</v>
      </c>
      <c r="T971" s="355">
        <v>0</v>
      </c>
      <c r="U971" s="355">
        <v>0</v>
      </c>
      <c r="V971" s="355">
        <v>0</v>
      </c>
      <c r="W971" s="355">
        <v>0</v>
      </c>
    </row>
    <row r="972" spans="1:23" x14ac:dyDescent="0.25">
      <c r="A972" s="348" t="s">
        <v>1263</v>
      </c>
      <c r="B972" s="349">
        <v>73</v>
      </c>
      <c r="C972" s="350" t="s">
        <v>1137</v>
      </c>
      <c r="D972" s="351" t="s">
        <v>1264</v>
      </c>
      <c r="E972" s="352">
        <v>6345</v>
      </c>
      <c r="F972" s="352">
        <v>6</v>
      </c>
      <c r="G972" s="351" t="s">
        <v>1208</v>
      </c>
      <c r="H972" s="350" t="s">
        <v>1232</v>
      </c>
      <c r="I972" s="350" t="s">
        <v>393</v>
      </c>
      <c r="J972" s="560">
        <v>150000</v>
      </c>
      <c r="K972" s="350" t="s">
        <v>394</v>
      </c>
      <c r="L972" s="353">
        <v>2801.6</v>
      </c>
      <c r="M972" s="560">
        <f t="shared" si="42"/>
        <v>53.540833809251858</v>
      </c>
      <c r="N972" s="354" t="s">
        <v>395</v>
      </c>
      <c r="O972" s="354">
        <v>0</v>
      </c>
      <c r="P972" s="355" t="s">
        <v>396</v>
      </c>
      <c r="Q972" s="354" t="s">
        <v>345</v>
      </c>
      <c r="R972" s="355">
        <v>0</v>
      </c>
      <c r="S972" s="355">
        <v>0</v>
      </c>
      <c r="T972" s="355">
        <v>0</v>
      </c>
      <c r="U972" s="355">
        <v>0</v>
      </c>
      <c r="V972" s="355">
        <v>0</v>
      </c>
      <c r="W972" s="355">
        <v>0</v>
      </c>
    </row>
    <row r="973" spans="1:23" x14ac:dyDescent="0.25">
      <c r="A973" s="348" t="s">
        <v>1263</v>
      </c>
      <c r="B973" s="349">
        <v>73</v>
      </c>
      <c r="C973" s="350" t="s">
        <v>1137</v>
      </c>
      <c r="D973" s="351" t="s">
        <v>1264</v>
      </c>
      <c r="E973" s="352">
        <v>6345</v>
      </c>
      <c r="F973" s="352">
        <v>6</v>
      </c>
      <c r="G973" s="351" t="s">
        <v>1208</v>
      </c>
      <c r="H973" s="350" t="s">
        <v>1233</v>
      </c>
      <c r="I973" s="350" t="s">
        <v>393</v>
      </c>
      <c r="J973" s="560">
        <v>124000</v>
      </c>
      <c r="K973" s="350" t="s">
        <v>394</v>
      </c>
      <c r="L973" s="353">
        <v>2801.6</v>
      </c>
      <c r="M973" s="560">
        <f t="shared" si="42"/>
        <v>44.260422615648203</v>
      </c>
      <c r="N973" s="354" t="s">
        <v>395</v>
      </c>
      <c r="O973" s="354">
        <v>0</v>
      </c>
      <c r="P973" s="355" t="s">
        <v>396</v>
      </c>
      <c r="Q973" s="354" t="s">
        <v>345</v>
      </c>
      <c r="R973" s="355">
        <v>0</v>
      </c>
      <c r="S973" s="355">
        <v>0</v>
      </c>
      <c r="T973" s="355">
        <v>0</v>
      </c>
      <c r="U973" s="355">
        <v>0</v>
      </c>
      <c r="V973" s="355">
        <v>0</v>
      </c>
      <c r="W973" s="355">
        <v>0</v>
      </c>
    </row>
    <row r="974" spans="1:23" x14ac:dyDescent="0.25">
      <c r="A974" s="348" t="s">
        <v>1263</v>
      </c>
      <c r="B974" s="349">
        <v>73</v>
      </c>
      <c r="C974" s="350" t="s">
        <v>1137</v>
      </c>
      <c r="D974" s="351" t="s">
        <v>1264</v>
      </c>
      <c r="E974" s="352">
        <v>6345</v>
      </c>
      <c r="F974" s="352">
        <v>6</v>
      </c>
      <c r="G974" s="351" t="s">
        <v>1208</v>
      </c>
      <c r="H974" s="350" t="s">
        <v>1016</v>
      </c>
      <c r="I974" s="350" t="s">
        <v>393</v>
      </c>
      <c r="J974" s="560">
        <v>620000</v>
      </c>
      <c r="K974" s="350" t="s">
        <v>394</v>
      </c>
      <c r="L974" s="353">
        <v>2801.6</v>
      </c>
      <c r="M974" s="560">
        <f t="shared" si="42"/>
        <v>221.30211307824101</v>
      </c>
      <c r="N974" s="354" t="s">
        <v>395</v>
      </c>
      <c r="O974" s="354">
        <v>0</v>
      </c>
      <c r="P974" s="355" t="s">
        <v>396</v>
      </c>
      <c r="Q974" s="354" t="s">
        <v>345</v>
      </c>
      <c r="R974" s="355">
        <v>0</v>
      </c>
      <c r="S974" s="355">
        <v>0</v>
      </c>
      <c r="T974" s="355">
        <v>0</v>
      </c>
      <c r="U974" s="355">
        <v>0</v>
      </c>
      <c r="V974" s="355">
        <v>0</v>
      </c>
      <c r="W974" s="355">
        <v>0</v>
      </c>
    </row>
    <row r="975" spans="1:23" x14ac:dyDescent="0.25">
      <c r="A975" s="348" t="s">
        <v>1263</v>
      </c>
      <c r="B975" s="349">
        <v>73</v>
      </c>
      <c r="C975" s="350" t="s">
        <v>1137</v>
      </c>
      <c r="D975" s="351" t="s">
        <v>1264</v>
      </c>
      <c r="E975" s="352">
        <v>6345</v>
      </c>
      <c r="F975" s="352">
        <v>6</v>
      </c>
      <c r="G975" s="351" t="s">
        <v>1208</v>
      </c>
      <c r="H975" s="350" t="s">
        <v>1234</v>
      </c>
      <c r="I975" s="350" t="s">
        <v>393</v>
      </c>
      <c r="J975" s="560">
        <v>1736000</v>
      </c>
      <c r="K975" s="350" t="s">
        <v>394</v>
      </c>
      <c r="L975" s="353">
        <v>2801.6</v>
      </c>
      <c r="M975" s="560">
        <f t="shared" si="42"/>
        <v>619.6459166190748</v>
      </c>
      <c r="N975" s="354" t="s">
        <v>395</v>
      </c>
      <c r="O975" s="354">
        <v>0</v>
      </c>
      <c r="P975" s="355" t="s">
        <v>396</v>
      </c>
      <c r="Q975" s="354" t="s">
        <v>345</v>
      </c>
      <c r="R975" s="355">
        <v>0</v>
      </c>
      <c r="S975" s="355">
        <v>0</v>
      </c>
      <c r="T975" s="355">
        <v>0</v>
      </c>
      <c r="U975" s="355">
        <v>0</v>
      </c>
      <c r="V975" s="355">
        <v>0</v>
      </c>
      <c r="W975" s="355">
        <v>0</v>
      </c>
    </row>
    <row r="976" spans="1:23" x14ac:dyDescent="0.25">
      <c r="A976" s="348" t="s">
        <v>1265</v>
      </c>
      <c r="B976" s="349">
        <v>62</v>
      </c>
      <c r="C976" s="350" t="s">
        <v>1137</v>
      </c>
      <c r="D976" s="351" t="s">
        <v>1266</v>
      </c>
      <c r="E976" s="352">
        <v>6311</v>
      </c>
      <c r="F976" s="352">
        <v>6</v>
      </c>
      <c r="G976" s="351" t="s">
        <v>1208</v>
      </c>
      <c r="H976" s="350" t="s">
        <v>1232</v>
      </c>
      <c r="I976" s="350" t="s">
        <v>393</v>
      </c>
      <c r="J976" s="560">
        <v>150000</v>
      </c>
      <c r="K976" s="350" t="s">
        <v>394</v>
      </c>
      <c r="L976" s="353">
        <v>2801.6</v>
      </c>
      <c r="M976" s="560">
        <f t="shared" si="42"/>
        <v>53.540833809251858</v>
      </c>
      <c r="N976" s="354" t="s">
        <v>395</v>
      </c>
      <c r="O976" s="354">
        <v>0</v>
      </c>
      <c r="P976" s="355" t="s">
        <v>396</v>
      </c>
      <c r="Q976" s="354" t="s">
        <v>345</v>
      </c>
      <c r="R976" s="355">
        <v>0</v>
      </c>
      <c r="S976" s="355">
        <v>0</v>
      </c>
      <c r="T976" s="355">
        <v>0</v>
      </c>
      <c r="U976" s="355">
        <v>0</v>
      </c>
      <c r="V976" s="355">
        <v>0</v>
      </c>
      <c r="W976" s="355">
        <v>0</v>
      </c>
    </row>
    <row r="977" spans="1:23" x14ac:dyDescent="0.25">
      <c r="A977" s="348" t="s">
        <v>1265</v>
      </c>
      <c r="B977" s="349">
        <v>62</v>
      </c>
      <c r="C977" s="350" t="s">
        <v>1137</v>
      </c>
      <c r="D977" s="351" t="s">
        <v>1266</v>
      </c>
      <c r="E977" s="352">
        <v>6349</v>
      </c>
      <c r="F977" s="352">
        <v>6</v>
      </c>
      <c r="G977" s="351" t="s">
        <v>1208</v>
      </c>
      <c r="H977" s="350" t="s">
        <v>1233</v>
      </c>
      <c r="I977" s="350" t="s">
        <v>393</v>
      </c>
      <c r="J977" s="560">
        <v>124000</v>
      </c>
      <c r="K977" s="350" t="s">
        <v>394</v>
      </c>
      <c r="L977" s="353">
        <v>2801.6</v>
      </c>
      <c r="M977" s="560">
        <f t="shared" si="42"/>
        <v>44.260422615648203</v>
      </c>
      <c r="N977" s="354" t="s">
        <v>395</v>
      </c>
      <c r="O977" s="354">
        <v>0</v>
      </c>
      <c r="P977" s="355" t="s">
        <v>396</v>
      </c>
      <c r="Q977" s="354" t="s">
        <v>345</v>
      </c>
      <c r="R977" s="355">
        <v>0</v>
      </c>
      <c r="S977" s="355">
        <v>0</v>
      </c>
      <c r="T977" s="355">
        <v>0</v>
      </c>
      <c r="U977" s="355">
        <v>0</v>
      </c>
      <c r="V977" s="355">
        <v>0</v>
      </c>
      <c r="W977" s="355">
        <v>0</v>
      </c>
    </row>
    <row r="978" spans="1:23" x14ac:dyDescent="0.25">
      <c r="A978" s="348" t="s">
        <v>1265</v>
      </c>
      <c r="B978" s="349">
        <v>62</v>
      </c>
      <c r="C978" s="350" t="s">
        <v>1137</v>
      </c>
      <c r="D978" s="351" t="s">
        <v>1266</v>
      </c>
      <c r="E978" s="352">
        <v>6349</v>
      </c>
      <c r="F978" s="352">
        <v>6</v>
      </c>
      <c r="G978" s="351" t="s">
        <v>1208</v>
      </c>
      <c r="H978" s="350" t="s">
        <v>1016</v>
      </c>
      <c r="I978" s="350" t="s">
        <v>393</v>
      </c>
      <c r="J978" s="560">
        <v>620000</v>
      </c>
      <c r="K978" s="350" t="s">
        <v>394</v>
      </c>
      <c r="L978" s="353">
        <v>2801.6</v>
      </c>
      <c r="M978" s="560">
        <f t="shared" si="42"/>
        <v>221.30211307824101</v>
      </c>
      <c r="N978" s="354" t="s">
        <v>395</v>
      </c>
      <c r="O978" s="354">
        <v>0</v>
      </c>
      <c r="P978" s="355" t="s">
        <v>396</v>
      </c>
      <c r="Q978" s="354" t="s">
        <v>345</v>
      </c>
      <c r="R978" s="355">
        <v>0</v>
      </c>
      <c r="S978" s="355">
        <v>0</v>
      </c>
      <c r="T978" s="355">
        <v>0</v>
      </c>
      <c r="U978" s="355">
        <v>0</v>
      </c>
      <c r="V978" s="355">
        <v>0</v>
      </c>
      <c r="W978" s="355">
        <v>0</v>
      </c>
    </row>
    <row r="979" spans="1:23" x14ac:dyDescent="0.25">
      <c r="A979" s="348" t="s">
        <v>1265</v>
      </c>
      <c r="B979" s="349">
        <v>62</v>
      </c>
      <c r="C979" s="350" t="s">
        <v>1137</v>
      </c>
      <c r="D979" s="351" t="s">
        <v>1266</v>
      </c>
      <c r="E979" s="352">
        <v>6349</v>
      </c>
      <c r="F979" s="352">
        <v>6</v>
      </c>
      <c r="G979" s="351" t="s">
        <v>1208</v>
      </c>
      <c r="H979" s="350" t="s">
        <v>1234</v>
      </c>
      <c r="I979" s="350" t="s">
        <v>393</v>
      </c>
      <c r="J979" s="560">
        <v>1860000</v>
      </c>
      <c r="K979" s="350" t="s">
        <v>394</v>
      </c>
      <c r="L979" s="353">
        <v>2801.6</v>
      </c>
      <c r="M979" s="560">
        <f t="shared" si="42"/>
        <v>663.90633923472308</v>
      </c>
      <c r="N979" s="354" t="s">
        <v>395</v>
      </c>
      <c r="O979" s="354">
        <v>0</v>
      </c>
      <c r="P979" s="355" t="s">
        <v>396</v>
      </c>
      <c r="Q979" s="354" t="s">
        <v>345</v>
      </c>
      <c r="R979" s="355">
        <v>0</v>
      </c>
      <c r="S979" s="355">
        <v>0</v>
      </c>
      <c r="T979" s="355">
        <v>0</v>
      </c>
      <c r="U979" s="355">
        <v>0</v>
      </c>
      <c r="V979" s="355">
        <v>0</v>
      </c>
      <c r="W979" s="355">
        <v>0</v>
      </c>
    </row>
    <row r="980" spans="1:23" x14ac:dyDescent="0.25">
      <c r="A980" s="348" t="s">
        <v>1267</v>
      </c>
      <c r="B980" s="349">
        <v>61</v>
      </c>
      <c r="C980" s="350" t="s">
        <v>1137</v>
      </c>
      <c r="D980" s="351" t="s">
        <v>1268</v>
      </c>
      <c r="E980" s="352">
        <v>6345</v>
      </c>
      <c r="F980" s="352">
        <v>6</v>
      </c>
      <c r="G980" s="351" t="s">
        <v>1208</v>
      </c>
      <c r="H980" s="350" t="s">
        <v>1243</v>
      </c>
      <c r="I980" s="350" t="s">
        <v>393</v>
      </c>
      <c r="J980" s="560">
        <v>1080000</v>
      </c>
      <c r="K980" s="350" t="s">
        <v>394</v>
      </c>
      <c r="L980" s="353">
        <v>2801.6</v>
      </c>
      <c r="M980" s="560">
        <f t="shared" si="42"/>
        <v>385.4940034266134</v>
      </c>
      <c r="N980" s="354" t="s">
        <v>395</v>
      </c>
      <c r="O980" s="354">
        <v>0</v>
      </c>
      <c r="P980" s="355" t="s">
        <v>396</v>
      </c>
      <c r="Q980" s="354" t="s">
        <v>345</v>
      </c>
      <c r="R980" s="355">
        <v>0</v>
      </c>
      <c r="S980" s="355">
        <v>0</v>
      </c>
      <c r="T980" s="355">
        <v>0</v>
      </c>
      <c r="U980" s="355">
        <v>0</v>
      </c>
      <c r="V980" s="355">
        <v>0</v>
      </c>
      <c r="W980" s="355">
        <v>0</v>
      </c>
    </row>
    <row r="981" spans="1:23" x14ac:dyDescent="0.25">
      <c r="A981" s="348" t="s">
        <v>1387</v>
      </c>
      <c r="B981" s="349">
        <v>99</v>
      </c>
      <c r="C981" s="350" t="s">
        <v>1330</v>
      </c>
      <c r="D981" s="351">
        <v>45176</v>
      </c>
      <c r="E981" s="352"/>
      <c r="F981" s="352">
        <v>6</v>
      </c>
      <c r="G981" s="350" t="s">
        <v>1208</v>
      </c>
      <c r="H981" s="350" t="s">
        <v>1388</v>
      </c>
      <c r="I981" s="350" t="s">
        <v>393</v>
      </c>
      <c r="J981" s="375">
        <v>2520000</v>
      </c>
      <c r="K981" s="350" t="s">
        <v>394</v>
      </c>
      <c r="L981" s="354">
        <v>2802.3999950000002</v>
      </c>
      <c r="M981" s="375">
        <f t="shared" ref="M981:M1044" si="43">J981/L981</f>
        <v>899.22923369117393</v>
      </c>
      <c r="N981" s="354" t="s">
        <v>395</v>
      </c>
      <c r="O981" s="354">
        <v>0</v>
      </c>
      <c r="P981" s="355" t="s">
        <v>396</v>
      </c>
      <c r="Q981" s="354" t="s">
        <v>397</v>
      </c>
      <c r="R981" s="353">
        <v>0</v>
      </c>
      <c r="S981" s="353">
        <v>0</v>
      </c>
      <c r="T981" s="353">
        <v>0</v>
      </c>
      <c r="U981" s="353">
        <v>0</v>
      </c>
      <c r="V981" s="353">
        <v>0</v>
      </c>
      <c r="W981" s="353">
        <v>0</v>
      </c>
    </row>
    <row r="982" spans="1:23" x14ac:dyDescent="0.25">
      <c r="A982" s="348" t="s">
        <v>1389</v>
      </c>
      <c r="B982" s="349">
        <v>99</v>
      </c>
      <c r="C982" s="350" t="s">
        <v>1330</v>
      </c>
      <c r="D982" s="351">
        <v>45202</v>
      </c>
      <c r="E982" s="352"/>
      <c r="F982" s="352">
        <v>6</v>
      </c>
      <c r="G982" s="350" t="s">
        <v>1208</v>
      </c>
      <c r="H982" s="350" t="s">
        <v>1388</v>
      </c>
      <c r="I982" s="350" t="s">
        <v>393</v>
      </c>
      <c r="J982" s="375">
        <v>3780000</v>
      </c>
      <c r="K982" s="350" t="s">
        <v>394</v>
      </c>
      <c r="L982" s="354">
        <v>2802.3999950000002</v>
      </c>
      <c r="M982" s="375">
        <f>J982/L982</f>
        <v>1348.843850536761</v>
      </c>
      <c r="N982" s="354" t="s">
        <v>395</v>
      </c>
      <c r="O982" s="354">
        <v>0</v>
      </c>
      <c r="P982" s="355" t="s">
        <v>396</v>
      </c>
      <c r="Q982" s="354" t="s">
        <v>397</v>
      </c>
      <c r="R982" s="353">
        <v>0</v>
      </c>
      <c r="S982" s="353">
        <v>0</v>
      </c>
      <c r="T982" s="353">
        <v>0</v>
      </c>
      <c r="U982" s="353">
        <v>0</v>
      </c>
      <c r="V982" s="353">
        <v>0</v>
      </c>
      <c r="W982" s="353">
        <v>0</v>
      </c>
    </row>
    <row r="983" spans="1:23" x14ac:dyDescent="0.25">
      <c r="A983" s="348" t="s">
        <v>1390</v>
      </c>
      <c r="B983" s="349">
        <v>100</v>
      </c>
      <c r="C983" s="350" t="s">
        <v>1330</v>
      </c>
      <c r="D983" s="351">
        <v>45175</v>
      </c>
      <c r="E983" s="352"/>
      <c r="F983" s="352">
        <v>6</v>
      </c>
      <c r="G983" s="350" t="s">
        <v>1208</v>
      </c>
      <c r="H983" s="350" t="s">
        <v>1354</v>
      </c>
      <c r="I983" s="350" t="s">
        <v>393</v>
      </c>
      <c r="J983" s="375">
        <v>70000</v>
      </c>
      <c r="K983" s="350" t="s">
        <v>394</v>
      </c>
      <c r="L983" s="354">
        <v>2802.3999950000002</v>
      </c>
      <c r="M983" s="375">
        <f t="shared" si="43"/>
        <v>24.978589824754835</v>
      </c>
      <c r="N983" s="354" t="s">
        <v>395</v>
      </c>
      <c r="O983" s="354">
        <v>0</v>
      </c>
      <c r="P983" s="355" t="s">
        <v>396</v>
      </c>
      <c r="Q983" s="354" t="s">
        <v>397</v>
      </c>
      <c r="R983" s="353">
        <v>0</v>
      </c>
      <c r="S983" s="353">
        <v>0</v>
      </c>
      <c r="T983" s="353">
        <v>0</v>
      </c>
      <c r="U983" s="353">
        <v>0</v>
      </c>
      <c r="V983" s="353">
        <v>0</v>
      </c>
      <c r="W983" s="353">
        <v>0</v>
      </c>
    </row>
    <row r="984" spans="1:23" x14ac:dyDescent="0.25">
      <c r="A984" s="348" t="s">
        <v>1390</v>
      </c>
      <c r="B984" s="349">
        <v>101</v>
      </c>
      <c r="C984" s="350" t="s">
        <v>1330</v>
      </c>
      <c r="D984" s="351">
        <v>45175</v>
      </c>
      <c r="E984" s="352"/>
      <c r="F984" s="352">
        <v>6</v>
      </c>
      <c r="G984" s="350" t="s">
        <v>1208</v>
      </c>
      <c r="H984" s="350" t="s">
        <v>1354</v>
      </c>
      <c r="I984" s="350" t="s">
        <v>393</v>
      </c>
      <c r="J984" s="375">
        <v>10000</v>
      </c>
      <c r="K984" s="350" t="s">
        <v>394</v>
      </c>
      <c r="L984" s="354">
        <v>2802.3999950000002</v>
      </c>
      <c r="M984" s="375">
        <f t="shared" si="43"/>
        <v>3.568369974964976</v>
      </c>
      <c r="N984" s="354" t="s">
        <v>395</v>
      </c>
      <c r="O984" s="354">
        <v>0</v>
      </c>
      <c r="P984" s="355" t="s">
        <v>396</v>
      </c>
      <c r="Q984" s="354" t="s">
        <v>397</v>
      </c>
      <c r="R984" s="353">
        <v>0</v>
      </c>
      <c r="S984" s="353">
        <v>0</v>
      </c>
      <c r="T984" s="353">
        <v>0</v>
      </c>
      <c r="U984" s="353">
        <v>0</v>
      </c>
      <c r="V984" s="353">
        <v>0</v>
      </c>
      <c r="W984" s="353">
        <v>0</v>
      </c>
    </row>
    <row r="985" spans="1:23" x14ac:dyDescent="0.25">
      <c r="A985" s="348" t="s">
        <v>1390</v>
      </c>
      <c r="B985" s="349">
        <v>102</v>
      </c>
      <c r="C985" s="350" t="s">
        <v>1330</v>
      </c>
      <c r="D985" s="351">
        <v>45175</v>
      </c>
      <c r="E985" s="352"/>
      <c r="F985" s="352">
        <v>6</v>
      </c>
      <c r="G985" s="350" t="s">
        <v>1208</v>
      </c>
      <c r="H985" s="350" t="s">
        <v>1164</v>
      </c>
      <c r="I985" s="350" t="s">
        <v>393</v>
      </c>
      <c r="J985" s="375">
        <f>105000+90000+60000+105000+90000</f>
        <v>450000</v>
      </c>
      <c r="K985" s="350" t="s">
        <v>394</v>
      </c>
      <c r="L985" s="354">
        <v>2802.3999950000002</v>
      </c>
      <c r="M985" s="375">
        <f t="shared" si="43"/>
        <v>160.57664887342392</v>
      </c>
      <c r="N985" s="354" t="s">
        <v>395</v>
      </c>
      <c r="O985" s="354">
        <v>0</v>
      </c>
      <c r="P985" s="355" t="s">
        <v>396</v>
      </c>
      <c r="Q985" s="354" t="s">
        <v>397</v>
      </c>
      <c r="R985" s="353">
        <v>0</v>
      </c>
      <c r="S985" s="353">
        <v>0</v>
      </c>
      <c r="T985" s="353">
        <v>0</v>
      </c>
      <c r="U985" s="353">
        <v>0</v>
      </c>
      <c r="V985" s="353">
        <v>0</v>
      </c>
      <c r="W985" s="353">
        <v>0</v>
      </c>
    </row>
    <row r="986" spans="1:23" x14ac:dyDescent="0.25">
      <c r="A986" s="348" t="s">
        <v>1390</v>
      </c>
      <c r="B986" s="349">
        <v>103</v>
      </c>
      <c r="C986" s="350" t="s">
        <v>1330</v>
      </c>
      <c r="D986" s="351">
        <v>45175</v>
      </c>
      <c r="E986" s="352"/>
      <c r="F986" s="352">
        <v>6</v>
      </c>
      <c r="G986" s="350" t="s">
        <v>1208</v>
      </c>
      <c r="H986" s="350" t="s">
        <v>1164</v>
      </c>
      <c r="I986" s="350" t="s">
        <v>393</v>
      </c>
      <c r="J986" s="375">
        <f>90000+90000+60000+105000+105000</f>
        <v>450000</v>
      </c>
      <c r="K986" s="350" t="s">
        <v>394</v>
      </c>
      <c r="L986" s="354">
        <v>2802.3999950000002</v>
      </c>
      <c r="M986" s="375">
        <f t="shared" si="43"/>
        <v>160.57664887342392</v>
      </c>
      <c r="N986" s="354" t="s">
        <v>395</v>
      </c>
      <c r="O986" s="354">
        <v>0</v>
      </c>
      <c r="P986" s="355" t="s">
        <v>396</v>
      </c>
      <c r="Q986" s="354" t="s">
        <v>397</v>
      </c>
      <c r="R986" s="353">
        <v>0</v>
      </c>
      <c r="S986" s="353">
        <v>0</v>
      </c>
      <c r="T986" s="353">
        <v>0</v>
      </c>
      <c r="U986" s="353">
        <v>0</v>
      </c>
      <c r="V986" s="353">
        <v>0</v>
      </c>
      <c r="W986" s="353">
        <v>0</v>
      </c>
    </row>
    <row r="987" spans="1:23" x14ac:dyDescent="0.25">
      <c r="A987" s="348" t="s">
        <v>1390</v>
      </c>
      <c r="B987" s="349">
        <v>104</v>
      </c>
      <c r="C987" s="350" t="s">
        <v>1330</v>
      </c>
      <c r="D987" s="351">
        <v>45175</v>
      </c>
      <c r="E987" s="352"/>
      <c r="F987" s="352">
        <v>6</v>
      </c>
      <c r="G987" s="350" t="s">
        <v>1208</v>
      </c>
      <c r="H987" s="350" t="s">
        <v>1164</v>
      </c>
      <c r="I987" s="350" t="s">
        <v>393</v>
      </c>
      <c r="J987" s="375">
        <f>90000+90000+90000+90000+30000</f>
        <v>390000</v>
      </c>
      <c r="K987" s="350" t="s">
        <v>394</v>
      </c>
      <c r="L987" s="354">
        <v>2802.3999950000002</v>
      </c>
      <c r="M987" s="375">
        <f t="shared" si="43"/>
        <v>139.16642902363407</v>
      </c>
      <c r="N987" s="354" t="s">
        <v>395</v>
      </c>
      <c r="O987" s="354">
        <v>0</v>
      </c>
      <c r="P987" s="355" t="s">
        <v>396</v>
      </c>
      <c r="Q987" s="354" t="s">
        <v>397</v>
      </c>
      <c r="R987" s="353">
        <v>0</v>
      </c>
      <c r="S987" s="353">
        <v>0</v>
      </c>
      <c r="T987" s="353">
        <v>0</v>
      </c>
      <c r="U987" s="353">
        <v>0</v>
      </c>
      <c r="V987" s="353">
        <v>0</v>
      </c>
      <c r="W987" s="353">
        <v>0</v>
      </c>
    </row>
    <row r="988" spans="1:23" x14ac:dyDescent="0.25">
      <c r="A988" s="348" t="s">
        <v>1390</v>
      </c>
      <c r="B988" s="349">
        <v>105</v>
      </c>
      <c r="C988" s="350" t="s">
        <v>1330</v>
      </c>
      <c r="D988" s="351">
        <v>45175</v>
      </c>
      <c r="E988" s="352"/>
      <c r="F988" s="352">
        <v>6</v>
      </c>
      <c r="G988" s="350" t="s">
        <v>1208</v>
      </c>
      <c r="H988" s="350" t="s">
        <v>1164</v>
      </c>
      <c r="I988" s="350" t="s">
        <v>393</v>
      </c>
      <c r="J988" s="375">
        <f>90000+90000+90000+90000+30000</f>
        <v>390000</v>
      </c>
      <c r="K988" s="350" t="s">
        <v>394</v>
      </c>
      <c r="L988" s="354">
        <v>2802.3999950000002</v>
      </c>
      <c r="M988" s="375">
        <f t="shared" si="43"/>
        <v>139.16642902363407</v>
      </c>
      <c r="N988" s="354" t="s">
        <v>395</v>
      </c>
      <c r="O988" s="354">
        <v>0</v>
      </c>
      <c r="P988" s="355" t="s">
        <v>396</v>
      </c>
      <c r="Q988" s="354" t="s">
        <v>397</v>
      </c>
      <c r="R988" s="353">
        <v>0</v>
      </c>
      <c r="S988" s="353">
        <v>0</v>
      </c>
      <c r="T988" s="353">
        <v>0</v>
      </c>
      <c r="U988" s="353">
        <v>0</v>
      </c>
      <c r="V988" s="353">
        <v>0</v>
      </c>
      <c r="W988" s="353">
        <v>0</v>
      </c>
    </row>
    <row r="989" spans="1:23" x14ac:dyDescent="0.25">
      <c r="A989" s="348" t="s">
        <v>1390</v>
      </c>
      <c r="B989" s="349">
        <v>106</v>
      </c>
      <c r="C989" s="350" t="s">
        <v>1330</v>
      </c>
      <c r="D989" s="351">
        <v>45175</v>
      </c>
      <c r="E989" s="352"/>
      <c r="F989" s="352">
        <v>6</v>
      </c>
      <c r="G989" s="350" t="s">
        <v>1208</v>
      </c>
      <c r="H989" s="350" t="s">
        <v>1164</v>
      </c>
      <c r="I989" s="350" t="s">
        <v>393</v>
      </c>
      <c r="J989" s="375">
        <f>90000+90000+90000+60000</f>
        <v>330000</v>
      </c>
      <c r="K989" s="350" t="s">
        <v>394</v>
      </c>
      <c r="L989" s="354">
        <v>2802.3999950000002</v>
      </c>
      <c r="M989" s="375">
        <f t="shared" si="43"/>
        <v>117.75620917384421</v>
      </c>
      <c r="N989" s="354" t="s">
        <v>395</v>
      </c>
      <c r="O989" s="354">
        <v>0</v>
      </c>
      <c r="P989" s="355" t="s">
        <v>396</v>
      </c>
      <c r="Q989" s="354" t="s">
        <v>397</v>
      </c>
      <c r="R989" s="353">
        <v>0</v>
      </c>
      <c r="S989" s="353">
        <v>0</v>
      </c>
      <c r="T989" s="353">
        <v>0</v>
      </c>
      <c r="U989" s="353">
        <v>0</v>
      </c>
      <c r="V989" s="353">
        <v>0</v>
      </c>
      <c r="W989" s="353">
        <v>0</v>
      </c>
    </row>
    <row r="990" spans="1:23" x14ac:dyDescent="0.25">
      <c r="A990" s="348" t="s">
        <v>1390</v>
      </c>
      <c r="B990" s="349">
        <v>107</v>
      </c>
      <c r="C990" s="350" t="s">
        <v>1330</v>
      </c>
      <c r="D990" s="351">
        <v>45175</v>
      </c>
      <c r="E990" s="352"/>
      <c r="F990" s="352">
        <v>6</v>
      </c>
      <c r="G990" s="350" t="s">
        <v>1208</v>
      </c>
      <c r="H990" s="350" t="s">
        <v>1164</v>
      </c>
      <c r="I990" s="350" t="s">
        <v>393</v>
      </c>
      <c r="J990" s="375">
        <f>90000+90000+90000+60000</f>
        <v>330000</v>
      </c>
      <c r="K990" s="350" t="s">
        <v>394</v>
      </c>
      <c r="L990" s="354">
        <v>2802.3999950000002</v>
      </c>
      <c r="M990" s="375">
        <f t="shared" si="43"/>
        <v>117.75620917384421</v>
      </c>
      <c r="N990" s="354" t="s">
        <v>395</v>
      </c>
      <c r="O990" s="354">
        <v>0</v>
      </c>
      <c r="P990" s="355" t="s">
        <v>396</v>
      </c>
      <c r="Q990" s="354" t="s">
        <v>397</v>
      </c>
      <c r="R990" s="353">
        <v>0</v>
      </c>
      <c r="S990" s="353">
        <v>0</v>
      </c>
      <c r="T990" s="353">
        <v>0</v>
      </c>
      <c r="U990" s="353">
        <v>0</v>
      </c>
      <c r="V990" s="353">
        <v>0</v>
      </c>
      <c r="W990" s="353">
        <v>0</v>
      </c>
    </row>
    <row r="991" spans="1:23" x14ac:dyDescent="0.25">
      <c r="A991" s="348" t="s">
        <v>1390</v>
      </c>
      <c r="B991" s="349">
        <v>108</v>
      </c>
      <c r="C991" s="350" t="s">
        <v>1330</v>
      </c>
      <c r="D991" s="351">
        <v>45175</v>
      </c>
      <c r="E991" s="352"/>
      <c r="F991" s="352">
        <v>6</v>
      </c>
      <c r="G991" s="350" t="s">
        <v>1208</v>
      </c>
      <c r="H991" s="350" t="s">
        <v>1164</v>
      </c>
      <c r="I991" s="350" t="s">
        <v>393</v>
      </c>
      <c r="J991" s="375">
        <f>30000+105000+105000+105000+105000</f>
        <v>450000</v>
      </c>
      <c r="K991" s="350" t="s">
        <v>394</v>
      </c>
      <c r="L991" s="354">
        <v>2802.3999950000002</v>
      </c>
      <c r="M991" s="375">
        <f t="shared" si="43"/>
        <v>160.57664887342392</v>
      </c>
      <c r="N991" s="354" t="s">
        <v>395</v>
      </c>
      <c r="O991" s="354">
        <v>0</v>
      </c>
      <c r="P991" s="355" t="s">
        <v>396</v>
      </c>
      <c r="Q991" s="354" t="s">
        <v>397</v>
      </c>
      <c r="R991" s="353">
        <v>0</v>
      </c>
      <c r="S991" s="353">
        <v>0</v>
      </c>
      <c r="T991" s="353">
        <v>0</v>
      </c>
      <c r="U991" s="353">
        <v>0</v>
      </c>
      <c r="V991" s="353">
        <v>0</v>
      </c>
      <c r="W991" s="353">
        <v>0</v>
      </c>
    </row>
    <row r="992" spans="1:23" x14ac:dyDescent="0.25">
      <c r="A992" s="348" t="s">
        <v>1390</v>
      </c>
      <c r="B992" s="349">
        <v>109</v>
      </c>
      <c r="C992" s="350" t="s">
        <v>1330</v>
      </c>
      <c r="D992" s="351">
        <v>45175</v>
      </c>
      <c r="E992" s="352"/>
      <c r="F992" s="352">
        <v>6</v>
      </c>
      <c r="G992" s="350" t="s">
        <v>1208</v>
      </c>
      <c r="H992" s="350" t="s">
        <v>1164</v>
      </c>
      <c r="I992" s="350" t="s">
        <v>393</v>
      </c>
      <c r="J992" s="375">
        <f>90000+105000+105000+90000+60000</f>
        <v>450000</v>
      </c>
      <c r="K992" s="350" t="s">
        <v>394</v>
      </c>
      <c r="L992" s="354">
        <v>2802.3999950000002</v>
      </c>
      <c r="M992" s="375">
        <f t="shared" si="43"/>
        <v>160.57664887342392</v>
      </c>
      <c r="N992" s="354" t="s">
        <v>395</v>
      </c>
      <c r="O992" s="354">
        <v>0</v>
      </c>
      <c r="P992" s="355" t="s">
        <v>396</v>
      </c>
      <c r="Q992" s="354" t="s">
        <v>397</v>
      </c>
      <c r="R992" s="353">
        <v>0</v>
      </c>
      <c r="S992" s="353">
        <v>0</v>
      </c>
      <c r="T992" s="353">
        <v>0</v>
      </c>
      <c r="U992" s="353">
        <v>0</v>
      </c>
      <c r="V992" s="353">
        <v>0</v>
      </c>
      <c r="W992" s="353">
        <v>0</v>
      </c>
    </row>
    <row r="993" spans="1:23" x14ac:dyDescent="0.25">
      <c r="A993" s="348" t="s">
        <v>1390</v>
      </c>
      <c r="B993" s="349">
        <v>110</v>
      </c>
      <c r="C993" s="350" t="s">
        <v>1330</v>
      </c>
      <c r="D993" s="351">
        <v>45175</v>
      </c>
      <c r="E993" s="352"/>
      <c r="F993" s="352">
        <v>6</v>
      </c>
      <c r="G993" s="350" t="s">
        <v>1208</v>
      </c>
      <c r="H993" s="350" t="s">
        <v>1164</v>
      </c>
      <c r="I993" s="350" t="s">
        <v>393</v>
      </c>
      <c r="J993" s="375">
        <f>90000+90000+90000+90000+90000</f>
        <v>450000</v>
      </c>
      <c r="K993" s="350" t="s">
        <v>394</v>
      </c>
      <c r="L993" s="354">
        <v>2802.3999950000002</v>
      </c>
      <c r="M993" s="375">
        <f t="shared" si="43"/>
        <v>160.57664887342392</v>
      </c>
      <c r="N993" s="354" t="s">
        <v>395</v>
      </c>
      <c r="O993" s="354">
        <v>0</v>
      </c>
      <c r="P993" s="355" t="s">
        <v>396</v>
      </c>
      <c r="Q993" s="354" t="s">
        <v>397</v>
      </c>
      <c r="R993" s="353">
        <v>0</v>
      </c>
      <c r="S993" s="353">
        <v>0</v>
      </c>
      <c r="T993" s="353">
        <v>0</v>
      </c>
      <c r="U993" s="353">
        <v>0</v>
      </c>
      <c r="V993" s="353">
        <v>0</v>
      </c>
      <c r="W993" s="353">
        <v>0</v>
      </c>
    </row>
    <row r="994" spans="1:23" x14ac:dyDescent="0.25">
      <c r="A994" s="348" t="s">
        <v>1390</v>
      </c>
      <c r="B994" s="349">
        <v>111</v>
      </c>
      <c r="C994" s="350" t="s">
        <v>1330</v>
      </c>
      <c r="D994" s="351">
        <v>45175</v>
      </c>
      <c r="E994" s="352"/>
      <c r="F994" s="352">
        <v>6</v>
      </c>
      <c r="G994" s="350" t="s">
        <v>1208</v>
      </c>
      <c r="H994" s="350" t="s">
        <v>1164</v>
      </c>
      <c r="I994" s="350" t="s">
        <v>393</v>
      </c>
      <c r="J994" s="375">
        <f>90000+90000+90000+90000+90000</f>
        <v>450000</v>
      </c>
      <c r="K994" s="350" t="s">
        <v>394</v>
      </c>
      <c r="L994" s="354">
        <v>2802.3999950000002</v>
      </c>
      <c r="M994" s="375">
        <f t="shared" si="43"/>
        <v>160.57664887342392</v>
      </c>
      <c r="N994" s="354" t="s">
        <v>395</v>
      </c>
      <c r="O994" s="354">
        <v>0</v>
      </c>
      <c r="P994" s="355" t="s">
        <v>396</v>
      </c>
      <c r="Q994" s="354" t="s">
        <v>397</v>
      </c>
      <c r="R994" s="353">
        <v>0</v>
      </c>
      <c r="S994" s="353">
        <v>0</v>
      </c>
      <c r="T994" s="353">
        <v>0</v>
      </c>
      <c r="U994" s="353">
        <v>0</v>
      </c>
      <c r="V994" s="353">
        <v>0</v>
      </c>
      <c r="W994" s="353">
        <v>0</v>
      </c>
    </row>
    <row r="995" spans="1:23" x14ac:dyDescent="0.25">
      <c r="A995" s="348" t="s">
        <v>1390</v>
      </c>
      <c r="B995" s="349">
        <v>112</v>
      </c>
      <c r="C995" s="350" t="s">
        <v>1330</v>
      </c>
      <c r="D995" s="351">
        <v>45175</v>
      </c>
      <c r="E995" s="352"/>
      <c r="F995" s="352">
        <v>6</v>
      </c>
      <c r="G995" s="350" t="s">
        <v>1208</v>
      </c>
      <c r="H995" s="350" t="s">
        <v>1164</v>
      </c>
      <c r="I995" s="350" t="s">
        <v>393</v>
      </c>
      <c r="J995" s="375">
        <f>90000+90000+90000+90000+90000</f>
        <v>450000</v>
      </c>
      <c r="K995" s="350" t="s">
        <v>394</v>
      </c>
      <c r="L995" s="354">
        <v>2802.3999950000002</v>
      </c>
      <c r="M995" s="375">
        <f t="shared" si="43"/>
        <v>160.57664887342392</v>
      </c>
      <c r="N995" s="354" t="s">
        <v>395</v>
      </c>
      <c r="O995" s="354">
        <v>0</v>
      </c>
      <c r="P995" s="355" t="s">
        <v>396</v>
      </c>
      <c r="Q995" s="354" t="s">
        <v>397</v>
      </c>
      <c r="R995" s="353">
        <v>0</v>
      </c>
      <c r="S995" s="353">
        <v>0</v>
      </c>
      <c r="T995" s="353">
        <v>0</v>
      </c>
      <c r="U995" s="353">
        <v>0</v>
      </c>
      <c r="V995" s="353">
        <v>0</v>
      </c>
      <c r="W995" s="353">
        <v>0</v>
      </c>
    </row>
    <row r="996" spans="1:23" x14ac:dyDescent="0.25">
      <c r="A996" s="348" t="s">
        <v>1390</v>
      </c>
      <c r="B996" s="349">
        <v>113</v>
      </c>
      <c r="C996" s="350" t="s">
        <v>1330</v>
      </c>
      <c r="D996" s="351">
        <v>45175</v>
      </c>
      <c r="E996" s="352"/>
      <c r="F996" s="352">
        <v>6</v>
      </c>
      <c r="G996" s="350" t="s">
        <v>1208</v>
      </c>
      <c r="H996" s="350" t="s">
        <v>1164</v>
      </c>
      <c r="I996" s="350" t="s">
        <v>393</v>
      </c>
      <c r="J996" s="375">
        <f>90000+90000+90000+90000+90000</f>
        <v>450000</v>
      </c>
      <c r="K996" s="350" t="s">
        <v>394</v>
      </c>
      <c r="L996" s="354">
        <v>2802.3999950000002</v>
      </c>
      <c r="M996" s="375">
        <f t="shared" si="43"/>
        <v>160.57664887342392</v>
      </c>
      <c r="N996" s="354" t="s">
        <v>395</v>
      </c>
      <c r="O996" s="354">
        <v>0</v>
      </c>
      <c r="P996" s="355" t="s">
        <v>396</v>
      </c>
      <c r="Q996" s="354" t="s">
        <v>397</v>
      </c>
      <c r="R996" s="353">
        <v>0</v>
      </c>
      <c r="S996" s="353">
        <v>0</v>
      </c>
      <c r="T996" s="353">
        <v>0</v>
      </c>
      <c r="U996" s="353">
        <v>0</v>
      </c>
      <c r="V996" s="353">
        <v>0</v>
      </c>
      <c r="W996" s="353">
        <v>0</v>
      </c>
    </row>
    <row r="997" spans="1:23" x14ac:dyDescent="0.25">
      <c r="A997" s="348" t="s">
        <v>1390</v>
      </c>
      <c r="B997" s="349">
        <v>114</v>
      </c>
      <c r="C997" s="350" t="s">
        <v>1330</v>
      </c>
      <c r="D997" s="351">
        <v>45175</v>
      </c>
      <c r="E997" s="352"/>
      <c r="F997" s="352">
        <v>6</v>
      </c>
      <c r="G997" s="350" t="s">
        <v>1208</v>
      </c>
      <c r="H997" s="350" t="s">
        <v>1164</v>
      </c>
      <c r="I997" s="350" t="s">
        <v>393</v>
      </c>
      <c r="J997" s="375">
        <f>105000+105000+105000+105000+30000</f>
        <v>450000</v>
      </c>
      <c r="K997" s="350" t="s">
        <v>394</v>
      </c>
      <c r="L997" s="354">
        <v>2802.3999950000002</v>
      </c>
      <c r="M997" s="375">
        <f t="shared" si="43"/>
        <v>160.57664887342392</v>
      </c>
      <c r="N997" s="354" t="s">
        <v>395</v>
      </c>
      <c r="O997" s="354">
        <v>0</v>
      </c>
      <c r="P997" s="355" t="s">
        <v>396</v>
      </c>
      <c r="Q997" s="354" t="s">
        <v>397</v>
      </c>
      <c r="R997" s="353">
        <v>0</v>
      </c>
      <c r="S997" s="353">
        <v>0</v>
      </c>
      <c r="T997" s="353">
        <v>0</v>
      </c>
      <c r="U997" s="353">
        <v>0</v>
      </c>
      <c r="V997" s="353">
        <v>0</v>
      </c>
      <c r="W997" s="353">
        <v>0</v>
      </c>
    </row>
    <row r="998" spans="1:23" x14ac:dyDescent="0.25">
      <c r="A998" s="348" t="s">
        <v>1390</v>
      </c>
      <c r="B998" s="349">
        <v>115</v>
      </c>
      <c r="C998" s="350" t="s">
        <v>1330</v>
      </c>
      <c r="D998" s="351">
        <v>45175</v>
      </c>
      <c r="E998" s="352"/>
      <c r="F998" s="352">
        <v>6</v>
      </c>
      <c r="G998" s="350" t="s">
        <v>1208</v>
      </c>
      <c r="H998" s="350" t="s">
        <v>1164</v>
      </c>
      <c r="I998" s="350" t="s">
        <v>393</v>
      </c>
      <c r="J998" s="375">
        <f>105000+105000+105000+105000+30000</f>
        <v>450000</v>
      </c>
      <c r="K998" s="350" t="s">
        <v>394</v>
      </c>
      <c r="L998" s="354">
        <v>2802.3999950000002</v>
      </c>
      <c r="M998" s="375">
        <f t="shared" si="43"/>
        <v>160.57664887342392</v>
      </c>
      <c r="N998" s="354" t="s">
        <v>395</v>
      </c>
      <c r="O998" s="354">
        <v>0</v>
      </c>
      <c r="P998" s="355" t="s">
        <v>396</v>
      </c>
      <c r="Q998" s="354" t="s">
        <v>397</v>
      </c>
      <c r="R998" s="353">
        <v>0</v>
      </c>
      <c r="S998" s="353">
        <v>0</v>
      </c>
      <c r="T998" s="353">
        <v>0</v>
      </c>
      <c r="U998" s="353">
        <v>0</v>
      </c>
      <c r="V998" s="353">
        <v>0</v>
      </c>
      <c r="W998" s="353">
        <v>0</v>
      </c>
    </row>
    <row r="999" spans="1:23" x14ac:dyDescent="0.25">
      <c r="A999" s="348" t="s">
        <v>1390</v>
      </c>
      <c r="B999" s="349">
        <v>116</v>
      </c>
      <c r="C999" s="350" t="s">
        <v>1330</v>
      </c>
      <c r="D999" s="351">
        <v>45175</v>
      </c>
      <c r="E999" s="352"/>
      <c r="F999" s="352">
        <v>6</v>
      </c>
      <c r="G999" s="350" t="s">
        <v>1208</v>
      </c>
      <c r="H999" s="350" t="s">
        <v>352</v>
      </c>
      <c r="I999" s="350" t="s">
        <v>393</v>
      </c>
      <c r="J999" s="375">
        <f>30000+30000+30000+30000+30000+30000+30000</f>
        <v>210000</v>
      </c>
      <c r="K999" s="350" t="s">
        <v>394</v>
      </c>
      <c r="L999" s="354">
        <v>2802.3999950000002</v>
      </c>
      <c r="M999" s="375">
        <f t="shared" si="43"/>
        <v>74.935769474264504</v>
      </c>
      <c r="N999" s="354" t="s">
        <v>395</v>
      </c>
      <c r="O999" s="354">
        <v>0</v>
      </c>
      <c r="P999" s="355" t="s">
        <v>396</v>
      </c>
      <c r="Q999" s="354" t="s">
        <v>397</v>
      </c>
      <c r="R999" s="353">
        <v>0</v>
      </c>
      <c r="S999" s="353">
        <v>0</v>
      </c>
      <c r="T999" s="353">
        <v>0</v>
      </c>
      <c r="U999" s="353">
        <v>0</v>
      </c>
      <c r="V999" s="353">
        <v>0</v>
      </c>
      <c r="W999" s="353">
        <v>0</v>
      </c>
    </row>
    <row r="1000" spans="1:23" x14ac:dyDescent="0.25">
      <c r="A1000" s="348" t="s">
        <v>1390</v>
      </c>
      <c r="B1000" s="349">
        <v>117</v>
      </c>
      <c r="C1000" s="350" t="s">
        <v>1330</v>
      </c>
      <c r="D1000" s="351">
        <v>45175</v>
      </c>
      <c r="E1000" s="352"/>
      <c r="F1000" s="352">
        <v>6</v>
      </c>
      <c r="G1000" s="350" t="s">
        <v>1208</v>
      </c>
      <c r="H1000" s="350" t="s">
        <v>1379</v>
      </c>
      <c r="I1000" s="350" t="s">
        <v>393</v>
      </c>
      <c r="J1000" s="375">
        <f>30000+30000+30000+30000+30000+30000+30000+30000</f>
        <v>240000</v>
      </c>
      <c r="K1000" s="350" t="s">
        <v>394</v>
      </c>
      <c r="L1000" s="354">
        <v>2802.3999950000002</v>
      </c>
      <c r="M1000" s="375">
        <f t="shared" si="43"/>
        <v>85.640879399159431</v>
      </c>
      <c r="N1000" s="354" t="s">
        <v>395</v>
      </c>
      <c r="O1000" s="354">
        <v>0</v>
      </c>
      <c r="P1000" s="355" t="s">
        <v>396</v>
      </c>
      <c r="Q1000" s="354" t="s">
        <v>397</v>
      </c>
      <c r="R1000" s="353">
        <v>0</v>
      </c>
      <c r="S1000" s="353">
        <v>0</v>
      </c>
      <c r="T1000" s="353">
        <v>0</v>
      </c>
      <c r="U1000" s="353">
        <v>0</v>
      </c>
      <c r="V1000" s="353">
        <v>0</v>
      </c>
      <c r="W1000" s="353">
        <v>0</v>
      </c>
    </row>
    <row r="1001" spans="1:23" x14ac:dyDescent="0.25">
      <c r="A1001" s="348" t="s">
        <v>1390</v>
      </c>
      <c r="B1001" s="349">
        <v>118</v>
      </c>
      <c r="C1001" s="350" t="s">
        <v>1330</v>
      </c>
      <c r="D1001" s="351">
        <v>45175</v>
      </c>
      <c r="E1001" s="352"/>
      <c r="F1001" s="352">
        <v>6</v>
      </c>
      <c r="G1001" s="350" t="s">
        <v>1208</v>
      </c>
      <c r="H1001" s="350" t="s">
        <v>1391</v>
      </c>
      <c r="I1001" s="350" t="s">
        <v>393</v>
      </c>
      <c r="J1001" s="375">
        <f>150000+150000+150000+150000+150000</f>
        <v>750000</v>
      </c>
      <c r="K1001" s="350" t="s">
        <v>394</v>
      </c>
      <c r="L1001" s="354">
        <v>2802.3999950000002</v>
      </c>
      <c r="M1001" s="375">
        <f t="shared" si="43"/>
        <v>267.62774812237319</v>
      </c>
      <c r="N1001" s="354" t="s">
        <v>395</v>
      </c>
      <c r="O1001" s="354">
        <v>0</v>
      </c>
      <c r="P1001" s="355" t="s">
        <v>396</v>
      </c>
      <c r="Q1001" s="354" t="s">
        <v>397</v>
      </c>
      <c r="R1001" s="353">
        <v>0</v>
      </c>
      <c r="S1001" s="353">
        <v>0</v>
      </c>
      <c r="T1001" s="353">
        <v>0</v>
      </c>
      <c r="U1001" s="353">
        <v>0</v>
      </c>
      <c r="V1001" s="353">
        <v>0</v>
      </c>
      <c r="W1001" s="353">
        <v>0</v>
      </c>
    </row>
    <row r="1002" spans="1:23" x14ac:dyDescent="0.25">
      <c r="A1002" s="348" t="s">
        <v>1390</v>
      </c>
      <c r="B1002" s="349">
        <v>119</v>
      </c>
      <c r="C1002" s="350" t="s">
        <v>1330</v>
      </c>
      <c r="D1002" s="351">
        <v>45175</v>
      </c>
      <c r="E1002" s="352"/>
      <c r="F1002" s="352">
        <v>6</v>
      </c>
      <c r="G1002" s="350" t="s">
        <v>1208</v>
      </c>
      <c r="H1002" s="350" t="s">
        <v>1168</v>
      </c>
      <c r="I1002" s="350" t="s">
        <v>393</v>
      </c>
      <c r="J1002" s="375">
        <f>136678+184095+201996+186994+208462+159921+103500+84495+108500+134107</f>
        <v>1508748</v>
      </c>
      <c r="K1002" s="350" t="s">
        <v>394</v>
      </c>
      <c r="L1002" s="354">
        <v>2802.3999950000002</v>
      </c>
      <c r="M1002" s="375">
        <f t="shared" si="43"/>
        <v>538.37710629884577</v>
      </c>
      <c r="N1002" s="354" t="s">
        <v>395</v>
      </c>
      <c r="O1002" s="354">
        <v>0</v>
      </c>
      <c r="P1002" s="355" t="s">
        <v>396</v>
      </c>
      <c r="Q1002" s="354" t="s">
        <v>397</v>
      </c>
      <c r="R1002" s="353">
        <v>0</v>
      </c>
      <c r="S1002" s="353">
        <v>0</v>
      </c>
      <c r="T1002" s="353">
        <v>0</v>
      </c>
      <c r="U1002" s="353">
        <v>0</v>
      </c>
      <c r="V1002" s="353">
        <v>0</v>
      </c>
      <c r="W1002" s="353">
        <v>0</v>
      </c>
    </row>
    <row r="1003" spans="1:23" x14ac:dyDescent="0.25">
      <c r="A1003" s="348" t="s">
        <v>1390</v>
      </c>
      <c r="B1003" s="349">
        <v>120</v>
      </c>
      <c r="C1003" s="350" t="s">
        <v>1330</v>
      </c>
      <c r="D1003" s="351">
        <v>45175</v>
      </c>
      <c r="E1003" s="352"/>
      <c r="F1003" s="352">
        <v>6</v>
      </c>
      <c r="G1003" s="350" t="s">
        <v>1208</v>
      </c>
      <c r="H1003" s="350" t="s">
        <v>1392</v>
      </c>
      <c r="I1003" s="350" t="s">
        <v>393</v>
      </c>
      <c r="J1003" s="375">
        <f>3000+13000+4000+3000</f>
        <v>23000</v>
      </c>
      <c r="K1003" s="350" t="s">
        <v>394</v>
      </c>
      <c r="L1003" s="354">
        <v>2802.3999950000002</v>
      </c>
      <c r="M1003" s="375">
        <f t="shared" si="43"/>
        <v>8.2072509424194457</v>
      </c>
      <c r="N1003" s="354" t="s">
        <v>395</v>
      </c>
      <c r="O1003" s="354">
        <v>0</v>
      </c>
      <c r="P1003" s="355" t="s">
        <v>396</v>
      </c>
      <c r="Q1003" s="354" t="s">
        <v>397</v>
      </c>
      <c r="R1003" s="353">
        <v>0</v>
      </c>
      <c r="S1003" s="353">
        <v>0</v>
      </c>
      <c r="T1003" s="353">
        <v>0</v>
      </c>
      <c r="U1003" s="353">
        <v>0</v>
      </c>
      <c r="V1003" s="353">
        <v>0</v>
      </c>
      <c r="W1003" s="353">
        <v>0</v>
      </c>
    </row>
    <row r="1004" spans="1:23" x14ac:dyDescent="0.25">
      <c r="A1004" s="348" t="s">
        <v>1393</v>
      </c>
      <c r="B1004" s="349">
        <v>121</v>
      </c>
      <c r="C1004" s="350" t="s">
        <v>1330</v>
      </c>
      <c r="D1004" s="351">
        <v>45188</v>
      </c>
      <c r="E1004" s="352"/>
      <c r="F1004" s="352">
        <v>6</v>
      </c>
      <c r="G1004" s="350" t="s">
        <v>1208</v>
      </c>
      <c r="H1004" s="350" t="s">
        <v>351</v>
      </c>
      <c r="I1004" s="350" t="s">
        <v>393</v>
      </c>
      <c r="J1004" s="375">
        <v>2400000</v>
      </c>
      <c r="K1004" s="350" t="s">
        <v>394</v>
      </c>
      <c r="L1004" s="354">
        <v>2802.3999950000002</v>
      </c>
      <c r="M1004" s="375">
        <f t="shared" si="43"/>
        <v>856.40879399159428</v>
      </c>
      <c r="N1004" s="354" t="s">
        <v>395</v>
      </c>
      <c r="O1004" s="354">
        <v>0</v>
      </c>
      <c r="P1004" s="355" t="s">
        <v>396</v>
      </c>
      <c r="Q1004" s="354" t="s">
        <v>397</v>
      </c>
      <c r="R1004" s="353">
        <v>0</v>
      </c>
      <c r="S1004" s="353">
        <v>0</v>
      </c>
      <c r="T1004" s="353">
        <v>0</v>
      </c>
      <c r="U1004" s="353">
        <v>0</v>
      </c>
      <c r="V1004" s="353">
        <v>0</v>
      </c>
      <c r="W1004" s="353">
        <v>0</v>
      </c>
    </row>
    <row r="1005" spans="1:23" x14ac:dyDescent="0.25">
      <c r="A1005" s="348" t="s">
        <v>1394</v>
      </c>
      <c r="B1005" s="349">
        <v>122</v>
      </c>
      <c r="C1005" s="350" t="s">
        <v>1330</v>
      </c>
      <c r="D1005" s="351">
        <v>45188</v>
      </c>
      <c r="E1005" s="352"/>
      <c r="F1005" s="352">
        <v>6</v>
      </c>
      <c r="G1005" s="350" t="s">
        <v>1208</v>
      </c>
      <c r="H1005" s="350" t="s">
        <v>1395</v>
      </c>
      <c r="I1005" s="350" t="s">
        <v>393</v>
      </c>
      <c r="J1005" s="375">
        <v>8580000</v>
      </c>
      <c r="K1005" s="350" t="s">
        <v>394</v>
      </c>
      <c r="L1005" s="354">
        <v>2802.3999950000002</v>
      </c>
      <c r="M1005" s="375">
        <f t="shared" si="43"/>
        <v>3061.6614385199496</v>
      </c>
      <c r="N1005" s="354" t="s">
        <v>395</v>
      </c>
      <c r="O1005" s="354">
        <v>0</v>
      </c>
      <c r="P1005" s="355" t="s">
        <v>396</v>
      </c>
      <c r="Q1005" s="354" t="s">
        <v>397</v>
      </c>
      <c r="R1005" s="353">
        <v>0</v>
      </c>
      <c r="S1005" s="353">
        <v>0</v>
      </c>
      <c r="T1005" s="353">
        <v>0</v>
      </c>
      <c r="U1005" s="353">
        <v>0</v>
      </c>
      <c r="V1005" s="353">
        <v>0</v>
      </c>
      <c r="W1005" s="353">
        <v>0</v>
      </c>
    </row>
    <row r="1006" spans="1:23" x14ac:dyDescent="0.25">
      <c r="A1006" s="348" t="s">
        <v>1396</v>
      </c>
      <c r="B1006" s="349">
        <v>123</v>
      </c>
      <c r="C1006" s="350" t="s">
        <v>1330</v>
      </c>
      <c r="D1006" s="351">
        <v>45179</v>
      </c>
      <c r="E1006" s="352"/>
      <c r="F1006" s="352">
        <v>6</v>
      </c>
      <c r="G1006" s="350" t="s">
        <v>1208</v>
      </c>
      <c r="H1006" s="350" t="s">
        <v>1368</v>
      </c>
      <c r="I1006" s="350" t="s">
        <v>393</v>
      </c>
      <c r="J1006" s="375">
        <v>252000</v>
      </c>
      <c r="K1006" s="350" t="s">
        <v>394</v>
      </c>
      <c r="L1006" s="354">
        <v>2802.3999950000002</v>
      </c>
      <c r="M1006" s="375">
        <f t="shared" si="43"/>
        <v>89.922923369117399</v>
      </c>
      <c r="N1006" s="354" t="s">
        <v>395</v>
      </c>
      <c r="O1006" s="354">
        <v>0</v>
      </c>
      <c r="P1006" s="355" t="s">
        <v>396</v>
      </c>
      <c r="Q1006" s="354" t="s">
        <v>397</v>
      </c>
      <c r="R1006" s="353">
        <v>0</v>
      </c>
      <c r="S1006" s="353">
        <v>0</v>
      </c>
      <c r="T1006" s="353">
        <v>0</v>
      </c>
      <c r="U1006" s="353">
        <v>0</v>
      </c>
      <c r="V1006" s="353">
        <v>0</v>
      </c>
      <c r="W1006" s="353">
        <v>0</v>
      </c>
    </row>
    <row r="1007" spans="1:23" x14ac:dyDescent="0.25">
      <c r="A1007" s="348" t="s">
        <v>1396</v>
      </c>
      <c r="B1007" s="349">
        <v>123</v>
      </c>
      <c r="C1007" s="350" t="s">
        <v>1330</v>
      </c>
      <c r="D1007" s="351">
        <v>45179</v>
      </c>
      <c r="E1007" s="352"/>
      <c r="F1007" s="352">
        <v>6</v>
      </c>
      <c r="G1007" s="350" t="s">
        <v>1208</v>
      </c>
      <c r="H1007" s="350" t="s">
        <v>1225</v>
      </c>
      <c r="I1007" s="350" t="s">
        <v>393</v>
      </c>
      <c r="J1007" s="375">
        <v>125000</v>
      </c>
      <c r="K1007" s="350" t="s">
        <v>394</v>
      </c>
      <c r="L1007" s="354">
        <v>2802.3999950000002</v>
      </c>
      <c r="M1007" s="375">
        <f t="shared" si="43"/>
        <v>44.604624687062199</v>
      </c>
      <c r="N1007" s="354" t="s">
        <v>395</v>
      </c>
      <c r="O1007" s="354">
        <v>0</v>
      </c>
      <c r="P1007" s="355" t="s">
        <v>396</v>
      </c>
      <c r="Q1007" s="354" t="s">
        <v>397</v>
      </c>
      <c r="R1007" s="353">
        <v>0</v>
      </c>
      <c r="S1007" s="353">
        <v>0</v>
      </c>
      <c r="T1007" s="353">
        <v>0</v>
      </c>
      <c r="U1007" s="353">
        <v>0</v>
      </c>
      <c r="V1007" s="353">
        <v>0</v>
      </c>
      <c r="W1007" s="353">
        <v>0</v>
      </c>
    </row>
    <row r="1008" spans="1:23" x14ac:dyDescent="0.25">
      <c r="A1008" s="348" t="s">
        <v>1396</v>
      </c>
      <c r="B1008" s="349">
        <v>123</v>
      </c>
      <c r="C1008" s="350" t="s">
        <v>1330</v>
      </c>
      <c r="D1008" s="351">
        <v>45179</v>
      </c>
      <c r="E1008" s="352"/>
      <c r="F1008" s="352">
        <v>6</v>
      </c>
      <c r="G1008" s="350" t="s">
        <v>1208</v>
      </c>
      <c r="H1008" s="350" t="s">
        <v>1227</v>
      </c>
      <c r="I1008" s="350" t="s">
        <v>393</v>
      </c>
      <c r="J1008" s="375">
        <v>24500</v>
      </c>
      <c r="K1008" s="350" t="s">
        <v>394</v>
      </c>
      <c r="L1008" s="354">
        <v>2802.3999950000002</v>
      </c>
      <c r="M1008" s="375">
        <f t="shared" si="43"/>
        <v>8.7425064386641917</v>
      </c>
      <c r="N1008" s="354" t="s">
        <v>395</v>
      </c>
      <c r="O1008" s="354">
        <v>0</v>
      </c>
      <c r="P1008" s="355" t="s">
        <v>396</v>
      </c>
      <c r="Q1008" s="354" t="s">
        <v>397</v>
      </c>
      <c r="R1008" s="353">
        <v>0</v>
      </c>
      <c r="S1008" s="353">
        <v>0</v>
      </c>
      <c r="T1008" s="353">
        <v>0</v>
      </c>
      <c r="U1008" s="353">
        <v>0</v>
      </c>
      <c r="V1008" s="353">
        <v>0</v>
      </c>
      <c r="W1008" s="353">
        <v>0</v>
      </c>
    </row>
    <row r="1009" spans="1:23" x14ac:dyDescent="0.25">
      <c r="A1009" s="348" t="s">
        <v>1396</v>
      </c>
      <c r="B1009" s="349">
        <v>123</v>
      </c>
      <c r="C1009" s="350" t="s">
        <v>1330</v>
      </c>
      <c r="D1009" s="351">
        <v>45179</v>
      </c>
      <c r="E1009" s="352"/>
      <c r="F1009" s="352">
        <v>6</v>
      </c>
      <c r="G1009" s="350" t="s">
        <v>1208</v>
      </c>
      <c r="H1009" s="350" t="s">
        <v>1226</v>
      </c>
      <c r="I1009" s="350" t="s">
        <v>393</v>
      </c>
      <c r="J1009" s="375">
        <v>35000</v>
      </c>
      <c r="K1009" s="350" t="s">
        <v>394</v>
      </c>
      <c r="L1009" s="354">
        <v>2802.3999950000002</v>
      </c>
      <c r="M1009" s="375">
        <f t="shared" si="43"/>
        <v>12.489294912377417</v>
      </c>
      <c r="N1009" s="354" t="s">
        <v>395</v>
      </c>
      <c r="O1009" s="354">
        <v>0</v>
      </c>
      <c r="P1009" s="355" t="s">
        <v>396</v>
      </c>
      <c r="Q1009" s="354" t="s">
        <v>397</v>
      </c>
      <c r="R1009" s="353">
        <v>0</v>
      </c>
      <c r="S1009" s="353">
        <v>0</v>
      </c>
      <c r="T1009" s="353">
        <v>0</v>
      </c>
      <c r="U1009" s="353">
        <v>0</v>
      </c>
      <c r="V1009" s="353">
        <v>0</v>
      </c>
      <c r="W1009" s="353">
        <v>0</v>
      </c>
    </row>
    <row r="1010" spans="1:23" x14ac:dyDescent="0.25">
      <c r="A1010" s="348" t="s">
        <v>1396</v>
      </c>
      <c r="B1010" s="349">
        <v>123</v>
      </c>
      <c r="C1010" s="350" t="s">
        <v>1330</v>
      </c>
      <c r="D1010" s="351">
        <v>45179</v>
      </c>
      <c r="E1010" s="352"/>
      <c r="F1010" s="352">
        <v>6</v>
      </c>
      <c r="G1010" s="350" t="s">
        <v>1208</v>
      </c>
      <c r="H1010" s="350" t="s">
        <v>1369</v>
      </c>
      <c r="I1010" s="350" t="s">
        <v>393</v>
      </c>
      <c r="J1010" s="375">
        <v>77000</v>
      </c>
      <c r="K1010" s="350" t="s">
        <v>394</v>
      </c>
      <c r="L1010" s="354">
        <v>2802.3999950000002</v>
      </c>
      <c r="M1010" s="375">
        <f t="shared" si="43"/>
        <v>27.476448807230316</v>
      </c>
      <c r="N1010" s="354" t="s">
        <v>395</v>
      </c>
      <c r="O1010" s="354">
        <v>0</v>
      </c>
      <c r="P1010" s="355" t="s">
        <v>396</v>
      </c>
      <c r="Q1010" s="354" t="s">
        <v>397</v>
      </c>
      <c r="R1010" s="353">
        <v>0</v>
      </c>
      <c r="S1010" s="353">
        <v>0</v>
      </c>
      <c r="T1010" s="353">
        <v>0</v>
      </c>
      <c r="U1010" s="353">
        <v>0</v>
      </c>
      <c r="V1010" s="353">
        <v>0</v>
      </c>
      <c r="W1010" s="353">
        <v>0</v>
      </c>
    </row>
    <row r="1011" spans="1:23" x14ac:dyDescent="0.25">
      <c r="A1011" s="348" t="s">
        <v>1396</v>
      </c>
      <c r="B1011" s="349">
        <v>123</v>
      </c>
      <c r="C1011" s="350" t="s">
        <v>1330</v>
      </c>
      <c r="D1011" s="351">
        <v>45179</v>
      </c>
      <c r="E1011" s="352"/>
      <c r="F1011" s="352">
        <v>6</v>
      </c>
      <c r="G1011" s="350" t="s">
        <v>1208</v>
      </c>
      <c r="H1011" s="350" t="s">
        <v>1229</v>
      </c>
      <c r="I1011" s="350" t="s">
        <v>393</v>
      </c>
      <c r="J1011" s="375">
        <v>22000</v>
      </c>
      <c r="K1011" s="350" t="s">
        <v>394</v>
      </c>
      <c r="L1011" s="354">
        <v>2802.3999950000002</v>
      </c>
      <c r="M1011" s="375">
        <f t="shared" si="43"/>
        <v>7.8504139449229475</v>
      </c>
      <c r="N1011" s="354" t="s">
        <v>395</v>
      </c>
      <c r="O1011" s="354">
        <v>0</v>
      </c>
      <c r="P1011" s="355" t="s">
        <v>396</v>
      </c>
      <c r="Q1011" s="354" t="s">
        <v>397</v>
      </c>
      <c r="R1011" s="353">
        <v>0</v>
      </c>
      <c r="S1011" s="353">
        <v>0</v>
      </c>
      <c r="T1011" s="353">
        <v>0</v>
      </c>
      <c r="U1011" s="353">
        <v>0</v>
      </c>
      <c r="V1011" s="353">
        <v>0</v>
      </c>
      <c r="W1011" s="353">
        <v>0</v>
      </c>
    </row>
    <row r="1012" spans="1:23" x14ac:dyDescent="0.25">
      <c r="A1012" s="348" t="s">
        <v>1397</v>
      </c>
      <c r="B1012" s="349">
        <v>124</v>
      </c>
      <c r="C1012" s="350" t="s">
        <v>1330</v>
      </c>
      <c r="D1012" s="351">
        <v>45187</v>
      </c>
      <c r="E1012" s="352"/>
      <c r="F1012" s="352">
        <v>6</v>
      </c>
      <c r="G1012" s="350" t="s">
        <v>1208</v>
      </c>
      <c r="H1012" s="350" t="s">
        <v>1392</v>
      </c>
      <c r="I1012" s="350" t="s">
        <v>393</v>
      </c>
      <c r="J1012" s="375">
        <f>7800+800</f>
        <v>8600</v>
      </c>
      <c r="K1012" s="350" t="s">
        <v>394</v>
      </c>
      <c r="L1012" s="354">
        <v>2802.3999950000002</v>
      </c>
      <c r="M1012" s="375">
        <f t="shared" si="43"/>
        <v>3.0687981784698795</v>
      </c>
      <c r="N1012" s="354" t="s">
        <v>395</v>
      </c>
      <c r="O1012" s="354">
        <v>0</v>
      </c>
      <c r="P1012" s="355" t="s">
        <v>396</v>
      </c>
      <c r="Q1012" s="354" t="s">
        <v>397</v>
      </c>
      <c r="R1012" s="353">
        <v>0</v>
      </c>
      <c r="S1012" s="353">
        <v>0</v>
      </c>
      <c r="T1012" s="353">
        <v>0</v>
      </c>
      <c r="U1012" s="353">
        <v>0</v>
      </c>
      <c r="V1012" s="353">
        <v>0</v>
      </c>
      <c r="W1012" s="353">
        <v>0</v>
      </c>
    </row>
    <row r="1013" spans="1:23" x14ac:dyDescent="0.25">
      <c r="A1013" s="348" t="s">
        <v>1397</v>
      </c>
      <c r="B1013" s="349">
        <v>125</v>
      </c>
      <c r="C1013" s="350" t="s">
        <v>1330</v>
      </c>
      <c r="D1013" s="351">
        <v>45187</v>
      </c>
      <c r="E1013" s="352"/>
      <c r="F1013" s="352">
        <v>6</v>
      </c>
      <c r="G1013" s="350" t="s">
        <v>1208</v>
      </c>
      <c r="H1013" s="350" t="s">
        <v>1354</v>
      </c>
      <c r="I1013" s="350" t="s">
        <v>393</v>
      </c>
      <c r="J1013" s="375">
        <v>45000</v>
      </c>
      <c r="K1013" s="350" t="s">
        <v>394</v>
      </c>
      <c r="L1013" s="354">
        <v>2802.3999950000002</v>
      </c>
      <c r="M1013" s="375">
        <f t="shared" si="43"/>
        <v>16.057664887342394</v>
      </c>
      <c r="N1013" s="354" t="s">
        <v>395</v>
      </c>
      <c r="O1013" s="354">
        <v>0</v>
      </c>
      <c r="P1013" s="355" t="s">
        <v>396</v>
      </c>
      <c r="Q1013" s="354" t="s">
        <v>397</v>
      </c>
      <c r="R1013" s="353">
        <v>0</v>
      </c>
      <c r="S1013" s="353">
        <v>0</v>
      </c>
      <c r="T1013" s="353">
        <v>0</v>
      </c>
      <c r="U1013" s="353">
        <v>0</v>
      </c>
      <c r="V1013" s="353">
        <v>0</v>
      </c>
      <c r="W1013" s="353">
        <v>0</v>
      </c>
    </row>
    <row r="1014" spans="1:23" x14ac:dyDescent="0.25">
      <c r="A1014" s="348" t="s">
        <v>1397</v>
      </c>
      <c r="B1014" s="349">
        <v>126</v>
      </c>
      <c r="C1014" s="350" t="s">
        <v>1330</v>
      </c>
      <c r="D1014" s="351">
        <v>45187</v>
      </c>
      <c r="E1014" s="352"/>
      <c r="F1014" s="352">
        <v>6</v>
      </c>
      <c r="G1014" s="350" t="s">
        <v>1208</v>
      </c>
      <c r="H1014" s="350" t="s">
        <v>1391</v>
      </c>
      <c r="I1014" s="350" t="s">
        <v>393</v>
      </c>
      <c r="J1014" s="375">
        <f>200000+100000+200000+200000+100000+100000+200000+200000+200000</f>
        <v>1500000</v>
      </c>
      <c r="K1014" s="350" t="s">
        <v>394</v>
      </c>
      <c r="L1014" s="354">
        <v>2802.3999950000002</v>
      </c>
      <c r="M1014" s="375">
        <f t="shared" si="43"/>
        <v>535.25549624474638</v>
      </c>
      <c r="N1014" s="354" t="s">
        <v>395</v>
      </c>
      <c r="O1014" s="354">
        <v>0</v>
      </c>
      <c r="P1014" s="355" t="s">
        <v>396</v>
      </c>
      <c r="Q1014" s="354" t="s">
        <v>397</v>
      </c>
      <c r="R1014" s="353">
        <v>0</v>
      </c>
      <c r="S1014" s="353">
        <v>0</v>
      </c>
      <c r="T1014" s="353">
        <v>0</v>
      </c>
      <c r="U1014" s="353">
        <v>0</v>
      </c>
      <c r="V1014" s="353">
        <v>0</v>
      </c>
      <c r="W1014" s="353">
        <v>0</v>
      </c>
    </row>
    <row r="1015" spans="1:23" x14ac:dyDescent="0.25">
      <c r="A1015" s="348" t="s">
        <v>1397</v>
      </c>
      <c r="B1015" s="349">
        <v>127</v>
      </c>
      <c r="C1015" s="350" t="s">
        <v>1330</v>
      </c>
      <c r="D1015" s="351">
        <v>45187</v>
      </c>
      <c r="E1015" s="352"/>
      <c r="F1015" s="352">
        <v>6</v>
      </c>
      <c r="G1015" s="350" t="s">
        <v>1208</v>
      </c>
      <c r="H1015" s="350" t="s">
        <v>1164</v>
      </c>
      <c r="I1015" s="350" t="s">
        <v>393</v>
      </c>
      <c r="J1015" s="375">
        <f>90000+90000+90000+90000+90000</f>
        <v>450000</v>
      </c>
      <c r="K1015" s="350" t="s">
        <v>394</v>
      </c>
      <c r="L1015" s="354">
        <v>2802.3999950000002</v>
      </c>
      <c r="M1015" s="375">
        <f t="shared" si="43"/>
        <v>160.57664887342392</v>
      </c>
      <c r="N1015" s="354" t="s">
        <v>395</v>
      </c>
      <c r="O1015" s="354">
        <v>0</v>
      </c>
      <c r="P1015" s="355" t="s">
        <v>396</v>
      </c>
      <c r="Q1015" s="354" t="s">
        <v>397</v>
      </c>
      <c r="R1015" s="353">
        <v>0</v>
      </c>
      <c r="S1015" s="353">
        <v>0</v>
      </c>
      <c r="T1015" s="353">
        <v>0</v>
      </c>
      <c r="U1015" s="353">
        <v>0</v>
      </c>
      <c r="V1015" s="353">
        <v>0</v>
      </c>
      <c r="W1015" s="353">
        <v>0</v>
      </c>
    </row>
    <row r="1016" spans="1:23" x14ac:dyDescent="0.25">
      <c r="A1016" s="348" t="s">
        <v>1397</v>
      </c>
      <c r="B1016" s="349">
        <v>128</v>
      </c>
      <c r="C1016" s="350" t="s">
        <v>1330</v>
      </c>
      <c r="D1016" s="351">
        <v>45187</v>
      </c>
      <c r="E1016" s="352"/>
      <c r="F1016" s="352">
        <v>6</v>
      </c>
      <c r="G1016" s="350" t="s">
        <v>1208</v>
      </c>
      <c r="H1016" s="350" t="s">
        <v>1164</v>
      </c>
      <c r="I1016" s="350" t="s">
        <v>393</v>
      </c>
      <c r="J1016" s="375">
        <f>90000+90000+90000+90000+90000</f>
        <v>450000</v>
      </c>
      <c r="K1016" s="350" t="s">
        <v>394</v>
      </c>
      <c r="L1016" s="354">
        <v>2802.3999950000002</v>
      </c>
      <c r="M1016" s="375">
        <f t="shared" si="43"/>
        <v>160.57664887342392</v>
      </c>
      <c r="N1016" s="354" t="s">
        <v>395</v>
      </c>
      <c r="O1016" s="354">
        <v>0</v>
      </c>
      <c r="P1016" s="355" t="s">
        <v>396</v>
      </c>
      <c r="Q1016" s="354" t="s">
        <v>397</v>
      </c>
      <c r="R1016" s="353">
        <v>0</v>
      </c>
      <c r="S1016" s="353">
        <v>0</v>
      </c>
      <c r="T1016" s="353">
        <v>0</v>
      </c>
      <c r="U1016" s="353">
        <v>0</v>
      </c>
      <c r="V1016" s="353">
        <v>0</v>
      </c>
      <c r="W1016" s="353">
        <v>0</v>
      </c>
    </row>
    <row r="1017" spans="1:23" x14ac:dyDescent="0.25">
      <c r="A1017" s="348" t="s">
        <v>1397</v>
      </c>
      <c r="B1017" s="349">
        <v>129</v>
      </c>
      <c r="C1017" s="350" t="s">
        <v>1330</v>
      </c>
      <c r="D1017" s="351">
        <v>45187</v>
      </c>
      <c r="E1017" s="352"/>
      <c r="F1017" s="352">
        <v>6</v>
      </c>
      <c r="G1017" s="350" t="s">
        <v>1208</v>
      </c>
      <c r="H1017" s="350" t="s">
        <v>1164</v>
      </c>
      <c r="I1017" s="350" t="s">
        <v>393</v>
      </c>
      <c r="J1017" s="375">
        <f>105000+105000+105000+105000+105000+15000</f>
        <v>540000</v>
      </c>
      <c r="K1017" s="350" t="s">
        <v>394</v>
      </c>
      <c r="L1017" s="354">
        <v>2802.3999950000002</v>
      </c>
      <c r="M1017" s="375">
        <f t="shared" si="43"/>
        <v>192.69197864810872</v>
      </c>
      <c r="N1017" s="354" t="s">
        <v>395</v>
      </c>
      <c r="O1017" s="354">
        <v>0</v>
      </c>
      <c r="P1017" s="355" t="s">
        <v>396</v>
      </c>
      <c r="Q1017" s="354" t="s">
        <v>397</v>
      </c>
      <c r="R1017" s="353">
        <v>0</v>
      </c>
      <c r="S1017" s="353">
        <v>0</v>
      </c>
      <c r="T1017" s="353">
        <v>0</v>
      </c>
      <c r="U1017" s="353">
        <v>0</v>
      </c>
      <c r="V1017" s="353">
        <v>0</v>
      </c>
      <c r="W1017" s="353">
        <v>0</v>
      </c>
    </row>
    <row r="1018" spans="1:23" x14ac:dyDescent="0.25">
      <c r="A1018" s="348" t="s">
        <v>1397</v>
      </c>
      <c r="B1018" s="349">
        <v>130</v>
      </c>
      <c r="C1018" s="350" t="s">
        <v>1330</v>
      </c>
      <c r="D1018" s="351">
        <v>45187</v>
      </c>
      <c r="E1018" s="352"/>
      <c r="F1018" s="352">
        <v>6</v>
      </c>
      <c r="G1018" s="350" t="s">
        <v>1208</v>
      </c>
      <c r="H1018" s="350" t="s">
        <v>1164</v>
      </c>
      <c r="I1018" s="350" t="s">
        <v>393</v>
      </c>
      <c r="J1018" s="375">
        <f>105000+105000+105000+105000+105000+15000</f>
        <v>540000</v>
      </c>
      <c r="K1018" s="350" t="s">
        <v>394</v>
      </c>
      <c r="L1018" s="354">
        <v>2802.3999950000002</v>
      </c>
      <c r="M1018" s="375">
        <f t="shared" si="43"/>
        <v>192.69197864810872</v>
      </c>
      <c r="N1018" s="354" t="s">
        <v>395</v>
      </c>
      <c r="O1018" s="354">
        <v>0</v>
      </c>
      <c r="P1018" s="355" t="s">
        <v>396</v>
      </c>
      <c r="Q1018" s="354" t="s">
        <v>397</v>
      </c>
      <c r="R1018" s="353">
        <v>0</v>
      </c>
      <c r="S1018" s="353">
        <v>0</v>
      </c>
      <c r="T1018" s="353">
        <v>0</v>
      </c>
      <c r="U1018" s="353">
        <v>0</v>
      </c>
      <c r="V1018" s="353">
        <v>0</v>
      </c>
      <c r="W1018" s="353">
        <v>0</v>
      </c>
    </row>
    <row r="1019" spans="1:23" x14ac:dyDescent="0.25">
      <c r="A1019" s="348" t="s">
        <v>1397</v>
      </c>
      <c r="B1019" s="349">
        <v>131</v>
      </c>
      <c r="C1019" s="350" t="s">
        <v>1330</v>
      </c>
      <c r="D1019" s="351">
        <v>45187</v>
      </c>
      <c r="E1019" s="352"/>
      <c r="F1019" s="352">
        <v>6</v>
      </c>
      <c r="G1019" s="350" t="s">
        <v>1208</v>
      </c>
      <c r="H1019" s="350" t="s">
        <v>1164</v>
      </c>
      <c r="I1019" s="350" t="s">
        <v>393</v>
      </c>
      <c r="J1019" s="375">
        <f>105000+105000+105000+105000+30000</f>
        <v>450000</v>
      </c>
      <c r="K1019" s="350" t="s">
        <v>394</v>
      </c>
      <c r="L1019" s="354">
        <v>2802.3999950000002</v>
      </c>
      <c r="M1019" s="375">
        <f t="shared" si="43"/>
        <v>160.57664887342392</v>
      </c>
      <c r="N1019" s="354" t="s">
        <v>395</v>
      </c>
      <c r="O1019" s="354">
        <v>0</v>
      </c>
      <c r="P1019" s="355" t="s">
        <v>396</v>
      </c>
      <c r="Q1019" s="354" t="s">
        <v>397</v>
      </c>
      <c r="R1019" s="353">
        <v>0</v>
      </c>
      <c r="S1019" s="353">
        <v>0</v>
      </c>
      <c r="T1019" s="353">
        <v>0</v>
      </c>
      <c r="U1019" s="353">
        <v>0</v>
      </c>
      <c r="V1019" s="353">
        <v>0</v>
      </c>
      <c r="W1019" s="353">
        <v>0</v>
      </c>
    </row>
    <row r="1020" spans="1:23" x14ac:dyDescent="0.25">
      <c r="A1020" s="348" t="s">
        <v>1397</v>
      </c>
      <c r="B1020" s="349">
        <v>132</v>
      </c>
      <c r="C1020" s="350" t="s">
        <v>1330</v>
      </c>
      <c r="D1020" s="351">
        <v>45187</v>
      </c>
      <c r="E1020" s="352"/>
      <c r="F1020" s="352">
        <v>6</v>
      </c>
      <c r="G1020" s="350" t="s">
        <v>1208</v>
      </c>
      <c r="H1020" s="350" t="s">
        <v>1164</v>
      </c>
      <c r="I1020" s="350" t="s">
        <v>393</v>
      </c>
      <c r="J1020" s="375">
        <f>105000+105000+105000+105000</f>
        <v>420000</v>
      </c>
      <c r="K1020" s="350" t="s">
        <v>394</v>
      </c>
      <c r="L1020" s="354">
        <v>2802.3999950000002</v>
      </c>
      <c r="M1020" s="375">
        <f t="shared" si="43"/>
        <v>149.87153894852901</v>
      </c>
      <c r="N1020" s="354" t="s">
        <v>395</v>
      </c>
      <c r="O1020" s="354">
        <v>0</v>
      </c>
      <c r="P1020" s="355" t="s">
        <v>396</v>
      </c>
      <c r="Q1020" s="354" t="s">
        <v>397</v>
      </c>
      <c r="R1020" s="353">
        <v>0</v>
      </c>
      <c r="S1020" s="353">
        <v>0</v>
      </c>
      <c r="T1020" s="353">
        <v>0</v>
      </c>
      <c r="U1020" s="353">
        <v>0</v>
      </c>
      <c r="V1020" s="353">
        <v>0</v>
      </c>
      <c r="W1020" s="353">
        <v>0</v>
      </c>
    </row>
    <row r="1021" spans="1:23" x14ac:dyDescent="0.25">
      <c r="A1021" s="348" t="s">
        <v>1397</v>
      </c>
      <c r="B1021" s="349">
        <v>133</v>
      </c>
      <c r="C1021" s="350" t="s">
        <v>1330</v>
      </c>
      <c r="D1021" s="351">
        <v>45187</v>
      </c>
      <c r="E1021" s="352"/>
      <c r="F1021" s="352">
        <v>6</v>
      </c>
      <c r="G1021" s="350" t="s">
        <v>1208</v>
      </c>
      <c r="H1021" s="350" t="s">
        <v>1164</v>
      </c>
      <c r="I1021" s="350" t="s">
        <v>393</v>
      </c>
      <c r="J1021" s="375">
        <f>105000+105000+105000+105000</f>
        <v>420000</v>
      </c>
      <c r="K1021" s="350" t="s">
        <v>394</v>
      </c>
      <c r="L1021" s="354">
        <v>2802.3999950000002</v>
      </c>
      <c r="M1021" s="375">
        <f t="shared" si="43"/>
        <v>149.87153894852901</v>
      </c>
      <c r="N1021" s="354" t="s">
        <v>395</v>
      </c>
      <c r="O1021" s="354">
        <v>0</v>
      </c>
      <c r="P1021" s="355" t="s">
        <v>396</v>
      </c>
      <c r="Q1021" s="354" t="s">
        <v>397</v>
      </c>
      <c r="R1021" s="353">
        <v>0</v>
      </c>
      <c r="S1021" s="353">
        <v>0</v>
      </c>
      <c r="T1021" s="353">
        <v>0</v>
      </c>
      <c r="U1021" s="353">
        <v>0</v>
      </c>
      <c r="V1021" s="353">
        <v>0</v>
      </c>
      <c r="W1021" s="353">
        <v>0</v>
      </c>
    </row>
    <row r="1022" spans="1:23" x14ac:dyDescent="0.25">
      <c r="A1022" s="348" t="s">
        <v>1397</v>
      </c>
      <c r="B1022" s="349">
        <v>134</v>
      </c>
      <c r="C1022" s="350" t="s">
        <v>1330</v>
      </c>
      <c r="D1022" s="351">
        <v>45187</v>
      </c>
      <c r="E1022" s="352"/>
      <c r="F1022" s="352">
        <v>6</v>
      </c>
      <c r="G1022" s="350" t="s">
        <v>1208</v>
      </c>
      <c r="H1022" s="350" t="s">
        <v>1164</v>
      </c>
      <c r="I1022" s="350" t="s">
        <v>393</v>
      </c>
      <c r="J1022" s="375">
        <f>105000+105000+105000+105000</f>
        <v>420000</v>
      </c>
      <c r="K1022" s="350" t="s">
        <v>394</v>
      </c>
      <c r="L1022" s="354">
        <v>2802.3999950000002</v>
      </c>
      <c r="M1022" s="375">
        <f t="shared" si="43"/>
        <v>149.87153894852901</v>
      </c>
      <c r="N1022" s="354" t="s">
        <v>395</v>
      </c>
      <c r="O1022" s="354">
        <v>0</v>
      </c>
      <c r="P1022" s="355" t="s">
        <v>396</v>
      </c>
      <c r="Q1022" s="354" t="s">
        <v>397</v>
      </c>
      <c r="R1022" s="353">
        <v>0</v>
      </c>
      <c r="S1022" s="353">
        <v>0</v>
      </c>
      <c r="T1022" s="353">
        <v>0</v>
      </c>
      <c r="U1022" s="353">
        <v>0</v>
      </c>
      <c r="V1022" s="353">
        <v>0</v>
      </c>
      <c r="W1022" s="353">
        <v>0</v>
      </c>
    </row>
    <row r="1023" spans="1:23" x14ac:dyDescent="0.25">
      <c r="A1023" s="348" t="s">
        <v>1397</v>
      </c>
      <c r="B1023" s="349">
        <v>135</v>
      </c>
      <c r="C1023" s="350" t="s">
        <v>1330</v>
      </c>
      <c r="D1023" s="351">
        <v>45187</v>
      </c>
      <c r="E1023" s="352"/>
      <c r="F1023" s="352">
        <v>6</v>
      </c>
      <c r="G1023" s="350" t="s">
        <v>1208</v>
      </c>
      <c r="H1023" s="350" t="s">
        <v>1164</v>
      </c>
      <c r="I1023" s="350" t="s">
        <v>393</v>
      </c>
      <c r="J1023" s="375">
        <f>90000+105000+105000+105000+105000</f>
        <v>510000</v>
      </c>
      <c r="K1023" s="350" t="s">
        <v>394</v>
      </c>
      <c r="L1023" s="354">
        <v>2802.3999950000002</v>
      </c>
      <c r="M1023" s="375">
        <f t="shared" si="43"/>
        <v>181.98686872321377</v>
      </c>
      <c r="N1023" s="354" t="s">
        <v>395</v>
      </c>
      <c r="O1023" s="354">
        <v>0</v>
      </c>
      <c r="P1023" s="355" t="s">
        <v>396</v>
      </c>
      <c r="Q1023" s="354" t="s">
        <v>397</v>
      </c>
      <c r="R1023" s="353">
        <v>0</v>
      </c>
      <c r="S1023" s="353">
        <v>0</v>
      </c>
      <c r="T1023" s="353">
        <v>0</v>
      </c>
      <c r="U1023" s="353">
        <v>0</v>
      </c>
      <c r="V1023" s="353">
        <v>0</v>
      </c>
      <c r="W1023" s="353">
        <v>0</v>
      </c>
    </row>
    <row r="1024" spans="1:23" x14ac:dyDescent="0.25">
      <c r="A1024" s="348" t="s">
        <v>1397</v>
      </c>
      <c r="B1024" s="349">
        <v>136</v>
      </c>
      <c r="C1024" s="350" t="s">
        <v>1330</v>
      </c>
      <c r="D1024" s="351">
        <v>45187</v>
      </c>
      <c r="E1024" s="352"/>
      <c r="F1024" s="352">
        <v>6</v>
      </c>
      <c r="G1024" s="350" t="s">
        <v>1208</v>
      </c>
      <c r="H1024" s="350" t="s">
        <v>1164</v>
      </c>
      <c r="I1024" s="350" t="s">
        <v>393</v>
      </c>
      <c r="J1024" s="375">
        <f>105000+105000+90000+105000+105000</f>
        <v>510000</v>
      </c>
      <c r="K1024" s="350" t="s">
        <v>394</v>
      </c>
      <c r="L1024" s="354">
        <v>2802.3999950000002</v>
      </c>
      <c r="M1024" s="375">
        <f t="shared" si="43"/>
        <v>181.98686872321377</v>
      </c>
      <c r="N1024" s="354" t="s">
        <v>395</v>
      </c>
      <c r="O1024" s="354">
        <v>0</v>
      </c>
      <c r="P1024" s="355" t="s">
        <v>396</v>
      </c>
      <c r="Q1024" s="354" t="s">
        <v>397</v>
      </c>
      <c r="R1024" s="353">
        <v>0</v>
      </c>
      <c r="S1024" s="353">
        <v>0</v>
      </c>
      <c r="T1024" s="353">
        <v>0</v>
      </c>
      <c r="U1024" s="353">
        <v>0</v>
      </c>
      <c r="V1024" s="353">
        <v>0</v>
      </c>
      <c r="W1024" s="353">
        <v>0</v>
      </c>
    </row>
    <row r="1025" spans="1:23" x14ac:dyDescent="0.25">
      <c r="A1025" s="348" t="s">
        <v>1397</v>
      </c>
      <c r="B1025" s="349">
        <v>137</v>
      </c>
      <c r="C1025" s="350" t="s">
        <v>1330</v>
      </c>
      <c r="D1025" s="351">
        <v>45187</v>
      </c>
      <c r="E1025" s="352"/>
      <c r="F1025" s="352">
        <v>6</v>
      </c>
      <c r="G1025" s="350" t="s">
        <v>1208</v>
      </c>
      <c r="H1025" s="350" t="s">
        <v>1164</v>
      </c>
      <c r="I1025" s="350" t="s">
        <v>393</v>
      </c>
      <c r="J1025" s="375">
        <f>105000+105000+105000+75000+60000</f>
        <v>450000</v>
      </c>
      <c r="K1025" s="350" t="s">
        <v>394</v>
      </c>
      <c r="L1025" s="354">
        <v>2802.3999950000002</v>
      </c>
      <c r="M1025" s="375">
        <f t="shared" si="43"/>
        <v>160.57664887342392</v>
      </c>
      <c r="N1025" s="354" t="s">
        <v>395</v>
      </c>
      <c r="O1025" s="354">
        <v>0</v>
      </c>
      <c r="P1025" s="355" t="s">
        <v>396</v>
      </c>
      <c r="Q1025" s="354" t="s">
        <v>397</v>
      </c>
      <c r="R1025" s="353">
        <v>0</v>
      </c>
      <c r="S1025" s="353">
        <v>0</v>
      </c>
      <c r="T1025" s="353">
        <v>0</v>
      </c>
      <c r="U1025" s="353">
        <v>0</v>
      </c>
      <c r="V1025" s="353">
        <v>0</v>
      </c>
      <c r="W1025" s="353">
        <v>0</v>
      </c>
    </row>
    <row r="1026" spans="1:23" x14ac:dyDescent="0.25">
      <c r="A1026" s="348" t="s">
        <v>1397</v>
      </c>
      <c r="B1026" s="349">
        <v>138</v>
      </c>
      <c r="C1026" s="350" t="s">
        <v>1330</v>
      </c>
      <c r="D1026" s="351">
        <v>45187</v>
      </c>
      <c r="E1026" s="352"/>
      <c r="F1026" s="352">
        <v>6</v>
      </c>
      <c r="G1026" s="350" t="s">
        <v>1208</v>
      </c>
      <c r="H1026" s="350" t="s">
        <v>1164</v>
      </c>
      <c r="I1026" s="350" t="s">
        <v>393</v>
      </c>
      <c r="J1026" s="375">
        <f>105000+105000+105000+105000+30000</f>
        <v>450000</v>
      </c>
      <c r="K1026" s="350" t="s">
        <v>394</v>
      </c>
      <c r="L1026" s="354">
        <v>2802.3999950000002</v>
      </c>
      <c r="M1026" s="375">
        <f t="shared" si="43"/>
        <v>160.57664887342392</v>
      </c>
      <c r="N1026" s="354" t="s">
        <v>395</v>
      </c>
      <c r="O1026" s="354">
        <v>0</v>
      </c>
      <c r="P1026" s="355" t="s">
        <v>396</v>
      </c>
      <c r="Q1026" s="354" t="s">
        <v>397</v>
      </c>
      <c r="R1026" s="353">
        <v>0</v>
      </c>
      <c r="S1026" s="353">
        <v>0</v>
      </c>
      <c r="T1026" s="353">
        <v>0</v>
      </c>
      <c r="U1026" s="353">
        <v>0</v>
      </c>
      <c r="V1026" s="353">
        <v>0</v>
      </c>
      <c r="W1026" s="353">
        <v>0</v>
      </c>
    </row>
    <row r="1027" spans="1:23" x14ac:dyDescent="0.25">
      <c r="A1027" s="348" t="s">
        <v>1397</v>
      </c>
      <c r="B1027" s="349">
        <v>139</v>
      </c>
      <c r="C1027" s="350" t="s">
        <v>1330</v>
      </c>
      <c r="D1027" s="351">
        <v>45187</v>
      </c>
      <c r="E1027" s="352"/>
      <c r="F1027" s="352">
        <v>6</v>
      </c>
      <c r="G1027" s="350" t="s">
        <v>1208</v>
      </c>
      <c r="H1027" s="350" t="s">
        <v>1164</v>
      </c>
      <c r="I1027" s="350" t="s">
        <v>393</v>
      </c>
      <c r="J1027" s="375">
        <f>105000+105000+105000+105000+30000</f>
        <v>450000</v>
      </c>
      <c r="K1027" s="350" t="s">
        <v>394</v>
      </c>
      <c r="L1027" s="354">
        <v>2802.3999950000002</v>
      </c>
      <c r="M1027" s="375">
        <f t="shared" si="43"/>
        <v>160.57664887342392</v>
      </c>
      <c r="N1027" s="354" t="s">
        <v>395</v>
      </c>
      <c r="O1027" s="354">
        <v>0</v>
      </c>
      <c r="P1027" s="355" t="s">
        <v>396</v>
      </c>
      <c r="Q1027" s="354" t="s">
        <v>397</v>
      </c>
      <c r="R1027" s="353">
        <v>0</v>
      </c>
      <c r="S1027" s="353">
        <v>0</v>
      </c>
      <c r="T1027" s="353">
        <v>0</v>
      </c>
      <c r="U1027" s="353">
        <v>0</v>
      </c>
      <c r="V1027" s="353">
        <v>0</v>
      </c>
      <c r="W1027" s="353">
        <v>0</v>
      </c>
    </row>
    <row r="1028" spans="1:23" x14ac:dyDescent="0.25">
      <c r="A1028" s="348" t="s">
        <v>1397</v>
      </c>
      <c r="B1028" s="349">
        <v>140</v>
      </c>
      <c r="C1028" s="350" t="s">
        <v>1330</v>
      </c>
      <c r="D1028" s="351">
        <v>45187</v>
      </c>
      <c r="E1028" s="352"/>
      <c r="F1028" s="352">
        <v>6</v>
      </c>
      <c r="G1028" s="350" t="s">
        <v>1208</v>
      </c>
      <c r="H1028" s="350" t="s">
        <v>1164</v>
      </c>
      <c r="I1028" s="350" t="s">
        <v>393</v>
      </c>
      <c r="J1028" s="375">
        <f>105000+105000+105000+105000+30000</f>
        <v>450000</v>
      </c>
      <c r="K1028" s="350" t="s">
        <v>394</v>
      </c>
      <c r="L1028" s="354">
        <v>2802.3999950000002</v>
      </c>
      <c r="M1028" s="375">
        <f t="shared" si="43"/>
        <v>160.57664887342392</v>
      </c>
      <c r="N1028" s="354" t="s">
        <v>395</v>
      </c>
      <c r="O1028" s="354">
        <v>0</v>
      </c>
      <c r="P1028" s="355" t="s">
        <v>396</v>
      </c>
      <c r="Q1028" s="354" t="s">
        <v>397</v>
      </c>
      <c r="R1028" s="353">
        <v>0</v>
      </c>
      <c r="S1028" s="353">
        <v>0</v>
      </c>
      <c r="T1028" s="353">
        <v>0</v>
      </c>
      <c r="U1028" s="353">
        <v>0</v>
      </c>
      <c r="V1028" s="353">
        <v>0</v>
      </c>
      <c r="W1028" s="353">
        <v>0</v>
      </c>
    </row>
    <row r="1029" spans="1:23" x14ac:dyDescent="0.25">
      <c r="A1029" s="348" t="s">
        <v>1397</v>
      </c>
      <c r="B1029" s="349">
        <v>141</v>
      </c>
      <c r="C1029" s="350" t="s">
        <v>1330</v>
      </c>
      <c r="D1029" s="351">
        <v>45187</v>
      </c>
      <c r="E1029" s="352"/>
      <c r="F1029" s="352">
        <v>6</v>
      </c>
      <c r="G1029" s="350" t="s">
        <v>1208</v>
      </c>
      <c r="H1029" s="350" t="s">
        <v>1398</v>
      </c>
      <c r="I1029" s="350" t="s">
        <v>393</v>
      </c>
      <c r="J1029" s="375">
        <f>352715+74757</f>
        <v>427472</v>
      </c>
      <c r="K1029" s="350" t="s">
        <v>394</v>
      </c>
      <c r="L1029" s="354">
        <v>2802.3999950000002</v>
      </c>
      <c r="M1029" s="375">
        <f t="shared" si="43"/>
        <v>152.53782499382282</v>
      </c>
      <c r="N1029" s="354" t="s">
        <v>395</v>
      </c>
      <c r="O1029" s="354">
        <v>0</v>
      </c>
      <c r="P1029" s="355" t="s">
        <v>396</v>
      </c>
      <c r="Q1029" s="354" t="s">
        <v>397</v>
      </c>
      <c r="R1029" s="353">
        <v>0</v>
      </c>
      <c r="S1029" s="353">
        <v>0</v>
      </c>
      <c r="T1029" s="353">
        <v>0</v>
      </c>
      <c r="U1029" s="353">
        <v>0</v>
      </c>
      <c r="V1029" s="353">
        <v>0</v>
      </c>
      <c r="W1029" s="353">
        <v>0</v>
      </c>
    </row>
    <row r="1030" spans="1:23" x14ac:dyDescent="0.25">
      <c r="A1030" s="348" t="s">
        <v>1397</v>
      </c>
      <c r="B1030" s="349">
        <v>142</v>
      </c>
      <c r="C1030" s="350" t="s">
        <v>1330</v>
      </c>
      <c r="D1030" s="351">
        <v>45187</v>
      </c>
      <c r="E1030" s="352"/>
      <c r="F1030" s="352">
        <v>6</v>
      </c>
      <c r="G1030" s="350" t="s">
        <v>1208</v>
      </c>
      <c r="H1030" s="350" t="s">
        <v>1399</v>
      </c>
      <c r="I1030" s="350" t="s">
        <v>393</v>
      </c>
      <c r="J1030" s="375">
        <f>240500+68552</f>
        <v>309052</v>
      </c>
      <c r="K1030" s="350" t="s">
        <v>394</v>
      </c>
      <c r="L1030" s="354">
        <v>2802.3999950000002</v>
      </c>
      <c r="M1030" s="375">
        <f t="shared" si="43"/>
        <v>110.28118775028759</v>
      </c>
      <c r="N1030" s="354" t="s">
        <v>395</v>
      </c>
      <c r="O1030" s="354">
        <v>0</v>
      </c>
      <c r="P1030" s="355" t="s">
        <v>396</v>
      </c>
      <c r="Q1030" s="354" t="s">
        <v>397</v>
      </c>
      <c r="R1030" s="353">
        <v>0</v>
      </c>
      <c r="S1030" s="353">
        <v>0</v>
      </c>
      <c r="T1030" s="353">
        <v>0</v>
      </c>
      <c r="U1030" s="353">
        <v>0</v>
      </c>
      <c r="V1030" s="353">
        <v>0</v>
      </c>
      <c r="W1030" s="353">
        <v>0</v>
      </c>
    </row>
    <row r="1031" spans="1:23" x14ac:dyDescent="0.25">
      <c r="A1031" s="348" t="s">
        <v>1397</v>
      </c>
      <c r="B1031" s="349">
        <v>143</v>
      </c>
      <c r="C1031" s="350" t="s">
        <v>1330</v>
      </c>
      <c r="D1031" s="351">
        <v>45187</v>
      </c>
      <c r="E1031" s="352"/>
      <c r="F1031" s="352">
        <v>6</v>
      </c>
      <c r="G1031" s="350" t="s">
        <v>1208</v>
      </c>
      <c r="H1031" s="350" t="s">
        <v>1400</v>
      </c>
      <c r="I1031" s="350" t="s">
        <v>393</v>
      </c>
      <c r="J1031" s="375">
        <f>240000+85500</f>
        <v>325500</v>
      </c>
      <c r="K1031" s="350" t="s">
        <v>394</v>
      </c>
      <c r="L1031" s="354">
        <v>2802.3999950000002</v>
      </c>
      <c r="M1031" s="375">
        <f t="shared" si="43"/>
        <v>116.15044268510998</v>
      </c>
      <c r="N1031" s="354" t="s">
        <v>395</v>
      </c>
      <c r="O1031" s="354">
        <v>0</v>
      </c>
      <c r="P1031" s="355" t="s">
        <v>396</v>
      </c>
      <c r="Q1031" s="354" t="s">
        <v>397</v>
      </c>
      <c r="R1031" s="353">
        <v>0</v>
      </c>
      <c r="S1031" s="353">
        <v>0</v>
      </c>
      <c r="T1031" s="353">
        <v>0</v>
      </c>
      <c r="U1031" s="353">
        <v>0</v>
      </c>
      <c r="V1031" s="353">
        <v>0</v>
      </c>
      <c r="W1031" s="353">
        <v>0</v>
      </c>
    </row>
    <row r="1032" spans="1:23" x14ac:dyDescent="0.25">
      <c r="A1032" s="348" t="s">
        <v>1397</v>
      </c>
      <c r="B1032" s="349">
        <v>144</v>
      </c>
      <c r="C1032" s="350" t="s">
        <v>1330</v>
      </c>
      <c r="D1032" s="351">
        <v>45187</v>
      </c>
      <c r="E1032" s="352"/>
      <c r="F1032" s="352">
        <v>6</v>
      </c>
      <c r="G1032" s="350" t="s">
        <v>1208</v>
      </c>
      <c r="H1032" s="350" t="s">
        <v>1401</v>
      </c>
      <c r="I1032" s="350" t="s">
        <v>393</v>
      </c>
      <c r="J1032" s="375">
        <f>346000+190485</f>
        <v>536485</v>
      </c>
      <c r="K1032" s="350" t="s">
        <v>394</v>
      </c>
      <c r="L1032" s="354">
        <v>2802.3999950000002</v>
      </c>
      <c r="M1032" s="375">
        <f t="shared" si="43"/>
        <v>191.43769660190853</v>
      </c>
      <c r="N1032" s="354" t="s">
        <v>395</v>
      </c>
      <c r="O1032" s="354">
        <v>0</v>
      </c>
      <c r="P1032" s="355" t="s">
        <v>396</v>
      </c>
      <c r="Q1032" s="354" t="s">
        <v>397</v>
      </c>
      <c r="R1032" s="353">
        <v>0</v>
      </c>
      <c r="S1032" s="353">
        <v>0</v>
      </c>
      <c r="T1032" s="353">
        <v>0</v>
      </c>
      <c r="U1032" s="353">
        <v>0</v>
      </c>
      <c r="V1032" s="353">
        <v>0</v>
      </c>
      <c r="W1032" s="353">
        <v>0</v>
      </c>
    </row>
    <row r="1033" spans="1:23" x14ac:dyDescent="0.25">
      <c r="A1033" s="348" t="s">
        <v>1402</v>
      </c>
      <c r="B1033" s="349">
        <v>145</v>
      </c>
      <c r="C1033" s="350" t="s">
        <v>1330</v>
      </c>
      <c r="D1033" s="351">
        <v>45196</v>
      </c>
      <c r="E1033" s="352"/>
      <c r="F1033" s="352">
        <v>6</v>
      </c>
      <c r="G1033" s="350" t="s">
        <v>1208</v>
      </c>
      <c r="H1033" s="350" t="s">
        <v>351</v>
      </c>
      <c r="I1033" s="350" t="s">
        <v>393</v>
      </c>
      <c r="J1033" s="375">
        <v>2160000</v>
      </c>
      <c r="K1033" s="350" t="s">
        <v>394</v>
      </c>
      <c r="L1033" s="354">
        <v>2802.3999950000002</v>
      </c>
      <c r="M1033" s="375">
        <f t="shared" si="43"/>
        <v>770.76791459243486</v>
      </c>
      <c r="N1033" s="354" t="s">
        <v>395</v>
      </c>
      <c r="O1033" s="354">
        <v>0</v>
      </c>
      <c r="P1033" s="355" t="s">
        <v>396</v>
      </c>
      <c r="Q1033" s="354" t="s">
        <v>397</v>
      </c>
      <c r="R1033" s="353">
        <v>0</v>
      </c>
      <c r="S1033" s="353">
        <v>0</v>
      </c>
      <c r="T1033" s="353">
        <v>0</v>
      </c>
      <c r="U1033" s="353">
        <v>0</v>
      </c>
      <c r="V1033" s="353">
        <v>0</v>
      </c>
      <c r="W1033" s="353">
        <v>0</v>
      </c>
    </row>
    <row r="1034" spans="1:23" x14ac:dyDescent="0.25">
      <c r="A1034" s="348" t="s">
        <v>1403</v>
      </c>
      <c r="B1034" s="349">
        <v>146</v>
      </c>
      <c r="C1034" s="350" t="s">
        <v>1330</v>
      </c>
      <c r="D1034" s="351">
        <v>45202</v>
      </c>
      <c r="E1034" s="352"/>
      <c r="F1034" s="352">
        <v>6</v>
      </c>
      <c r="G1034" s="350" t="s">
        <v>1208</v>
      </c>
      <c r="H1034" s="350" t="s">
        <v>1368</v>
      </c>
      <c r="I1034" s="350" t="s">
        <v>393</v>
      </c>
      <c r="J1034" s="375">
        <v>252000</v>
      </c>
      <c r="K1034" s="350" t="s">
        <v>394</v>
      </c>
      <c r="L1034" s="354">
        <v>2802.3999950000002</v>
      </c>
      <c r="M1034" s="375">
        <f t="shared" si="43"/>
        <v>89.922923369117399</v>
      </c>
      <c r="N1034" s="354" t="s">
        <v>395</v>
      </c>
      <c r="O1034" s="354">
        <v>0</v>
      </c>
      <c r="P1034" s="355" t="s">
        <v>396</v>
      </c>
      <c r="Q1034" s="354" t="s">
        <v>397</v>
      </c>
      <c r="R1034" s="353">
        <v>0</v>
      </c>
      <c r="S1034" s="353">
        <v>0</v>
      </c>
      <c r="T1034" s="353">
        <v>0</v>
      </c>
      <c r="U1034" s="353">
        <v>0</v>
      </c>
      <c r="V1034" s="353">
        <v>0</v>
      </c>
      <c r="W1034" s="353">
        <v>0</v>
      </c>
    </row>
    <row r="1035" spans="1:23" x14ac:dyDescent="0.25">
      <c r="A1035" s="348" t="s">
        <v>1403</v>
      </c>
      <c r="B1035" s="349">
        <v>146</v>
      </c>
      <c r="C1035" s="350" t="s">
        <v>1330</v>
      </c>
      <c r="D1035" s="351">
        <v>45202</v>
      </c>
      <c r="E1035" s="352"/>
      <c r="F1035" s="352">
        <v>6</v>
      </c>
      <c r="G1035" s="350" t="s">
        <v>1208</v>
      </c>
      <c r="H1035" s="350" t="s">
        <v>1225</v>
      </c>
      <c r="I1035" s="350" t="s">
        <v>393</v>
      </c>
      <c r="J1035" s="375">
        <v>125000</v>
      </c>
      <c r="K1035" s="350" t="s">
        <v>394</v>
      </c>
      <c r="L1035" s="354">
        <v>2802.3999950000002</v>
      </c>
      <c r="M1035" s="375">
        <f t="shared" si="43"/>
        <v>44.604624687062199</v>
      </c>
      <c r="N1035" s="354" t="s">
        <v>395</v>
      </c>
      <c r="O1035" s="354">
        <v>0</v>
      </c>
      <c r="P1035" s="355" t="s">
        <v>396</v>
      </c>
      <c r="Q1035" s="354" t="s">
        <v>397</v>
      </c>
      <c r="R1035" s="353">
        <v>0</v>
      </c>
      <c r="S1035" s="353">
        <v>0</v>
      </c>
      <c r="T1035" s="353">
        <v>0</v>
      </c>
      <c r="U1035" s="353">
        <v>0</v>
      </c>
      <c r="V1035" s="353">
        <v>0</v>
      </c>
      <c r="W1035" s="353">
        <v>0</v>
      </c>
    </row>
    <row r="1036" spans="1:23" x14ac:dyDescent="0.25">
      <c r="A1036" s="348" t="s">
        <v>1403</v>
      </c>
      <c r="B1036" s="349">
        <v>146</v>
      </c>
      <c r="C1036" s="350" t="s">
        <v>1330</v>
      </c>
      <c r="D1036" s="351">
        <v>45202</v>
      </c>
      <c r="E1036" s="352"/>
      <c r="F1036" s="352">
        <v>6</v>
      </c>
      <c r="G1036" s="350" t="s">
        <v>1208</v>
      </c>
      <c r="H1036" s="350" t="s">
        <v>1227</v>
      </c>
      <c r="I1036" s="350" t="s">
        <v>393</v>
      </c>
      <c r="J1036" s="375">
        <v>24500</v>
      </c>
      <c r="K1036" s="350" t="s">
        <v>394</v>
      </c>
      <c r="L1036" s="354">
        <v>2802.3999950000002</v>
      </c>
      <c r="M1036" s="375">
        <f t="shared" si="43"/>
        <v>8.7425064386641917</v>
      </c>
      <c r="N1036" s="354" t="s">
        <v>395</v>
      </c>
      <c r="O1036" s="354">
        <v>0</v>
      </c>
      <c r="P1036" s="355" t="s">
        <v>396</v>
      </c>
      <c r="Q1036" s="354" t="s">
        <v>397</v>
      </c>
      <c r="R1036" s="353">
        <v>0</v>
      </c>
      <c r="S1036" s="353">
        <v>0</v>
      </c>
      <c r="T1036" s="353">
        <v>0</v>
      </c>
      <c r="U1036" s="353">
        <v>0</v>
      </c>
      <c r="V1036" s="353">
        <v>0</v>
      </c>
      <c r="W1036" s="353">
        <v>0</v>
      </c>
    </row>
    <row r="1037" spans="1:23" x14ac:dyDescent="0.25">
      <c r="A1037" s="348" t="s">
        <v>1403</v>
      </c>
      <c r="B1037" s="349">
        <v>146</v>
      </c>
      <c r="C1037" s="350" t="s">
        <v>1330</v>
      </c>
      <c r="D1037" s="351">
        <v>45202</v>
      </c>
      <c r="E1037" s="352"/>
      <c r="F1037" s="352">
        <v>6</v>
      </c>
      <c r="G1037" s="350" t="s">
        <v>1208</v>
      </c>
      <c r="H1037" s="350" t="s">
        <v>1226</v>
      </c>
      <c r="I1037" s="350" t="s">
        <v>393</v>
      </c>
      <c r="J1037" s="375">
        <v>35000</v>
      </c>
      <c r="K1037" s="350" t="s">
        <v>394</v>
      </c>
      <c r="L1037" s="354">
        <v>2802.3999950000002</v>
      </c>
      <c r="M1037" s="375">
        <f t="shared" si="43"/>
        <v>12.489294912377417</v>
      </c>
      <c r="N1037" s="354" t="s">
        <v>395</v>
      </c>
      <c r="O1037" s="354">
        <v>0</v>
      </c>
      <c r="P1037" s="355" t="s">
        <v>396</v>
      </c>
      <c r="Q1037" s="354" t="s">
        <v>397</v>
      </c>
      <c r="R1037" s="353">
        <v>0</v>
      </c>
      <c r="S1037" s="353">
        <v>0</v>
      </c>
      <c r="T1037" s="353">
        <v>0</v>
      </c>
      <c r="U1037" s="353">
        <v>0</v>
      </c>
      <c r="V1037" s="353">
        <v>0</v>
      </c>
      <c r="W1037" s="353">
        <v>0</v>
      </c>
    </row>
    <row r="1038" spans="1:23" x14ac:dyDescent="0.25">
      <c r="A1038" s="348" t="s">
        <v>1403</v>
      </c>
      <c r="B1038" s="349">
        <v>146</v>
      </c>
      <c r="C1038" s="350" t="s">
        <v>1330</v>
      </c>
      <c r="D1038" s="351">
        <v>45202</v>
      </c>
      <c r="E1038" s="352"/>
      <c r="F1038" s="352">
        <v>6</v>
      </c>
      <c r="G1038" s="350" t="s">
        <v>1208</v>
      </c>
      <c r="H1038" s="350" t="s">
        <v>1369</v>
      </c>
      <c r="I1038" s="350" t="s">
        <v>393</v>
      </c>
      <c r="J1038" s="375">
        <v>77000</v>
      </c>
      <c r="K1038" s="350" t="s">
        <v>394</v>
      </c>
      <c r="L1038" s="354">
        <v>2802.3999950000002</v>
      </c>
      <c r="M1038" s="375">
        <f t="shared" si="43"/>
        <v>27.476448807230316</v>
      </c>
      <c r="N1038" s="354" t="s">
        <v>395</v>
      </c>
      <c r="O1038" s="354">
        <v>0</v>
      </c>
      <c r="P1038" s="355" t="s">
        <v>396</v>
      </c>
      <c r="Q1038" s="354" t="s">
        <v>397</v>
      </c>
      <c r="R1038" s="353">
        <v>0</v>
      </c>
      <c r="S1038" s="353">
        <v>0</v>
      </c>
      <c r="T1038" s="353">
        <v>0</v>
      </c>
      <c r="U1038" s="353">
        <v>0</v>
      </c>
      <c r="V1038" s="353">
        <v>0</v>
      </c>
      <c r="W1038" s="353">
        <v>0</v>
      </c>
    </row>
    <row r="1039" spans="1:23" x14ac:dyDescent="0.25">
      <c r="A1039" s="348" t="s">
        <v>1403</v>
      </c>
      <c r="B1039" s="349">
        <v>146</v>
      </c>
      <c r="C1039" s="350" t="s">
        <v>1330</v>
      </c>
      <c r="D1039" s="351">
        <v>45202</v>
      </c>
      <c r="E1039" s="352"/>
      <c r="F1039" s="352">
        <v>6</v>
      </c>
      <c r="G1039" s="350" t="s">
        <v>1208</v>
      </c>
      <c r="H1039" s="350" t="s">
        <v>1229</v>
      </c>
      <c r="I1039" s="350" t="s">
        <v>393</v>
      </c>
      <c r="J1039" s="375">
        <v>22000</v>
      </c>
      <c r="K1039" s="350" t="s">
        <v>394</v>
      </c>
      <c r="L1039" s="354">
        <v>2802.3999950000002</v>
      </c>
      <c r="M1039" s="375">
        <f t="shared" si="43"/>
        <v>7.8504139449229475</v>
      </c>
      <c r="N1039" s="354" t="s">
        <v>395</v>
      </c>
      <c r="O1039" s="354">
        <v>0</v>
      </c>
      <c r="P1039" s="355" t="s">
        <v>396</v>
      </c>
      <c r="Q1039" s="354" t="s">
        <v>397</v>
      </c>
      <c r="R1039" s="353">
        <v>0</v>
      </c>
      <c r="S1039" s="353">
        <v>0</v>
      </c>
      <c r="T1039" s="353">
        <v>0</v>
      </c>
      <c r="U1039" s="353">
        <v>0</v>
      </c>
      <c r="V1039" s="353">
        <v>0</v>
      </c>
      <c r="W1039" s="353">
        <v>0</v>
      </c>
    </row>
    <row r="1040" spans="1:23" x14ac:dyDescent="0.25">
      <c r="A1040" s="348" t="s">
        <v>1404</v>
      </c>
      <c r="B1040" s="349">
        <v>147</v>
      </c>
      <c r="C1040" s="350" t="s">
        <v>1330</v>
      </c>
      <c r="D1040" s="351">
        <v>45202</v>
      </c>
      <c r="E1040" s="352"/>
      <c r="F1040" s="352">
        <v>6</v>
      </c>
      <c r="G1040" s="350" t="s">
        <v>1208</v>
      </c>
      <c r="H1040" s="350" t="s">
        <v>1388</v>
      </c>
      <c r="I1040" s="350" t="s">
        <v>393</v>
      </c>
      <c r="J1040" s="375">
        <v>5400000</v>
      </c>
      <c r="K1040" s="350" t="s">
        <v>394</v>
      </c>
      <c r="L1040" s="354">
        <v>2802.3999950000002</v>
      </c>
      <c r="M1040" s="375">
        <f t="shared" si="43"/>
        <v>1926.9197864810872</v>
      </c>
      <c r="N1040" s="354" t="s">
        <v>395</v>
      </c>
      <c r="O1040" s="354">
        <v>0</v>
      </c>
      <c r="P1040" s="355" t="s">
        <v>396</v>
      </c>
      <c r="Q1040" s="354" t="s">
        <v>397</v>
      </c>
      <c r="R1040" s="353">
        <v>0</v>
      </c>
      <c r="S1040" s="353">
        <v>0</v>
      </c>
      <c r="T1040" s="353">
        <v>0</v>
      </c>
      <c r="U1040" s="353">
        <v>0</v>
      </c>
      <c r="V1040" s="353">
        <v>0</v>
      </c>
      <c r="W1040" s="353">
        <v>0</v>
      </c>
    </row>
    <row r="1041" spans="1:23" x14ac:dyDescent="0.25">
      <c r="A1041" s="348" t="s">
        <v>1405</v>
      </c>
      <c r="B1041" s="349">
        <v>148</v>
      </c>
      <c r="C1041" s="350" t="s">
        <v>1330</v>
      </c>
      <c r="D1041" s="351">
        <v>45198</v>
      </c>
      <c r="E1041" s="352"/>
      <c r="F1041" s="352">
        <v>6</v>
      </c>
      <c r="G1041" s="350" t="s">
        <v>1208</v>
      </c>
      <c r="H1041" s="350" t="s">
        <v>1395</v>
      </c>
      <c r="I1041" s="350" t="s">
        <v>393</v>
      </c>
      <c r="J1041" s="375">
        <v>8580000</v>
      </c>
      <c r="K1041" s="350" t="s">
        <v>394</v>
      </c>
      <c r="L1041" s="354">
        <v>2802.3999950000002</v>
      </c>
      <c r="M1041" s="375">
        <f t="shared" si="43"/>
        <v>3061.6614385199496</v>
      </c>
      <c r="N1041" s="354" t="s">
        <v>395</v>
      </c>
      <c r="O1041" s="354">
        <v>0</v>
      </c>
      <c r="P1041" s="355" t="s">
        <v>396</v>
      </c>
      <c r="Q1041" s="354" t="s">
        <v>397</v>
      </c>
      <c r="R1041" s="353">
        <v>0</v>
      </c>
      <c r="S1041" s="353">
        <v>0</v>
      </c>
      <c r="T1041" s="353">
        <v>0</v>
      </c>
      <c r="U1041" s="353">
        <v>0</v>
      </c>
      <c r="V1041" s="353">
        <v>0</v>
      </c>
      <c r="W1041" s="353">
        <v>0</v>
      </c>
    </row>
    <row r="1042" spans="1:23" ht="16.149999999999999" customHeight="1" x14ac:dyDescent="0.25">
      <c r="A1042" s="348" t="s">
        <v>1269</v>
      </c>
      <c r="B1042" s="349">
        <v>32</v>
      </c>
      <c r="C1042" s="380" t="s">
        <v>1063</v>
      </c>
      <c r="D1042" s="351">
        <v>45133</v>
      </c>
      <c r="E1042" s="352">
        <v>6176</v>
      </c>
      <c r="F1042" s="352">
        <v>6</v>
      </c>
      <c r="G1042" s="353" t="s">
        <v>1270</v>
      </c>
      <c r="H1042" s="432" t="s">
        <v>1271</v>
      </c>
      <c r="I1042" s="350" t="s">
        <v>393</v>
      </c>
      <c r="J1042" s="560">
        <v>3570000</v>
      </c>
      <c r="K1042" s="350" t="s">
        <v>394</v>
      </c>
      <c r="L1042" s="353">
        <v>2801.6</v>
      </c>
      <c r="M1042" s="433">
        <f t="shared" si="43"/>
        <v>1274.2718446601941</v>
      </c>
      <c r="N1042" s="354" t="s">
        <v>395</v>
      </c>
      <c r="O1042" s="354">
        <v>0</v>
      </c>
      <c r="P1042" s="355" t="s">
        <v>396</v>
      </c>
      <c r="Q1042" s="354" t="s">
        <v>345</v>
      </c>
      <c r="R1042" s="355">
        <v>0</v>
      </c>
      <c r="S1042" s="355">
        <v>0</v>
      </c>
      <c r="T1042" s="355">
        <v>0</v>
      </c>
      <c r="U1042" s="355">
        <v>0</v>
      </c>
      <c r="V1042" s="355">
        <v>0</v>
      </c>
      <c r="W1042" s="355">
        <v>0</v>
      </c>
    </row>
    <row r="1043" spans="1:23" x14ac:dyDescent="0.25">
      <c r="A1043" s="348" t="s">
        <v>1272</v>
      </c>
      <c r="B1043" s="349">
        <v>28</v>
      </c>
      <c r="C1043" s="380" t="s">
        <v>1063</v>
      </c>
      <c r="D1043" s="351">
        <v>45133</v>
      </c>
      <c r="E1043" s="352">
        <v>6345</v>
      </c>
      <c r="F1043" s="352">
        <v>6</v>
      </c>
      <c r="G1043" s="353" t="s">
        <v>1270</v>
      </c>
      <c r="H1043" s="432" t="s">
        <v>1273</v>
      </c>
      <c r="I1043" s="350" t="s">
        <v>393</v>
      </c>
      <c r="J1043" s="560">
        <v>8425000</v>
      </c>
      <c r="K1043" s="350" t="s">
        <v>394</v>
      </c>
      <c r="L1043" s="353">
        <v>2801.6</v>
      </c>
      <c r="M1043" s="433">
        <f t="shared" si="43"/>
        <v>3007.210165619646</v>
      </c>
      <c r="N1043" s="354" t="s">
        <v>395</v>
      </c>
      <c r="O1043" s="354">
        <v>0</v>
      </c>
      <c r="P1043" s="355" t="s">
        <v>396</v>
      </c>
      <c r="Q1043" s="354" t="s">
        <v>345</v>
      </c>
      <c r="R1043" s="355">
        <v>0</v>
      </c>
      <c r="S1043" s="355">
        <v>0</v>
      </c>
      <c r="T1043" s="355">
        <v>0</v>
      </c>
      <c r="U1043" s="355">
        <v>0</v>
      </c>
      <c r="V1043" s="355">
        <v>0</v>
      </c>
      <c r="W1043" s="355">
        <v>0</v>
      </c>
    </row>
    <row r="1044" spans="1:23" x14ac:dyDescent="0.25">
      <c r="A1044" s="348" t="s">
        <v>1274</v>
      </c>
      <c r="B1044" s="349">
        <v>27</v>
      </c>
      <c r="C1044" s="380" t="s">
        <v>1063</v>
      </c>
      <c r="D1044" s="351">
        <v>45133</v>
      </c>
      <c r="E1044" s="352">
        <v>6345</v>
      </c>
      <c r="F1044" s="352">
        <v>6</v>
      </c>
      <c r="G1044" s="353" t="s">
        <v>1270</v>
      </c>
      <c r="H1044" s="432" t="s">
        <v>1275</v>
      </c>
      <c r="I1044" s="350" t="s">
        <v>393</v>
      </c>
      <c r="J1044" s="560">
        <v>53000</v>
      </c>
      <c r="K1044" s="350" t="s">
        <v>394</v>
      </c>
      <c r="L1044" s="353">
        <v>2801.6</v>
      </c>
      <c r="M1044" s="433">
        <f t="shared" si="43"/>
        <v>18.917761279268991</v>
      </c>
      <c r="N1044" s="354" t="s">
        <v>395</v>
      </c>
      <c r="O1044" s="354">
        <v>0</v>
      </c>
      <c r="P1044" s="355" t="s">
        <v>396</v>
      </c>
      <c r="Q1044" s="354" t="s">
        <v>345</v>
      </c>
      <c r="R1044" s="355">
        <v>0</v>
      </c>
      <c r="S1044" s="355">
        <v>0</v>
      </c>
      <c r="T1044" s="355">
        <v>0</v>
      </c>
      <c r="U1044" s="355">
        <v>0</v>
      </c>
      <c r="V1044" s="355">
        <v>0</v>
      </c>
      <c r="W1044" s="355">
        <v>0</v>
      </c>
    </row>
    <row r="1045" spans="1:23" x14ac:dyDescent="0.25">
      <c r="A1045" s="348" t="s">
        <v>1276</v>
      </c>
      <c r="B1045" s="349">
        <v>29</v>
      </c>
      <c r="C1045" s="380" t="s">
        <v>1063</v>
      </c>
      <c r="D1045" s="351">
        <v>45133</v>
      </c>
      <c r="E1045" s="352">
        <v>6345</v>
      </c>
      <c r="F1045" s="352">
        <v>6</v>
      </c>
      <c r="G1045" s="353" t="s">
        <v>1270</v>
      </c>
      <c r="H1045" s="432" t="s">
        <v>1277</v>
      </c>
      <c r="I1045" s="350" t="s">
        <v>393</v>
      </c>
      <c r="J1045" s="560">
        <v>560000</v>
      </c>
      <c r="K1045" s="350" t="s">
        <v>394</v>
      </c>
      <c r="L1045" s="353">
        <v>2801.6</v>
      </c>
      <c r="M1045" s="433">
        <f t="shared" ref="M1045:M1053" si="44">J1045/L1045</f>
        <v>199.88577955454028</v>
      </c>
      <c r="N1045" s="354" t="s">
        <v>395</v>
      </c>
      <c r="O1045" s="354">
        <v>0</v>
      </c>
      <c r="P1045" s="355" t="s">
        <v>396</v>
      </c>
      <c r="Q1045" s="354" t="s">
        <v>345</v>
      </c>
      <c r="R1045" s="355">
        <v>0</v>
      </c>
      <c r="S1045" s="355">
        <v>0</v>
      </c>
      <c r="T1045" s="355">
        <v>0</v>
      </c>
      <c r="U1045" s="355">
        <v>0</v>
      </c>
      <c r="V1045" s="355">
        <v>0</v>
      </c>
      <c r="W1045" s="355">
        <v>0</v>
      </c>
    </row>
    <row r="1046" spans="1:23" x14ac:dyDescent="0.25">
      <c r="A1046" s="348" t="s">
        <v>1278</v>
      </c>
      <c r="B1046" s="349">
        <v>30</v>
      </c>
      <c r="C1046" s="380" t="s">
        <v>1063</v>
      </c>
      <c r="D1046" s="351">
        <v>45138</v>
      </c>
      <c r="E1046" s="352">
        <v>6345</v>
      </c>
      <c r="F1046" s="352">
        <v>6</v>
      </c>
      <c r="G1046" s="353" t="s">
        <v>1270</v>
      </c>
      <c r="H1046" s="432" t="s">
        <v>1279</v>
      </c>
      <c r="I1046" s="350" t="s">
        <v>393</v>
      </c>
      <c r="J1046" s="560">
        <v>451000</v>
      </c>
      <c r="K1046" s="350" t="s">
        <v>394</v>
      </c>
      <c r="L1046" s="353">
        <v>2801.6</v>
      </c>
      <c r="M1046" s="433">
        <f t="shared" si="44"/>
        <v>160.97944031981726</v>
      </c>
      <c r="N1046" s="354" t="s">
        <v>395</v>
      </c>
      <c r="O1046" s="354">
        <v>0</v>
      </c>
      <c r="P1046" s="355" t="s">
        <v>396</v>
      </c>
      <c r="Q1046" s="354" t="s">
        <v>345</v>
      </c>
      <c r="R1046" s="355">
        <v>0</v>
      </c>
      <c r="S1046" s="355">
        <v>0</v>
      </c>
      <c r="T1046" s="355">
        <v>0</v>
      </c>
      <c r="U1046" s="355">
        <v>0</v>
      </c>
      <c r="V1046" s="355">
        <v>0</v>
      </c>
      <c r="W1046" s="355">
        <v>0</v>
      </c>
    </row>
    <row r="1047" spans="1:23" x14ac:dyDescent="0.25">
      <c r="A1047" s="348" t="s">
        <v>1280</v>
      </c>
      <c r="B1047" s="349">
        <v>34</v>
      </c>
      <c r="C1047" s="380" t="s">
        <v>1063</v>
      </c>
      <c r="D1047" s="351">
        <v>45138</v>
      </c>
      <c r="E1047" s="352">
        <v>6345</v>
      </c>
      <c r="F1047" s="352">
        <v>6</v>
      </c>
      <c r="G1047" s="353" t="s">
        <v>1270</v>
      </c>
      <c r="H1047" s="432" t="s">
        <v>1279</v>
      </c>
      <c r="I1047" s="350" t="s">
        <v>393</v>
      </c>
      <c r="J1047" s="560">
        <v>396000</v>
      </c>
      <c r="K1047" s="350" t="s">
        <v>394</v>
      </c>
      <c r="L1047" s="353">
        <v>2801.6</v>
      </c>
      <c r="M1047" s="433">
        <f t="shared" si="44"/>
        <v>141.3478012564249</v>
      </c>
      <c r="N1047" s="354" t="s">
        <v>395</v>
      </c>
      <c r="O1047" s="354">
        <v>0</v>
      </c>
      <c r="P1047" s="355" t="s">
        <v>396</v>
      </c>
      <c r="Q1047" s="354" t="s">
        <v>345</v>
      </c>
      <c r="R1047" s="355">
        <v>0</v>
      </c>
      <c r="S1047" s="355">
        <v>0</v>
      </c>
      <c r="T1047" s="355">
        <v>0</v>
      </c>
      <c r="U1047" s="355">
        <v>0</v>
      </c>
      <c r="V1047" s="355">
        <v>0</v>
      </c>
      <c r="W1047" s="355">
        <v>0</v>
      </c>
    </row>
    <row r="1048" spans="1:23" x14ac:dyDescent="0.25">
      <c r="A1048" s="348" t="s">
        <v>1281</v>
      </c>
      <c r="B1048" s="349">
        <v>31</v>
      </c>
      <c r="C1048" s="380" t="s">
        <v>1063</v>
      </c>
      <c r="D1048" s="351">
        <v>45138</v>
      </c>
      <c r="E1048" s="352">
        <v>6345</v>
      </c>
      <c r="F1048" s="352">
        <v>6</v>
      </c>
      <c r="G1048" s="353" t="s">
        <v>1270</v>
      </c>
      <c r="H1048" s="432" t="s">
        <v>1282</v>
      </c>
      <c r="I1048" s="350" t="s">
        <v>393</v>
      </c>
      <c r="J1048" s="560">
        <v>354000</v>
      </c>
      <c r="K1048" s="350" t="s">
        <v>394</v>
      </c>
      <c r="L1048" s="353">
        <v>2801.6</v>
      </c>
      <c r="M1048" s="433">
        <f t="shared" si="44"/>
        <v>126.35636778983438</v>
      </c>
      <c r="N1048" s="354" t="s">
        <v>395</v>
      </c>
      <c r="O1048" s="354">
        <v>0</v>
      </c>
      <c r="P1048" s="355" t="s">
        <v>396</v>
      </c>
      <c r="Q1048" s="354" t="s">
        <v>345</v>
      </c>
      <c r="R1048" s="355">
        <v>0</v>
      </c>
      <c r="S1048" s="355">
        <v>0</v>
      </c>
      <c r="T1048" s="355">
        <v>0</v>
      </c>
      <c r="U1048" s="355">
        <v>0</v>
      </c>
      <c r="V1048" s="355">
        <v>0</v>
      </c>
      <c r="W1048" s="355">
        <v>0</v>
      </c>
    </row>
    <row r="1049" spans="1:23" x14ac:dyDescent="0.25">
      <c r="A1049" s="348" t="s">
        <v>1283</v>
      </c>
      <c r="B1049" s="349">
        <v>68</v>
      </c>
      <c r="C1049" s="350" t="s">
        <v>1137</v>
      </c>
      <c r="D1049" s="427" t="s">
        <v>1268</v>
      </c>
      <c r="E1049" s="352">
        <v>6345</v>
      </c>
      <c r="F1049" s="352">
        <v>6</v>
      </c>
      <c r="G1049" s="351" t="s">
        <v>1270</v>
      </c>
      <c r="H1049" s="350" t="s">
        <v>1424</v>
      </c>
      <c r="I1049" s="350" t="s">
        <v>393</v>
      </c>
      <c r="J1049" s="560">
        <v>3000000</v>
      </c>
      <c r="K1049" s="350" t="s">
        <v>394</v>
      </c>
      <c r="L1049" s="353">
        <v>2801.6</v>
      </c>
      <c r="M1049" s="433">
        <f t="shared" si="44"/>
        <v>1070.8166761850371</v>
      </c>
      <c r="N1049" s="354" t="s">
        <v>395</v>
      </c>
      <c r="O1049" s="354">
        <v>0</v>
      </c>
      <c r="P1049" s="355" t="s">
        <v>396</v>
      </c>
      <c r="Q1049" s="354" t="s">
        <v>345</v>
      </c>
      <c r="R1049" s="355">
        <v>0</v>
      </c>
      <c r="S1049" s="355">
        <v>0</v>
      </c>
      <c r="T1049" s="355">
        <v>0</v>
      </c>
      <c r="U1049" s="355">
        <v>0</v>
      </c>
      <c r="V1049" s="355">
        <v>0</v>
      </c>
      <c r="W1049" s="355">
        <v>0</v>
      </c>
    </row>
    <row r="1050" spans="1:23" x14ac:dyDescent="0.25">
      <c r="A1050" s="348" t="s">
        <v>1283</v>
      </c>
      <c r="B1050" s="349">
        <v>68</v>
      </c>
      <c r="C1050" s="350" t="s">
        <v>1137</v>
      </c>
      <c r="D1050" s="427" t="s">
        <v>1268</v>
      </c>
      <c r="E1050" s="352">
        <v>6345</v>
      </c>
      <c r="F1050" s="352">
        <v>6</v>
      </c>
      <c r="G1050" s="351" t="s">
        <v>1270</v>
      </c>
      <c r="H1050" s="350" t="s">
        <v>1425</v>
      </c>
      <c r="I1050" s="350" t="s">
        <v>393</v>
      </c>
      <c r="J1050" s="560">
        <v>2124000</v>
      </c>
      <c r="K1050" s="350" t="s">
        <v>394</v>
      </c>
      <c r="L1050" s="353">
        <v>2801.6</v>
      </c>
      <c r="M1050" s="433">
        <f t="shared" si="44"/>
        <v>758.13820673900625</v>
      </c>
      <c r="N1050" s="354" t="s">
        <v>395</v>
      </c>
      <c r="O1050" s="354">
        <v>0</v>
      </c>
      <c r="P1050" s="355" t="s">
        <v>396</v>
      </c>
      <c r="Q1050" s="354" t="s">
        <v>345</v>
      </c>
      <c r="R1050" s="355">
        <v>0</v>
      </c>
      <c r="S1050" s="355">
        <v>0</v>
      </c>
      <c r="T1050" s="355">
        <v>0</v>
      </c>
      <c r="U1050" s="355">
        <v>0</v>
      </c>
      <c r="V1050" s="355">
        <v>0</v>
      </c>
      <c r="W1050" s="355">
        <v>0</v>
      </c>
    </row>
    <row r="1051" spans="1:23" x14ac:dyDescent="0.25">
      <c r="A1051" s="348" t="s">
        <v>1283</v>
      </c>
      <c r="B1051" s="349">
        <v>68</v>
      </c>
      <c r="C1051" s="350" t="s">
        <v>1137</v>
      </c>
      <c r="D1051" s="427" t="s">
        <v>1268</v>
      </c>
      <c r="E1051" s="352">
        <v>6345</v>
      </c>
      <c r="F1051" s="352">
        <v>6</v>
      </c>
      <c r="G1051" s="351" t="s">
        <v>1270</v>
      </c>
      <c r="H1051" s="350" t="s">
        <v>1426</v>
      </c>
      <c r="I1051" s="350" t="s">
        <v>393</v>
      </c>
      <c r="J1051" s="560">
        <v>2000000</v>
      </c>
      <c r="K1051" s="350" t="s">
        <v>394</v>
      </c>
      <c r="L1051" s="353">
        <v>2801.6</v>
      </c>
      <c r="M1051" s="433">
        <f t="shared" si="44"/>
        <v>713.87778412335808</v>
      </c>
      <c r="N1051" s="354" t="s">
        <v>395</v>
      </c>
      <c r="O1051" s="354">
        <v>0</v>
      </c>
      <c r="P1051" s="355" t="s">
        <v>396</v>
      </c>
      <c r="Q1051" s="354" t="s">
        <v>345</v>
      </c>
      <c r="R1051" s="355">
        <v>0</v>
      </c>
      <c r="S1051" s="355">
        <v>0</v>
      </c>
      <c r="T1051" s="355">
        <v>0</v>
      </c>
      <c r="U1051" s="355">
        <v>0</v>
      </c>
      <c r="V1051" s="355">
        <v>0</v>
      </c>
      <c r="W1051" s="355">
        <v>0</v>
      </c>
    </row>
    <row r="1052" spans="1:23" x14ac:dyDescent="0.25">
      <c r="A1052" s="348" t="s">
        <v>1283</v>
      </c>
      <c r="B1052" s="349">
        <v>68</v>
      </c>
      <c r="C1052" s="350" t="s">
        <v>1137</v>
      </c>
      <c r="D1052" s="427" t="s">
        <v>1268</v>
      </c>
      <c r="E1052" s="352">
        <v>6345</v>
      </c>
      <c r="F1052" s="352">
        <v>6</v>
      </c>
      <c r="G1052" s="351" t="s">
        <v>1270</v>
      </c>
      <c r="H1052" s="350" t="s">
        <v>1427</v>
      </c>
      <c r="I1052" s="350" t="s">
        <v>393</v>
      </c>
      <c r="J1052" s="560">
        <v>590000</v>
      </c>
      <c r="K1052" s="350" t="s">
        <v>394</v>
      </c>
      <c r="L1052" s="353">
        <v>2801.6</v>
      </c>
      <c r="M1052" s="433">
        <f t="shared" si="44"/>
        <v>210.59394631639063</v>
      </c>
      <c r="N1052" s="354" t="s">
        <v>395</v>
      </c>
      <c r="O1052" s="354">
        <v>0</v>
      </c>
      <c r="P1052" s="355" t="s">
        <v>396</v>
      </c>
      <c r="Q1052" s="354" t="s">
        <v>345</v>
      </c>
      <c r="R1052" s="355">
        <v>0</v>
      </c>
      <c r="S1052" s="355">
        <v>0</v>
      </c>
      <c r="T1052" s="355">
        <v>0</v>
      </c>
      <c r="U1052" s="355">
        <v>0</v>
      </c>
      <c r="V1052" s="355">
        <v>0</v>
      </c>
      <c r="W1052" s="355">
        <v>0</v>
      </c>
    </row>
    <row r="1053" spans="1:23" x14ac:dyDescent="0.25">
      <c r="A1053" s="348" t="s">
        <v>1284</v>
      </c>
      <c r="B1053" s="349">
        <v>86</v>
      </c>
      <c r="C1053" s="350" t="s">
        <v>1137</v>
      </c>
      <c r="D1053" s="427" t="s">
        <v>1266</v>
      </c>
      <c r="E1053" s="352">
        <v>6345</v>
      </c>
      <c r="F1053" s="352">
        <v>6</v>
      </c>
      <c r="G1053" s="351" t="s">
        <v>1270</v>
      </c>
      <c r="H1053" s="350" t="s">
        <v>1285</v>
      </c>
      <c r="I1053" s="350" t="s">
        <v>393</v>
      </c>
      <c r="J1053" s="560">
        <v>150000</v>
      </c>
      <c r="K1053" s="350" t="s">
        <v>394</v>
      </c>
      <c r="L1053" s="353">
        <v>2801.6</v>
      </c>
      <c r="M1053" s="433">
        <f t="shared" si="44"/>
        <v>53.540833809251858</v>
      </c>
      <c r="N1053" s="354" t="s">
        <v>395</v>
      </c>
      <c r="O1053" s="354">
        <v>0</v>
      </c>
      <c r="P1053" s="355" t="s">
        <v>396</v>
      </c>
      <c r="Q1053" s="354" t="s">
        <v>345</v>
      </c>
      <c r="R1053" s="355">
        <v>0</v>
      </c>
      <c r="S1053" s="355">
        <v>0</v>
      </c>
      <c r="T1053" s="355">
        <v>0</v>
      </c>
      <c r="U1053" s="355">
        <v>0</v>
      </c>
      <c r="V1053" s="355">
        <v>0</v>
      </c>
      <c r="W1053" s="355">
        <v>0</v>
      </c>
    </row>
    <row r="1054" spans="1:23" x14ac:dyDescent="0.25">
      <c r="A1054" s="348" t="s">
        <v>1406</v>
      </c>
      <c r="B1054" s="349">
        <v>55</v>
      </c>
      <c r="C1054" s="350" t="s">
        <v>1287</v>
      </c>
      <c r="D1054" s="351">
        <v>45138</v>
      </c>
      <c r="E1054" s="352"/>
      <c r="F1054" s="352">
        <v>6</v>
      </c>
      <c r="G1054" s="581" t="s">
        <v>1270</v>
      </c>
      <c r="H1054" s="350" t="s">
        <v>1164</v>
      </c>
      <c r="I1054" s="350" t="s">
        <v>393</v>
      </c>
      <c r="J1054" s="375">
        <v>220000</v>
      </c>
      <c r="K1054" s="350" t="s">
        <v>394</v>
      </c>
      <c r="L1054" s="354">
        <v>2802.3999950000002</v>
      </c>
      <c r="M1054" s="375">
        <f>J1054/L1054</f>
        <v>78.50413944922947</v>
      </c>
      <c r="N1054" s="354" t="s">
        <v>395</v>
      </c>
      <c r="O1054" s="354">
        <v>0</v>
      </c>
      <c r="P1054" s="355" t="s">
        <v>396</v>
      </c>
      <c r="Q1054" s="354" t="s">
        <v>397</v>
      </c>
      <c r="R1054" s="355">
        <v>0</v>
      </c>
      <c r="S1054" s="355">
        <v>0</v>
      </c>
      <c r="T1054" s="355">
        <v>0</v>
      </c>
      <c r="U1054" s="355">
        <v>0</v>
      </c>
      <c r="V1054" s="355">
        <v>0</v>
      </c>
      <c r="W1054" s="355">
        <v>0</v>
      </c>
    </row>
    <row r="1055" spans="1:23" x14ac:dyDescent="0.25">
      <c r="A1055" s="348" t="s">
        <v>1407</v>
      </c>
      <c r="B1055" s="349">
        <v>56</v>
      </c>
      <c r="C1055" s="350" t="s">
        <v>1287</v>
      </c>
      <c r="D1055" s="351">
        <v>45138</v>
      </c>
      <c r="E1055" s="352"/>
      <c r="F1055" s="352">
        <v>6</v>
      </c>
      <c r="G1055" s="581" t="s">
        <v>1270</v>
      </c>
      <c r="H1055" s="350" t="s">
        <v>1408</v>
      </c>
      <c r="I1055" s="350" t="s">
        <v>393</v>
      </c>
      <c r="J1055" s="375">
        <v>8250000</v>
      </c>
      <c r="K1055" s="350" t="s">
        <v>394</v>
      </c>
      <c r="L1055" s="354">
        <v>2802.3999950000002</v>
      </c>
      <c r="M1055" s="375">
        <f>J1055/L1055</f>
        <v>2943.9052293461054</v>
      </c>
      <c r="N1055" s="354" t="s">
        <v>395</v>
      </c>
      <c r="O1055" s="354">
        <v>0</v>
      </c>
      <c r="P1055" s="355" t="s">
        <v>396</v>
      </c>
      <c r="Q1055" s="354" t="s">
        <v>397</v>
      </c>
      <c r="R1055" s="355">
        <v>0</v>
      </c>
      <c r="S1055" s="355">
        <v>0</v>
      </c>
      <c r="T1055" s="355">
        <v>0</v>
      </c>
      <c r="U1055" s="355">
        <v>0</v>
      </c>
      <c r="V1055" s="355">
        <v>0</v>
      </c>
      <c r="W1055" s="355">
        <v>0</v>
      </c>
    </row>
    <row r="1056" spans="1:23" x14ac:dyDescent="0.25">
      <c r="A1056" s="348" t="s">
        <v>1409</v>
      </c>
      <c r="B1056" s="349">
        <v>57</v>
      </c>
      <c r="C1056" s="350" t="s">
        <v>1287</v>
      </c>
      <c r="D1056" s="351">
        <v>45138</v>
      </c>
      <c r="E1056" s="352"/>
      <c r="F1056" s="352">
        <v>6</v>
      </c>
      <c r="G1056" s="581" t="s">
        <v>1270</v>
      </c>
      <c r="H1056" s="350" t="s">
        <v>1410</v>
      </c>
      <c r="I1056" s="350" t="s">
        <v>393</v>
      </c>
      <c r="J1056" s="375">
        <v>235000</v>
      </c>
      <c r="K1056" s="350" t="s">
        <v>394</v>
      </c>
      <c r="L1056" s="354">
        <v>2802.3999950000002</v>
      </c>
      <c r="M1056" s="375">
        <f>J1056/L1056</f>
        <v>83.856694411676941</v>
      </c>
      <c r="N1056" s="354" t="s">
        <v>395</v>
      </c>
      <c r="O1056" s="354">
        <v>0</v>
      </c>
      <c r="P1056" s="355" t="s">
        <v>396</v>
      </c>
      <c r="Q1056" s="354" t="s">
        <v>397</v>
      </c>
      <c r="R1056" s="355">
        <v>0</v>
      </c>
      <c r="S1056" s="355">
        <v>0</v>
      </c>
      <c r="T1056" s="355">
        <v>0</v>
      </c>
      <c r="U1056" s="355">
        <v>0</v>
      </c>
      <c r="V1056" s="355">
        <v>0</v>
      </c>
      <c r="W1056" s="355">
        <v>0</v>
      </c>
    </row>
    <row r="1057" spans="1:23" x14ac:dyDescent="0.25">
      <c r="A1057" s="348" t="s">
        <v>1411</v>
      </c>
      <c r="B1057" s="349">
        <v>58</v>
      </c>
      <c r="C1057" s="350" t="s">
        <v>1287</v>
      </c>
      <c r="D1057" s="351">
        <v>45138</v>
      </c>
      <c r="E1057" s="352"/>
      <c r="F1057" s="352">
        <v>6</v>
      </c>
      <c r="G1057" s="581" t="s">
        <v>1270</v>
      </c>
      <c r="H1057" s="350" t="s">
        <v>1410</v>
      </c>
      <c r="I1057" s="350" t="s">
        <v>393</v>
      </c>
      <c r="J1057" s="375">
        <v>235000</v>
      </c>
      <c r="K1057" s="350" t="s">
        <v>394</v>
      </c>
      <c r="L1057" s="354">
        <v>2802.3999950000002</v>
      </c>
      <c r="M1057" s="375">
        <f>J1057/L1057</f>
        <v>83.856694411676941</v>
      </c>
      <c r="N1057" s="354" t="s">
        <v>395</v>
      </c>
      <c r="O1057" s="354">
        <v>0</v>
      </c>
      <c r="P1057" s="355" t="s">
        <v>396</v>
      </c>
      <c r="Q1057" s="354" t="s">
        <v>397</v>
      </c>
      <c r="R1057" s="355">
        <v>0</v>
      </c>
      <c r="S1057" s="355">
        <v>0</v>
      </c>
      <c r="T1057" s="355">
        <v>0</v>
      </c>
      <c r="U1057" s="355">
        <v>0</v>
      </c>
      <c r="V1057" s="355">
        <v>0</v>
      </c>
      <c r="W1057" s="355">
        <v>0</v>
      </c>
    </row>
    <row r="1058" spans="1:23" x14ac:dyDescent="0.25">
      <c r="A1058" s="348" t="s">
        <v>1412</v>
      </c>
      <c r="B1058" s="349">
        <v>59</v>
      </c>
      <c r="C1058" s="350" t="s">
        <v>1287</v>
      </c>
      <c r="D1058" s="351">
        <v>45138</v>
      </c>
      <c r="E1058" s="352"/>
      <c r="F1058" s="352">
        <v>6</v>
      </c>
      <c r="G1058" s="581" t="s">
        <v>1270</v>
      </c>
      <c r="H1058" s="350" t="s">
        <v>1413</v>
      </c>
      <c r="I1058" s="350" t="s">
        <v>393</v>
      </c>
      <c r="J1058" s="375">
        <v>30000</v>
      </c>
      <c r="K1058" s="350" t="s">
        <v>394</v>
      </c>
      <c r="L1058" s="354">
        <v>2802.3999950000002</v>
      </c>
      <c r="M1058" s="375">
        <f>J1058/L1058</f>
        <v>10.705109924894929</v>
      </c>
      <c r="N1058" s="354" t="s">
        <v>395</v>
      </c>
      <c r="O1058" s="354">
        <v>0</v>
      </c>
      <c r="P1058" s="355" t="s">
        <v>396</v>
      </c>
      <c r="Q1058" s="354" t="s">
        <v>397</v>
      </c>
      <c r="R1058" s="355">
        <v>0</v>
      </c>
      <c r="S1058" s="355">
        <v>0</v>
      </c>
      <c r="T1058" s="355">
        <v>0</v>
      </c>
      <c r="U1058" s="355">
        <v>0</v>
      </c>
      <c r="V1058" s="355">
        <v>0</v>
      </c>
      <c r="W1058" s="355">
        <v>0</v>
      </c>
    </row>
    <row r="1059" spans="1:23" x14ac:dyDescent="0.25">
      <c r="A1059" s="350" t="s">
        <v>1414</v>
      </c>
      <c r="B1059" s="349">
        <v>149</v>
      </c>
      <c r="C1059" s="350" t="s">
        <v>1330</v>
      </c>
      <c r="D1059" s="351">
        <v>45197</v>
      </c>
      <c r="E1059" s="352"/>
      <c r="F1059" s="352">
        <v>6</v>
      </c>
      <c r="G1059" s="350" t="s">
        <v>1270</v>
      </c>
      <c r="H1059" s="350" t="s">
        <v>1355</v>
      </c>
      <c r="I1059" s="350" t="s">
        <v>393</v>
      </c>
      <c r="J1059" s="375">
        <f>100000+100000+100000+100000+100000+100000+100000</f>
        <v>700000</v>
      </c>
      <c r="K1059" s="350" t="s">
        <v>394</v>
      </c>
      <c r="L1059" s="354">
        <v>2802.3999950000002</v>
      </c>
      <c r="M1059" s="375">
        <f t="shared" ref="M1059:M1068" si="45">J1059/L1059</f>
        <v>249.78589824754832</v>
      </c>
      <c r="N1059" s="354" t="s">
        <v>395</v>
      </c>
      <c r="O1059" s="354">
        <v>0</v>
      </c>
      <c r="P1059" s="355" t="s">
        <v>396</v>
      </c>
      <c r="Q1059" s="354" t="s">
        <v>397</v>
      </c>
      <c r="R1059" s="355">
        <v>0</v>
      </c>
      <c r="S1059" s="355">
        <v>0</v>
      </c>
      <c r="T1059" s="355">
        <v>0</v>
      </c>
      <c r="U1059" s="355">
        <v>0</v>
      </c>
      <c r="V1059" s="355">
        <v>0</v>
      </c>
      <c r="W1059" s="355">
        <v>0</v>
      </c>
    </row>
    <row r="1060" spans="1:23" x14ac:dyDescent="0.25">
      <c r="A1060" s="350" t="s">
        <v>1414</v>
      </c>
      <c r="B1060" s="349">
        <v>150</v>
      </c>
      <c r="C1060" s="350" t="s">
        <v>1330</v>
      </c>
      <c r="D1060" s="351">
        <v>45197</v>
      </c>
      <c r="E1060" s="352"/>
      <c r="F1060" s="352">
        <v>6</v>
      </c>
      <c r="G1060" s="350" t="s">
        <v>1270</v>
      </c>
      <c r="H1060" s="350" t="s">
        <v>1415</v>
      </c>
      <c r="I1060" s="350" t="s">
        <v>393</v>
      </c>
      <c r="J1060" s="375">
        <f>15000+15000+15000+15000+15000</f>
        <v>75000</v>
      </c>
      <c r="K1060" s="350" t="s">
        <v>394</v>
      </c>
      <c r="L1060" s="354">
        <v>2802.3999950000002</v>
      </c>
      <c r="M1060" s="375">
        <f t="shared" si="45"/>
        <v>26.762774812237321</v>
      </c>
      <c r="N1060" s="354" t="s">
        <v>395</v>
      </c>
      <c r="O1060" s="354">
        <v>0</v>
      </c>
      <c r="P1060" s="355" t="s">
        <v>396</v>
      </c>
      <c r="Q1060" s="354" t="s">
        <v>397</v>
      </c>
      <c r="R1060" s="355">
        <v>0</v>
      </c>
      <c r="S1060" s="355">
        <v>0</v>
      </c>
      <c r="T1060" s="355">
        <v>0</v>
      </c>
      <c r="U1060" s="355">
        <v>0</v>
      </c>
      <c r="V1060" s="355">
        <v>0</v>
      </c>
      <c r="W1060" s="355">
        <v>0</v>
      </c>
    </row>
    <row r="1061" spans="1:23" x14ac:dyDescent="0.25">
      <c r="A1061" s="350" t="s">
        <v>1414</v>
      </c>
      <c r="B1061" s="349">
        <v>151</v>
      </c>
      <c r="C1061" s="350" t="s">
        <v>1330</v>
      </c>
      <c r="D1061" s="351">
        <v>45197</v>
      </c>
      <c r="E1061" s="352"/>
      <c r="F1061" s="352">
        <v>6</v>
      </c>
      <c r="G1061" s="350" t="s">
        <v>1270</v>
      </c>
      <c r="H1061" s="350" t="s">
        <v>1416</v>
      </c>
      <c r="I1061" s="350" t="s">
        <v>393</v>
      </c>
      <c r="J1061" s="375">
        <v>30000</v>
      </c>
      <c r="K1061" s="350" t="s">
        <v>394</v>
      </c>
      <c r="L1061" s="354">
        <v>2802.3999950000002</v>
      </c>
      <c r="M1061" s="375">
        <f t="shared" si="45"/>
        <v>10.705109924894929</v>
      </c>
      <c r="N1061" s="354" t="s">
        <v>395</v>
      </c>
      <c r="O1061" s="354">
        <v>0</v>
      </c>
      <c r="P1061" s="355" t="s">
        <v>396</v>
      </c>
      <c r="Q1061" s="354" t="s">
        <v>397</v>
      </c>
      <c r="R1061" s="355">
        <v>0</v>
      </c>
      <c r="S1061" s="355">
        <v>0</v>
      </c>
      <c r="T1061" s="355">
        <v>0</v>
      </c>
      <c r="U1061" s="355">
        <v>0</v>
      </c>
      <c r="V1061" s="355">
        <v>0</v>
      </c>
      <c r="W1061" s="355">
        <v>0</v>
      </c>
    </row>
    <row r="1062" spans="1:23" x14ac:dyDescent="0.25">
      <c r="A1062" s="350" t="s">
        <v>1414</v>
      </c>
      <c r="B1062" s="349">
        <v>152</v>
      </c>
      <c r="C1062" s="350" t="s">
        <v>1330</v>
      </c>
      <c r="D1062" s="351">
        <v>45197</v>
      </c>
      <c r="E1062" s="352"/>
      <c r="F1062" s="352">
        <v>6</v>
      </c>
      <c r="G1062" s="350" t="s">
        <v>1270</v>
      </c>
      <c r="H1062" s="350" t="s">
        <v>1354</v>
      </c>
      <c r="I1062" s="350" t="s">
        <v>393</v>
      </c>
      <c r="J1062" s="375">
        <v>15000</v>
      </c>
      <c r="K1062" s="350" t="s">
        <v>394</v>
      </c>
      <c r="L1062" s="354">
        <v>2802.3999950000002</v>
      </c>
      <c r="M1062" s="375">
        <f t="shared" si="45"/>
        <v>5.3525549624474644</v>
      </c>
      <c r="N1062" s="354" t="s">
        <v>395</v>
      </c>
      <c r="O1062" s="354">
        <v>0</v>
      </c>
      <c r="P1062" s="355" t="s">
        <v>396</v>
      </c>
      <c r="Q1062" s="354" t="s">
        <v>397</v>
      </c>
      <c r="R1062" s="355">
        <v>0</v>
      </c>
      <c r="S1062" s="355">
        <v>0</v>
      </c>
      <c r="T1062" s="355">
        <v>0</v>
      </c>
      <c r="U1062" s="355">
        <v>0</v>
      </c>
      <c r="V1062" s="355">
        <v>0</v>
      </c>
      <c r="W1062" s="355">
        <v>0</v>
      </c>
    </row>
    <row r="1063" spans="1:23" x14ac:dyDescent="0.25">
      <c r="A1063" s="350" t="s">
        <v>1414</v>
      </c>
      <c r="B1063" s="349">
        <v>153</v>
      </c>
      <c r="C1063" s="350" t="s">
        <v>1330</v>
      </c>
      <c r="D1063" s="351">
        <v>45197</v>
      </c>
      <c r="E1063" s="352"/>
      <c r="F1063" s="352">
        <v>6</v>
      </c>
      <c r="G1063" s="350" t="s">
        <v>1270</v>
      </c>
      <c r="H1063" s="350" t="s">
        <v>1392</v>
      </c>
      <c r="I1063" s="350" t="s">
        <v>393</v>
      </c>
      <c r="J1063" s="375">
        <v>4000</v>
      </c>
      <c r="K1063" s="350" t="s">
        <v>394</v>
      </c>
      <c r="L1063" s="354">
        <v>2802.3999950000002</v>
      </c>
      <c r="M1063" s="375">
        <f t="shared" si="45"/>
        <v>1.4273479899859904</v>
      </c>
      <c r="N1063" s="354" t="s">
        <v>395</v>
      </c>
      <c r="O1063" s="354">
        <v>0</v>
      </c>
      <c r="P1063" s="355" t="s">
        <v>396</v>
      </c>
      <c r="Q1063" s="354" t="s">
        <v>397</v>
      </c>
      <c r="R1063" s="355">
        <v>0</v>
      </c>
      <c r="S1063" s="355">
        <v>0</v>
      </c>
      <c r="T1063" s="355">
        <v>0</v>
      </c>
      <c r="U1063" s="355">
        <v>0</v>
      </c>
      <c r="V1063" s="355">
        <v>0</v>
      </c>
      <c r="W1063" s="355">
        <v>0</v>
      </c>
    </row>
    <row r="1064" spans="1:23" x14ac:dyDescent="0.25">
      <c r="A1064" s="350" t="s">
        <v>1414</v>
      </c>
      <c r="B1064" s="349">
        <v>154</v>
      </c>
      <c r="C1064" s="350" t="s">
        <v>1330</v>
      </c>
      <c r="D1064" s="351">
        <v>45197</v>
      </c>
      <c r="E1064" s="352"/>
      <c r="F1064" s="352">
        <v>6</v>
      </c>
      <c r="G1064" s="350" t="s">
        <v>1270</v>
      </c>
      <c r="H1064" s="350" t="s">
        <v>1417</v>
      </c>
      <c r="I1064" s="350" t="s">
        <v>393</v>
      </c>
      <c r="J1064" s="375">
        <f>314500+255170+311355</f>
        <v>881025</v>
      </c>
      <c r="K1064" s="350" t="s">
        <v>394</v>
      </c>
      <c r="L1064" s="354">
        <v>2802.3999950000002</v>
      </c>
      <c r="M1064" s="375">
        <f t="shared" si="45"/>
        <v>314.38231571935182</v>
      </c>
      <c r="N1064" s="354" t="s">
        <v>395</v>
      </c>
      <c r="O1064" s="354">
        <v>0</v>
      </c>
      <c r="P1064" s="355" t="s">
        <v>396</v>
      </c>
      <c r="Q1064" s="354" t="s">
        <v>397</v>
      </c>
      <c r="R1064" s="355">
        <v>0</v>
      </c>
      <c r="S1064" s="355">
        <v>0</v>
      </c>
      <c r="T1064" s="355">
        <v>0</v>
      </c>
      <c r="U1064" s="355">
        <v>0</v>
      </c>
      <c r="V1064" s="355">
        <v>0</v>
      </c>
      <c r="W1064" s="355">
        <v>0</v>
      </c>
    </row>
    <row r="1065" spans="1:23" x14ac:dyDescent="0.25">
      <c r="A1065" s="350" t="s">
        <v>1418</v>
      </c>
      <c r="B1065" s="349">
        <v>155</v>
      </c>
      <c r="C1065" s="350" t="s">
        <v>1330</v>
      </c>
      <c r="D1065" s="351">
        <v>45201</v>
      </c>
      <c r="E1065" s="352"/>
      <c r="F1065" s="352">
        <v>6</v>
      </c>
      <c r="G1065" s="350" t="s">
        <v>1270</v>
      </c>
      <c r="H1065" s="350" t="s">
        <v>1419</v>
      </c>
      <c r="I1065" s="350" t="s">
        <v>393</v>
      </c>
      <c r="J1065" s="375">
        <v>150000</v>
      </c>
      <c r="K1065" s="350" t="s">
        <v>394</v>
      </c>
      <c r="L1065" s="354">
        <v>2802.3999950000002</v>
      </c>
      <c r="M1065" s="375">
        <f t="shared" si="45"/>
        <v>53.525549624474642</v>
      </c>
      <c r="N1065" s="354" t="s">
        <v>395</v>
      </c>
      <c r="O1065" s="354">
        <v>0</v>
      </c>
      <c r="P1065" s="355" t="s">
        <v>396</v>
      </c>
      <c r="Q1065" s="354" t="s">
        <v>397</v>
      </c>
      <c r="R1065" s="355">
        <v>0</v>
      </c>
      <c r="S1065" s="355">
        <v>0</v>
      </c>
      <c r="T1065" s="355">
        <v>0</v>
      </c>
      <c r="U1065" s="355">
        <v>0</v>
      </c>
      <c r="V1065" s="355">
        <v>0</v>
      </c>
      <c r="W1065" s="355">
        <v>0</v>
      </c>
    </row>
    <row r="1066" spans="1:23" x14ac:dyDescent="0.25">
      <c r="A1066" s="350" t="s">
        <v>1420</v>
      </c>
      <c r="B1066" s="349">
        <v>156</v>
      </c>
      <c r="C1066" s="350" t="s">
        <v>1330</v>
      </c>
      <c r="D1066" s="351">
        <v>45202</v>
      </c>
      <c r="E1066" s="352"/>
      <c r="F1066" s="352">
        <v>6</v>
      </c>
      <c r="G1066" s="350" t="s">
        <v>1270</v>
      </c>
      <c r="H1066" s="350" t="s">
        <v>1408</v>
      </c>
      <c r="I1066" s="350" t="s">
        <v>393</v>
      </c>
      <c r="J1066" s="375">
        <v>8514000</v>
      </c>
      <c r="K1066" s="350" t="s">
        <v>394</v>
      </c>
      <c r="L1066" s="354">
        <v>2802.3999950000002</v>
      </c>
      <c r="M1066" s="375">
        <f t="shared" si="45"/>
        <v>3038.1101966851807</v>
      </c>
      <c r="N1066" s="354" t="s">
        <v>395</v>
      </c>
      <c r="O1066" s="354">
        <v>0</v>
      </c>
      <c r="P1066" s="355" t="s">
        <v>396</v>
      </c>
      <c r="Q1066" s="354" t="s">
        <v>397</v>
      </c>
      <c r="R1066" s="355">
        <v>0</v>
      </c>
      <c r="S1066" s="355">
        <v>0</v>
      </c>
      <c r="T1066" s="355">
        <v>0</v>
      </c>
      <c r="U1066" s="355">
        <v>0</v>
      </c>
      <c r="V1066" s="355">
        <v>0</v>
      </c>
      <c r="W1066" s="355">
        <v>0</v>
      </c>
    </row>
    <row r="1067" spans="1:23" x14ac:dyDescent="0.25">
      <c r="A1067" s="350" t="s">
        <v>1421</v>
      </c>
      <c r="B1067" s="349">
        <v>157</v>
      </c>
      <c r="C1067" s="350" t="s">
        <v>1330</v>
      </c>
      <c r="D1067" s="351">
        <v>45202</v>
      </c>
      <c r="E1067" s="352"/>
      <c r="F1067" s="352">
        <v>6</v>
      </c>
      <c r="G1067" s="350" t="s">
        <v>1270</v>
      </c>
      <c r="H1067" s="350" t="s">
        <v>1408</v>
      </c>
      <c r="I1067" s="350" t="s">
        <v>393</v>
      </c>
      <c r="J1067" s="375">
        <v>916000</v>
      </c>
      <c r="K1067" s="350" t="s">
        <v>394</v>
      </c>
      <c r="L1067" s="354">
        <v>2802.3999950000002</v>
      </c>
      <c r="M1067" s="375">
        <f t="shared" si="45"/>
        <v>326.8626897067918</v>
      </c>
      <c r="N1067" s="354" t="s">
        <v>395</v>
      </c>
      <c r="O1067" s="354">
        <v>0</v>
      </c>
      <c r="P1067" s="355" t="s">
        <v>396</v>
      </c>
      <c r="Q1067" s="354" t="s">
        <v>397</v>
      </c>
      <c r="R1067" s="355">
        <v>0</v>
      </c>
      <c r="S1067" s="355">
        <v>0</v>
      </c>
      <c r="T1067" s="355">
        <v>0</v>
      </c>
      <c r="U1067" s="355">
        <v>0</v>
      </c>
      <c r="V1067" s="355">
        <v>0</v>
      </c>
      <c r="W1067" s="355">
        <v>0</v>
      </c>
    </row>
    <row r="1068" spans="1:23" x14ac:dyDescent="0.25">
      <c r="A1068" s="350" t="s">
        <v>1422</v>
      </c>
      <c r="B1068" s="349">
        <v>158</v>
      </c>
      <c r="C1068" s="350" t="s">
        <v>1330</v>
      </c>
      <c r="D1068" s="351">
        <v>45204</v>
      </c>
      <c r="E1068" s="352"/>
      <c r="F1068" s="352">
        <v>6</v>
      </c>
      <c r="G1068" s="350" t="s">
        <v>1270</v>
      </c>
      <c r="H1068" s="350" t="s">
        <v>351</v>
      </c>
      <c r="I1068" s="350" t="s">
        <v>393</v>
      </c>
      <c r="J1068" s="375">
        <v>1080000</v>
      </c>
      <c r="K1068" s="350" t="s">
        <v>394</v>
      </c>
      <c r="L1068" s="354">
        <v>2802.3999950000002</v>
      </c>
      <c r="M1068" s="375">
        <f t="shared" si="45"/>
        <v>385.38395729621743</v>
      </c>
      <c r="N1068" s="354" t="s">
        <v>395</v>
      </c>
      <c r="O1068" s="354">
        <v>0</v>
      </c>
      <c r="P1068" s="355" t="s">
        <v>396</v>
      </c>
      <c r="Q1068" s="354" t="s">
        <v>397</v>
      </c>
      <c r="R1068" s="355">
        <v>0</v>
      </c>
      <c r="S1068" s="355">
        <v>0</v>
      </c>
      <c r="T1068" s="355">
        <v>0</v>
      </c>
      <c r="U1068" s="355">
        <v>0</v>
      </c>
      <c r="V1068" s="355">
        <v>0</v>
      </c>
      <c r="W1068" s="355">
        <v>0</v>
      </c>
    </row>
    <row r="1069" spans="1:23" x14ac:dyDescent="0.25">
      <c r="A1069" s="348" t="s">
        <v>499</v>
      </c>
      <c r="B1069" s="349">
        <v>4492</v>
      </c>
      <c r="C1069" s="350" t="s">
        <v>402</v>
      </c>
      <c r="D1069" s="351">
        <v>45009</v>
      </c>
      <c r="E1069" s="352">
        <v>3570</v>
      </c>
      <c r="F1069" s="352">
        <v>7</v>
      </c>
      <c r="G1069" s="353" t="s">
        <v>1423</v>
      </c>
      <c r="H1069" s="350" t="s">
        <v>500</v>
      </c>
      <c r="I1069" s="350" t="s">
        <v>393</v>
      </c>
      <c r="J1069" s="354">
        <v>100000</v>
      </c>
      <c r="K1069" s="350" t="s">
        <v>394</v>
      </c>
      <c r="L1069" s="354">
        <v>0</v>
      </c>
      <c r="M1069" s="354">
        <v>48.8</v>
      </c>
      <c r="N1069" s="354" t="s">
        <v>395</v>
      </c>
      <c r="O1069" s="354">
        <v>40.44</v>
      </c>
      <c r="P1069" s="355" t="s">
        <v>396</v>
      </c>
      <c r="Q1069" s="353" t="s">
        <v>404</v>
      </c>
      <c r="R1069" s="355" t="s">
        <v>405</v>
      </c>
      <c r="S1069" s="355">
        <v>0</v>
      </c>
      <c r="T1069" s="350" t="s">
        <v>410</v>
      </c>
      <c r="U1069" s="351">
        <v>45023</v>
      </c>
      <c r="V1069" s="351">
        <v>45023</v>
      </c>
      <c r="W1069" s="350" t="s">
        <v>407</v>
      </c>
    </row>
    <row r="1070" spans="1:23" x14ac:dyDescent="0.25">
      <c r="A1070" s="348" t="s">
        <v>501</v>
      </c>
      <c r="B1070" s="349">
        <v>4533</v>
      </c>
      <c r="C1070" s="350" t="s">
        <v>402</v>
      </c>
      <c r="D1070" s="351">
        <v>45002</v>
      </c>
      <c r="E1070" s="352">
        <v>3570</v>
      </c>
      <c r="F1070" s="352">
        <v>7</v>
      </c>
      <c r="G1070" s="353" t="s">
        <v>1423</v>
      </c>
      <c r="H1070" s="350" t="s">
        <v>502</v>
      </c>
      <c r="I1070" s="350" t="s">
        <v>393</v>
      </c>
      <c r="J1070" s="354">
        <v>534000</v>
      </c>
      <c r="K1070" s="350" t="s">
        <v>394</v>
      </c>
      <c r="L1070" s="354">
        <v>0</v>
      </c>
      <c r="M1070" s="354">
        <v>260.58</v>
      </c>
      <c r="N1070" s="354" t="s">
        <v>395</v>
      </c>
      <c r="O1070" s="354">
        <v>215.93</v>
      </c>
      <c r="P1070" s="355" t="s">
        <v>396</v>
      </c>
      <c r="Q1070" s="353" t="s">
        <v>404</v>
      </c>
      <c r="R1070" s="355" t="s">
        <v>405</v>
      </c>
      <c r="S1070" s="355">
        <v>0</v>
      </c>
      <c r="T1070" s="350" t="s">
        <v>406</v>
      </c>
      <c r="U1070" s="351">
        <v>45023</v>
      </c>
      <c r="V1070" s="351">
        <v>45026</v>
      </c>
      <c r="W1070" s="350" t="s">
        <v>407</v>
      </c>
    </row>
    <row r="1071" spans="1:23" x14ac:dyDescent="0.25">
      <c r="A1071" s="348" t="s">
        <v>503</v>
      </c>
      <c r="B1071" s="349">
        <v>4580</v>
      </c>
      <c r="C1071" s="350" t="s">
        <v>402</v>
      </c>
      <c r="D1071" s="351">
        <v>45016</v>
      </c>
      <c r="E1071" s="352">
        <v>3570</v>
      </c>
      <c r="F1071" s="352">
        <v>7</v>
      </c>
      <c r="G1071" s="353" t="s">
        <v>1423</v>
      </c>
      <c r="H1071" s="350" t="s">
        <v>504</v>
      </c>
      <c r="I1071" s="350" t="s">
        <v>393</v>
      </c>
      <c r="J1071" s="354">
        <v>3784000</v>
      </c>
      <c r="K1071" s="350" t="s">
        <v>394</v>
      </c>
      <c r="L1071" s="354">
        <v>0</v>
      </c>
      <c r="M1071" s="354">
        <v>1846.5</v>
      </c>
      <c r="N1071" s="354" t="s">
        <v>395</v>
      </c>
      <c r="O1071" s="354">
        <v>1530.08</v>
      </c>
      <c r="P1071" s="355" t="s">
        <v>396</v>
      </c>
      <c r="Q1071" s="353" t="s">
        <v>404</v>
      </c>
      <c r="R1071" s="355" t="s">
        <v>405</v>
      </c>
      <c r="S1071" s="355">
        <v>0</v>
      </c>
      <c r="T1071" s="350" t="s">
        <v>406</v>
      </c>
      <c r="U1071" s="351">
        <v>45026</v>
      </c>
      <c r="V1071" s="351">
        <v>45026</v>
      </c>
      <c r="W1071" s="350" t="s">
        <v>407</v>
      </c>
    </row>
    <row r="1072" spans="1:23" x14ac:dyDescent="0.25">
      <c r="A1072" s="348" t="s">
        <v>505</v>
      </c>
      <c r="B1072" s="349">
        <v>4776</v>
      </c>
      <c r="C1072" s="350" t="s">
        <v>441</v>
      </c>
      <c r="D1072" s="351">
        <v>45033</v>
      </c>
      <c r="E1072" s="352">
        <v>3570</v>
      </c>
      <c r="F1072" s="352">
        <v>7</v>
      </c>
      <c r="G1072" s="353" t="s">
        <v>1423</v>
      </c>
      <c r="H1072" s="350" t="s">
        <v>506</v>
      </c>
      <c r="I1072" s="350" t="s">
        <v>393</v>
      </c>
      <c r="J1072" s="354">
        <v>2029500</v>
      </c>
      <c r="K1072" s="350" t="s">
        <v>394</v>
      </c>
      <c r="L1072" s="354">
        <v>0</v>
      </c>
      <c r="M1072" s="354">
        <v>984.24</v>
      </c>
      <c r="N1072" s="354" t="s">
        <v>395</v>
      </c>
      <c r="O1072" s="354">
        <v>798.45</v>
      </c>
      <c r="P1072" s="355" t="s">
        <v>396</v>
      </c>
      <c r="Q1072" s="353" t="s">
        <v>404</v>
      </c>
      <c r="R1072" s="355" t="s">
        <v>405</v>
      </c>
      <c r="S1072" s="355">
        <v>117776</v>
      </c>
      <c r="T1072" s="350" t="s">
        <v>410</v>
      </c>
      <c r="U1072" s="351">
        <v>45055</v>
      </c>
      <c r="V1072" s="351">
        <v>45055</v>
      </c>
      <c r="W1072" s="350" t="s">
        <v>407</v>
      </c>
    </row>
    <row r="1073" spans="1:23" x14ac:dyDescent="0.25">
      <c r="A1073" s="348" t="s">
        <v>507</v>
      </c>
      <c r="B1073" s="349">
        <v>4772</v>
      </c>
      <c r="C1073" s="350" t="s">
        <v>441</v>
      </c>
      <c r="D1073" s="351">
        <v>45023</v>
      </c>
      <c r="E1073" s="352">
        <v>3350</v>
      </c>
      <c r="F1073" s="352">
        <v>5</v>
      </c>
      <c r="G1073" s="353" t="s">
        <v>1423</v>
      </c>
      <c r="H1073" s="350" t="s">
        <v>508</v>
      </c>
      <c r="I1073" s="350" t="s">
        <v>393</v>
      </c>
      <c r="J1073" s="354">
        <v>207000</v>
      </c>
      <c r="K1073" s="350" t="s">
        <v>394</v>
      </c>
      <c r="L1073" s="354">
        <v>0</v>
      </c>
      <c r="M1073" s="354">
        <v>100.39</v>
      </c>
      <c r="N1073" s="354" t="s">
        <v>395</v>
      </c>
      <c r="O1073" s="354">
        <v>81.44</v>
      </c>
      <c r="P1073" s="355" t="s">
        <v>396</v>
      </c>
      <c r="Q1073" s="353" t="s">
        <v>404</v>
      </c>
      <c r="R1073" s="355" t="s">
        <v>405</v>
      </c>
      <c r="S1073" s="355">
        <v>0</v>
      </c>
      <c r="T1073" s="350" t="s">
        <v>410</v>
      </c>
      <c r="U1073" s="351">
        <v>45055</v>
      </c>
      <c r="V1073" s="351">
        <v>45055</v>
      </c>
      <c r="W1073" s="350" t="s">
        <v>407</v>
      </c>
    </row>
    <row r="1074" spans="1:23" x14ac:dyDescent="0.25">
      <c r="A1074" s="348" t="s">
        <v>509</v>
      </c>
      <c r="B1074" s="349">
        <v>4735</v>
      </c>
      <c r="C1074" s="350" t="s">
        <v>441</v>
      </c>
      <c r="D1074" s="351">
        <v>45042</v>
      </c>
      <c r="E1074" s="352">
        <v>3350</v>
      </c>
      <c r="F1074" s="352">
        <v>5</v>
      </c>
      <c r="G1074" s="353" t="s">
        <v>1423</v>
      </c>
      <c r="H1074" s="350" t="s">
        <v>510</v>
      </c>
      <c r="I1074" s="350" t="s">
        <v>393</v>
      </c>
      <c r="J1074" s="354">
        <v>290250</v>
      </c>
      <c r="K1074" s="350" t="s">
        <v>394</v>
      </c>
      <c r="L1074" s="354">
        <v>0</v>
      </c>
      <c r="M1074" s="354">
        <v>140.76</v>
      </c>
      <c r="N1074" s="354" t="s">
        <v>395</v>
      </c>
      <c r="O1074" s="354">
        <v>114.19</v>
      </c>
      <c r="P1074" s="355" t="s">
        <v>396</v>
      </c>
      <c r="Q1074" s="353" t="s">
        <v>404</v>
      </c>
      <c r="R1074" s="355" t="s">
        <v>405</v>
      </c>
      <c r="S1074" s="355">
        <v>0</v>
      </c>
      <c r="T1074" s="350" t="s">
        <v>406</v>
      </c>
      <c r="U1074" s="351">
        <v>45054</v>
      </c>
      <c r="V1074" s="351">
        <v>45054</v>
      </c>
      <c r="W1074" s="350" t="s">
        <v>407</v>
      </c>
    </row>
    <row r="1075" spans="1:23" x14ac:dyDescent="0.25">
      <c r="A1075" s="348" t="s">
        <v>509</v>
      </c>
      <c r="B1075" s="349">
        <v>4735</v>
      </c>
      <c r="C1075" s="350" t="s">
        <v>441</v>
      </c>
      <c r="D1075" s="351">
        <v>45042</v>
      </c>
      <c r="E1075" s="352">
        <v>3350</v>
      </c>
      <c r="F1075" s="352">
        <v>5</v>
      </c>
      <c r="G1075" s="353" t="s">
        <v>1423</v>
      </c>
      <c r="H1075" s="350" t="s">
        <v>511</v>
      </c>
      <c r="I1075" s="350" t="s">
        <v>393</v>
      </c>
      <c r="J1075" s="354">
        <v>199900</v>
      </c>
      <c r="K1075" s="350" t="s">
        <v>394</v>
      </c>
      <c r="L1075" s="354">
        <v>0</v>
      </c>
      <c r="M1075" s="354">
        <v>96.95</v>
      </c>
      <c r="N1075" s="354" t="s">
        <v>395</v>
      </c>
      <c r="O1075" s="354">
        <v>78.650000000000006</v>
      </c>
      <c r="P1075" s="355" t="s">
        <v>396</v>
      </c>
      <c r="Q1075" s="353" t="s">
        <v>404</v>
      </c>
      <c r="R1075" s="355" t="s">
        <v>405</v>
      </c>
      <c r="S1075" s="355">
        <v>0</v>
      </c>
      <c r="T1075" s="350" t="s">
        <v>406</v>
      </c>
      <c r="U1075" s="351">
        <v>45054</v>
      </c>
      <c r="V1075" s="351">
        <v>45054</v>
      </c>
      <c r="W1075" s="350" t="s">
        <v>407</v>
      </c>
    </row>
    <row r="1076" spans="1:23" x14ac:dyDescent="0.25">
      <c r="A1076" s="348" t="s">
        <v>512</v>
      </c>
      <c r="B1076" s="349">
        <v>4769</v>
      </c>
      <c r="C1076" s="350" t="s">
        <v>441</v>
      </c>
      <c r="D1076" s="351">
        <v>45041</v>
      </c>
      <c r="E1076" s="352">
        <v>3640</v>
      </c>
      <c r="F1076" s="352">
        <v>4</v>
      </c>
      <c r="G1076" s="353" t="s">
        <v>1423</v>
      </c>
      <c r="H1076" s="350" t="s">
        <v>513</v>
      </c>
      <c r="I1076" s="350" t="s">
        <v>393</v>
      </c>
      <c r="J1076" s="354">
        <v>115000</v>
      </c>
      <c r="K1076" s="350" t="s">
        <v>394</v>
      </c>
      <c r="L1076" s="354">
        <v>0</v>
      </c>
      <c r="M1076" s="354">
        <v>55.77</v>
      </c>
      <c r="N1076" s="354" t="s">
        <v>395</v>
      </c>
      <c r="O1076" s="354">
        <v>45.24</v>
      </c>
      <c r="P1076" s="355" t="s">
        <v>396</v>
      </c>
      <c r="Q1076" s="353" t="s">
        <v>404</v>
      </c>
      <c r="R1076" s="355" t="s">
        <v>405</v>
      </c>
      <c r="S1076" s="355">
        <v>0</v>
      </c>
      <c r="T1076" s="350" t="s">
        <v>406</v>
      </c>
      <c r="U1076" s="351">
        <v>45050</v>
      </c>
      <c r="V1076" s="351">
        <v>45055</v>
      </c>
      <c r="W1076" s="350" t="s">
        <v>407</v>
      </c>
    </row>
    <row r="1077" spans="1:23" x14ac:dyDescent="0.25">
      <c r="A1077" s="348" t="s">
        <v>514</v>
      </c>
      <c r="B1077" s="349">
        <v>4836</v>
      </c>
      <c r="C1077" s="350" t="s">
        <v>458</v>
      </c>
      <c r="D1077" s="351">
        <v>45056</v>
      </c>
      <c r="E1077" s="352">
        <v>3570</v>
      </c>
      <c r="F1077" s="352">
        <v>7</v>
      </c>
      <c r="G1077" s="353" t="s">
        <v>1423</v>
      </c>
      <c r="H1077" s="350" t="s">
        <v>515</v>
      </c>
      <c r="I1077" s="350" t="s">
        <v>393</v>
      </c>
      <c r="J1077" s="354">
        <v>35000</v>
      </c>
      <c r="K1077" s="350" t="s">
        <v>394</v>
      </c>
      <c r="L1077" s="354">
        <v>0</v>
      </c>
      <c r="M1077" s="354">
        <v>17.04</v>
      </c>
      <c r="N1077" s="354" t="s">
        <v>395</v>
      </c>
      <c r="O1077" s="354">
        <v>13.6</v>
      </c>
      <c r="P1077" s="355" t="s">
        <v>396</v>
      </c>
      <c r="Q1077" s="353" t="s">
        <v>404</v>
      </c>
      <c r="R1077" s="355" t="s">
        <v>405</v>
      </c>
      <c r="S1077" s="355">
        <v>0</v>
      </c>
      <c r="T1077" s="350" t="s">
        <v>410</v>
      </c>
      <c r="U1077" s="351">
        <v>45081</v>
      </c>
      <c r="V1077" s="351">
        <v>45082</v>
      </c>
      <c r="W1077" s="350" t="s">
        <v>407</v>
      </c>
    </row>
    <row r="1078" spans="1:23" x14ac:dyDescent="0.25">
      <c r="A1078" s="348" t="s">
        <v>516</v>
      </c>
      <c r="B1078" s="349">
        <v>4844</v>
      </c>
      <c r="C1078" s="350" t="s">
        <v>458</v>
      </c>
      <c r="D1078" s="351">
        <v>45062</v>
      </c>
      <c r="E1078" s="352">
        <v>3570</v>
      </c>
      <c r="F1078" s="352">
        <v>7</v>
      </c>
      <c r="G1078" s="353" t="s">
        <v>1423</v>
      </c>
      <c r="H1078" s="350" t="s">
        <v>517</v>
      </c>
      <c r="I1078" s="350" t="s">
        <v>393</v>
      </c>
      <c r="J1078" s="354">
        <v>90000</v>
      </c>
      <c r="K1078" s="350" t="s">
        <v>394</v>
      </c>
      <c r="L1078" s="354">
        <v>0</v>
      </c>
      <c r="M1078" s="354">
        <v>43.81</v>
      </c>
      <c r="N1078" s="354" t="s">
        <v>395</v>
      </c>
      <c r="O1078" s="354">
        <v>34.979999999999997</v>
      </c>
      <c r="P1078" s="355" t="s">
        <v>396</v>
      </c>
      <c r="Q1078" s="353" t="s">
        <v>404</v>
      </c>
      <c r="R1078" s="355" t="s">
        <v>405</v>
      </c>
      <c r="S1078" s="355">
        <v>0</v>
      </c>
      <c r="T1078" s="350" t="s">
        <v>410</v>
      </c>
      <c r="U1078" s="351">
        <v>45082</v>
      </c>
      <c r="V1078" s="351">
        <v>45082</v>
      </c>
      <c r="W1078" s="350" t="s">
        <v>407</v>
      </c>
    </row>
    <row r="1079" spans="1:23" x14ac:dyDescent="0.25">
      <c r="A1079" s="348" t="s">
        <v>518</v>
      </c>
      <c r="B1079" s="349">
        <v>4886</v>
      </c>
      <c r="C1079" s="350" t="s">
        <v>458</v>
      </c>
      <c r="D1079" s="351">
        <v>45054</v>
      </c>
      <c r="E1079" s="352">
        <v>3570</v>
      </c>
      <c r="F1079" s="352">
        <v>7</v>
      </c>
      <c r="G1079" s="353" t="s">
        <v>1423</v>
      </c>
      <c r="H1079" s="350" t="s">
        <v>519</v>
      </c>
      <c r="I1079" s="350" t="s">
        <v>393</v>
      </c>
      <c r="J1079" s="354">
        <v>5097000</v>
      </c>
      <c r="K1079" s="350" t="s">
        <v>394</v>
      </c>
      <c r="L1079" s="354">
        <v>0</v>
      </c>
      <c r="M1079" s="354">
        <v>2481.12</v>
      </c>
      <c r="N1079" s="354" t="s">
        <v>395</v>
      </c>
      <c r="O1079" s="354">
        <v>1981.25</v>
      </c>
      <c r="P1079" s="355" t="s">
        <v>396</v>
      </c>
      <c r="Q1079" s="353" t="s">
        <v>404</v>
      </c>
      <c r="R1079" s="355" t="s">
        <v>405</v>
      </c>
      <c r="S1079" s="355">
        <v>117871</v>
      </c>
      <c r="T1079" s="350" t="s">
        <v>410</v>
      </c>
      <c r="U1079" s="351">
        <v>45082</v>
      </c>
      <c r="V1079" s="351">
        <v>45082</v>
      </c>
      <c r="W1079" s="350" t="s">
        <v>407</v>
      </c>
    </row>
    <row r="1080" spans="1:23" x14ac:dyDescent="0.25">
      <c r="A1080" s="348" t="s">
        <v>520</v>
      </c>
      <c r="B1080" s="349">
        <v>4904</v>
      </c>
      <c r="C1080" s="350" t="s">
        <v>458</v>
      </c>
      <c r="D1080" s="351">
        <v>45059</v>
      </c>
      <c r="E1080" s="352">
        <v>3350</v>
      </c>
      <c r="F1080" s="352">
        <v>5</v>
      </c>
      <c r="G1080" s="353" t="s">
        <v>1423</v>
      </c>
      <c r="H1080" s="350" t="s">
        <v>521</v>
      </c>
      <c r="I1080" s="350" t="s">
        <v>393</v>
      </c>
      <c r="J1080" s="354">
        <v>138125</v>
      </c>
      <c r="K1080" s="350" t="s">
        <v>394</v>
      </c>
      <c r="L1080" s="354">
        <v>0</v>
      </c>
      <c r="M1080" s="354">
        <v>67.239999999999995</v>
      </c>
      <c r="N1080" s="354" t="s">
        <v>395</v>
      </c>
      <c r="O1080" s="354">
        <v>53.69</v>
      </c>
      <c r="P1080" s="355" t="s">
        <v>396</v>
      </c>
      <c r="Q1080" s="353" t="s">
        <v>404</v>
      </c>
      <c r="R1080" s="355" t="s">
        <v>405</v>
      </c>
      <c r="S1080" s="355">
        <v>0</v>
      </c>
      <c r="T1080" s="350" t="s">
        <v>410</v>
      </c>
      <c r="U1080" s="351">
        <v>45082</v>
      </c>
      <c r="V1080" s="351">
        <v>45082</v>
      </c>
      <c r="W1080" s="350" t="s">
        <v>407</v>
      </c>
    </row>
    <row r="1081" spans="1:23" x14ac:dyDescent="0.25">
      <c r="A1081" s="348" t="s">
        <v>522</v>
      </c>
      <c r="B1081" s="349">
        <v>4802</v>
      </c>
      <c r="C1081" s="350" t="s">
        <v>458</v>
      </c>
      <c r="D1081" s="351">
        <v>45051</v>
      </c>
      <c r="E1081" s="352">
        <v>3570</v>
      </c>
      <c r="F1081" s="352">
        <v>7</v>
      </c>
      <c r="G1081" s="353" t="s">
        <v>1423</v>
      </c>
      <c r="H1081" s="350" t="s">
        <v>523</v>
      </c>
      <c r="I1081" s="350" t="s">
        <v>393</v>
      </c>
      <c r="J1081" s="354">
        <v>90000</v>
      </c>
      <c r="K1081" s="350" t="s">
        <v>394</v>
      </c>
      <c r="L1081" s="354">
        <v>0</v>
      </c>
      <c r="M1081" s="354">
        <v>43.81</v>
      </c>
      <c r="N1081" s="354" t="s">
        <v>395</v>
      </c>
      <c r="O1081" s="354">
        <v>34.979999999999997</v>
      </c>
      <c r="P1081" s="355" t="s">
        <v>396</v>
      </c>
      <c r="Q1081" s="353" t="s">
        <v>404</v>
      </c>
      <c r="R1081" s="355" t="s">
        <v>405</v>
      </c>
      <c r="S1081" s="355">
        <v>0</v>
      </c>
      <c r="T1081" s="350" t="s">
        <v>474</v>
      </c>
      <c r="U1081" s="351">
        <v>45079</v>
      </c>
      <c r="V1081" s="351">
        <v>45082</v>
      </c>
      <c r="W1081" s="350" t="s">
        <v>407</v>
      </c>
    </row>
    <row r="1082" spans="1:23" x14ac:dyDescent="0.25">
      <c r="A1082" s="348" t="s">
        <v>524</v>
      </c>
      <c r="B1082" s="349">
        <v>4815</v>
      </c>
      <c r="C1082" s="350" t="s">
        <v>458</v>
      </c>
      <c r="D1082" s="351">
        <v>45069</v>
      </c>
      <c r="E1082" s="352">
        <v>3570</v>
      </c>
      <c r="F1082" s="352">
        <v>7</v>
      </c>
      <c r="G1082" s="353" t="s">
        <v>1423</v>
      </c>
      <c r="H1082" s="350" t="s">
        <v>525</v>
      </c>
      <c r="I1082" s="350" t="s">
        <v>393</v>
      </c>
      <c r="J1082" s="354">
        <v>1556500</v>
      </c>
      <c r="K1082" s="350" t="s">
        <v>394</v>
      </c>
      <c r="L1082" s="354">
        <v>0</v>
      </c>
      <c r="M1082" s="354">
        <v>757.67</v>
      </c>
      <c r="N1082" s="354" t="s">
        <v>395</v>
      </c>
      <c r="O1082" s="354">
        <v>605.03</v>
      </c>
      <c r="P1082" s="355" t="s">
        <v>396</v>
      </c>
      <c r="Q1082" s="353" t="s">
        <v>404</v>
      </c>
      <c r="R1082" s="355" t="s">
        <v>405</v>
      </c>
      <c r="S1082" s="355">
        <v>0</v>
      </c>
      <c r="T1082" s="350" t="s">
        <v>474</v>
      </c>
      <c r="U1082" s="351">
        <v>45079</v>
      </c>
      <c r="V1082" s="351">
        <v>45082</v>
      </c>
      <c r="W1082" s="350" t="s">
        <v>407</v>
      </c>
    </row>
    <row r="1083" spans="1:23" x14ac:dyDescent="0.25">
      <c r="A1083" s="348" t="s">
        <v>526</v>
      </c>
      <c r="B1083" s="349">
        <v>4825</v>
      </c>
      <c r="C1083" s="350" t="s">
        <v>458</v>
      </c>
      <c r="D1083" s="351">
        <v>45071</v>
      </c>
      <c r="E1083" s="352">
        <v>3570</v>
      </c>
      <c r="F1083" s="352">
        <v>7</v>
      </c>
      <c r="G1083" s="353" t="s">
        <v>1423</v>
      </c>
      <c r="H1083" s="350" t="s">
        <v>527</v>
      </c>
      <c r="I1083" s="350" t="s">
        <v>393</v>
      </c>
      <c r="J1083" s="354">
        <v>1095000</v>
      </c>
      <c r="K1083" s="350" t="s">
        <v>394</v>
      </c>
      <c r="L1083" s="354">
        <v>0</v>
      </c>
      <c r="M1083" s="354">
        <v>533.02</v>
      </c>
      <c r="N1083" s="354" t="s">
        <v>395</v>
      </c>
      <c r="O1083" s="354">
        <v>425.64</v>
      </c>
      <c r="P1083" s="355" t="s">
        <v>396</v>
      </c>
      <c r="Q1083" s="353" t="s">
        <v>404</v>
      </c>
      <c r="R1083" s="355" t="s">
        <v>405</v>
      </c>
      <c r="S1083" s="355">
        <v>0</v>
      </c>
      <c r="T1083" s="350" t="s">
        <v>474</v>
      </c>
      <c r="U1083" s="351">
        <v>45080</v>
      </c>
      <c r="V1083" s="351">
        <v>45082</v>
      </c>
      <c r="W1083" s="350" t="s">
        <v>407</v>
      </c>
    </row>
    <row r="1084" spans="1:23" ht="19.5" customHeight="1" x14ac:dyDescent="0.25">
      <c r="A1084" s="348" t="s">
        <v>604</v>
      </c>
      <c r="B1084" s="349">
        <v>27</v>
      </c>
      <c r="C1084" s="350" t="s">
        <v>552</v>
      </c>
      <c r="D1084" s="351">
        <v>45026</v>
      </c>
      <c r="E1084" s="352"/>
      <c r="F1084" s="352">
        <v>6</v>
      </c>
      <c r="G1084" s="353" t="s">
        <v>1423</v>
      </c>
      <c r="H1084" s="437" t="s">
        <v>605</v>
      </c>
      <c r="I1084" s="350" t="s">
        <v>393</v>
      </c>
      <c r="J1084" s="438">
        <v>200000</v>
      </c>
      <c r="K1084" s="439" t="s">
        <v>394</v>
      </c>
      <c r="L1084" s="354">
        <v>2050.46</v>
      </c>
      <c r="M1084" s="440">
        <f>J1084/L1084</f>
        <v>97.539088789832519</v>
      </c>
      <c r="N1084" s="354" t="s">
        <v>395</v>
      </c>
      <c r="O1084" s="354">
        <v>0</v>
      </c>
      <c r="P1084" s="355" t="s">
        <v>396</v>
      </c>
      <c r="Q1084" s="354" t="s">
        <v>397</v>
      </c>
      <c r="R1084" s="377">
        <v>0</v>
      </c>
      <c r="S1084" s="377">
        <v>0</v>
      </c>
      <c r="T1084" s="428">
        <v>0</v>
      </c>
      <c r="U1084" s="377">
        <v>0</v>
      </c>
      <c r="V1084" s="377">
        <v>0</v>
      </c>
      <c r="W1084" s="428">
        <v>0</v>
      </c>
    </row>
    <row r="1085" spans="1:23" ht="15.75" x14ac:dyDescent="0.25">
      <c r="A1085" s="348" t="s">
        <v>604</v>
      </c>
      <c r="B1085" s="349">
        <v>28</v>
      </c>
      <c r="C1085" s="350" t="s">
        <v>552</v>
      </c>
      <c r="D1085" s="351">
        <v>45026</v>
      </c>
      <c r="E1085" s="352"/>
      <c r="F1085" s="352">
        <v>6</v>
      </c>
      <c r="G1085" s="353" t="s">
        <v>1423</v>
      </c>
      <c r="H1085" s="437" t="s">
        <v>606</v>
      </c>
      <c r="I1085" s="350" t="s">
        <v>393</v>
      </c>
      <c r="J1085" s="438">
        <f>143664+103362</f>
        <v>247026</v>
      </c>
      <c r="K1085" s="439" t="s">
        <v>394</v>
      </c>
      <c r="L1085" s="354">
        <v>2050.46</v>
      </c>
      <c r="M1085" s="440">
        <f t="shared" ref="M1085:M1091" si="46">J1085/L1085</f>
        <v>120.47345473698584</v>
      </c>
      <c r="N1085" s="354" t="s">
        <v>395</v>
      </c>
      <c r="O1085" s="354">
        <v>0</v>
      </c>
      <c r="P1085" s="355" t="s">
        <v>396</v>
      </c>
      <c r="Q1085" s="354" t="s">
        <v>397</v>
      </c>
      <c r="R1085" s="377">
        <v>0</v>
      </c>
      <c r="S1085" s="377">
        <v>0</v>
      </c>
      <c r="T1085" s="428">
        <v>0</v>
      </c>
      <c r="U1085" s="377">
        <v>0</v>
      </c>
      <c r="V1085" s="377">
        <v>0</v>
      </c>
      <c r="W1085" s="428">
        <v>0</v>
      </c>
    </row>
    <row r="1086" spans="1:23" ht="15.75" x14ac:dyDescent="0.25">
      <c r="A1086" s="348" t="s">
        <v>607</v>
      </c>
      <c r="B1086" s="349">
        <v>29</v>
      </c>
      <c r="C1086" s="350" t="s">
        <v>552</v>
      </c>
      <c r="D1086" s="351">
        <v>45049</v>
      </c>
      <c r="E1086" s="352"/>
      <c r="F1086" s="352">
        <v>6</v>
      </c>
      <c r="G1086" s="353" t="s">
        <v>1423</v>
      </c>
      <c r="H1086" s="437" t="s">
        <v>351</v>
      </c>
      <c r="I1086" s="350" t="s">
        <v>393</v>
      </c>
      <c r="J1086" s="438">
        <v>300000</v>
      </c>
      <c r="K1086" s="439" t="s">
        <v>394</v>
      </c>
      <c r="L1086" s="354">
        <v>2054.29</v>
      </c>
      <c r="M1086" s="440">
        <f t="shared" si="46"/>
        <v>146.03585667067455</v>
      </c>
      <c r="N1086" s="354" t="s">
        <v>395</v>
      </c>
      <c r="O1086" s="354">
        <v>0</v>
      </c>
      <c r="P1086" s="355" t="s">
        <v>396</v>
      </c>
      <c r="Q1086" s="354" t="s">
        <v>397</v>
      </c>
      <c r="R1086" s="377">
        <v>0</v>
      </c>
      <c r="S1086" s="377">
        <v>0</v>
      </c>
      <c r="T1086" s="428">
        <v>0</v>
      </c>
      <c r="U1086" s="377">
        <v>0</v>
      </c>
      <c r="V1086" s="377">
        <v>0</v>
      </c>
      <c r="W1086" s="428">
        <v>0</v>
      </c>
    </row>
    <row r="1087" spans="1:23" ht="19.5" customHeight="1" x14ac:dyDescent="0.25">
      <c r="A1087" s="348" t="s">
        <v>608</v>
      </c>
      <c r="B1087" s="349">
        <v>30</v>
      </c>
      <c r="C1087" s="350" t="s">
        <v>552</v>
      </c>
      <c r="D1087" s="351">
        <v>45041</v>
      </c>
      <c r="E1087" s="352"/>
      <c r="F1087" s="352">
        <v>6</v>
      </c>
      <c r="G1087" s="353" t="s">
        <v>1423</v>
      </c>
      <c r="H1087" s="437" t="s">
        <v>609</v>
      </c>
      <c r="I1087" s="350" t="s">
        <v>393</v>
      </c>
      <c r="J1087" s="438">
        <v>300000</v>
      </c>
      <c r="K1087" s="439" t="s">
        <v>394</v>
      </c>
      <c r="L1087" s="354">
        <v>2050.46</v>
      </c>
      <c r="M1087" s="440">
        <f t="shared" si="46"/>
        <v>146.30863318474877</v>
      </c>
      <c r="N1087" s="354" t="s">
        <v>395</v>
      </c>
      <c r="O1087" s="354">
        <v>0</v>
      </c>
      <c r="P1087" s="355" t="s">
        <v>396</v>
      </c>
      <c r="Q1087" s="354" t="s">
        <v>397</v>
      </c>
      <c r="R1087" s="377">
        <v>0</v>
      </c>
      <c r="S1087" s="377">
        <v>0</v>
      </c>
      <c r="T1087" s="428">
        <v>0</v>
      </c>
      <c r="U1087" s="377">
        <v>0</v>
      </c>
      <c r="V1087" s="377">
        <v>0</v>
      </c>
      <c r="W1087" s="428">
        <v>0</v>
      </c>
    </row>
    <row r="1088" spans="1:23" ht="15.75" x14ac:dyDescent="0.25">
      <c r="A1088" s="348" t="s">
        <v>608</v>
      </c>
      <c r="B1088" s="349">
        <v>31</v>
      </c>
      <c r="C1088" s="350" t="s">
        <v>552</v>
      </c>
      <c r="D1088" s="351">
        <v>45041</v>
      </c>
      <c r="E1088" s="352"/>
      <c r="F1088" s="352">
        <v>6</v>
      </c>
      <c r="G1088" s="353" t="s">
        <v>1423</v>
      </c>
      <c r="H1088" s="437" t="s">
        <v>606</v>
      </c>
      <c r="I1088" s="350" t="s">
        <v>393</v>
      </c>
      <c r="J1088" s="438">
        <v>224595</v>
      </c>
      <c r="K1088" s="439" t="s">
        <v>394</v>
      </c>
      <c r="L1088" s="354">
        <v>2050.46</v>
      </c>
      <c r="M1088" s="440">
        <f t="shared" si="46"/>
        <v>109.53395823376218</v>
      </c>
      <c r="N1088" s="354" t="s">
        <v>395</v>
      </c>
      <c r="O1088" s="354">
        <v>0</v>
      </c>
      <c r="P1088" s="355" t="s">
        <v>398</v>
      </c>
      <c r="Q1088" s="354" t="s">
        <v>397</v>
      </c>
      <c r="R1088" s="377">
        <v>0</v>
      </c>
      <c r="S1088" s="377">
        <v>0</v>
      </c>
      <c r="T1088" s="428">
        <v>0</v>
      </c>
      <c r="U1088" s="377">
        <v>0</v>
      </c>
      <c r="V1088" s="377">
        <v>0</v>
      </c>
      <c r="W1088" s="428">
        <v>0</v>
      </c>
    </row>
    <row r="1089" spans="1:23" ht="28.5" customHeight="1" x14ac:dyDescent="0.25">
      <c r="A1089" s="348" t="s">
        <v>608</v>
      </c>
      <c r="B1089" s="349">
        <v>32</v>
      </c>
      <c r="C1089" s="350" t="s">
        <v>552</v>
      </c>
      <c r="D1089" s="351">
        <v>45041</v>
      </c>
      <c r="E1089" s="352"/>
      <c r="F1089" s="352">
        <v>6</v>
      </c>
      <c r="G1089" s="353" t="s">
        <v>1423</v>
      </c>
      <c r="H1089" s="441" t="s">
        <v>610</v>
      </c>
      <c r="I1089" s="350" t="s">
        <v>393</v>
      </c>
      <c r="J1089" s="438">
        <v>10000</v>
      </c>
      <c r="K1089" s="439" t="s">
        <v>394</v>
      </c>
      <c r="L1089" s="354">
        <v>2050.46</v>
      </c>
      <c r="M1089" s="440">
        <f t="shared" si="46"/>
        <v>4.8769544394916258</v>
      </c>
      <c r="N1089" s="354" t="s">
        <v>395</v>
      </c>
      <c r="O1089" s="354">
        <v>0</v>
      </c>
      <c r="P1089" s="355" t="s">
        <v>399</v>
      </c>
      <c r="Q1089" s="354" t="s">
        <v>397</v>
      </c>
      <c r="R1089" s="377">
        <v>0</v>
      </c>
      <c r="S1089" s="377">
        <v>0</v>
      </c>
      <c r="T1089" s="428">
        <v>0</v>
      </c>
      <c r="U1089" s="377">
        <v>0</v>
      </c>
      <c r="V1089" s="377">
        <v>0</v>
      </c>
      <c r="W1089" s="428">
        <v>0</v>
      </c>
    </row>
    <row r="1090" spans="1:23" ht="15.75" x14ac:dyDescent="0.25">
      <c r="A1090" s="348" t="s">
        <v>611</v>
      </c>
      <c r="B1090" s="349">
        <v>33</v>
      </c>
      <c r="C1090" s="350" t="s">
        <v>552</v>
      </c>
      <c r="D1090" s="351">
        <v>45054</v>
      </c>
      <c r="E1090" s="352"/>
      <c r="F1090" s="352">
        <v>6</v>
      </c>
      <c r="G1090" s="353" t="s">
        <v>1423</v>
      </c>
      <c r="H1090" s="437" t="s">
        <v>351</v>
      </c>
      <c r="I1090" s="350" t="s">
        <v>393</v>
      </c>
      <c r="J1090" s="438">
        <v>300000</v>
      </c>
      <c r="K1090" s="439" t="s">
        <v>394</v>
      </c>
      <c r="L1090" s="354">
        <v>2054.29</v>
      </c>
      <c r="M1090" s="440">
        <f t="shared" si="46"/>
        <v>146.03585667067455</v>
      </c>
      <c r="N1090" s="354" t="s">
        <v>395</v>
      </c>
      <c r="O1090" s="354">
        <v>0</v>
      </c>
      <c r="P1090" s="355" t="s">
        <v>400</v>
      </c>
      <c r="Q1090" s="354" t="s">
        <v>397</v>
      </c>
      <c r="R1090" s="377">
        <v>0</v>
      </c>
      <c r="S1090" s="377">
        <v>0</v>
      </c>
      <c r="T1090" s="428">
        <v>0</v>
      </c>
      <c r="U1090" s="377">
        <v>0</v>
      </c>
      <c r="V1090" s="377">
        <v>0</v>
      </c>
      <c r="W1090" s="428">
        <v>0</v>
      </c>
    </row>
    <row r="1091" spans="1:23" ht="15.75" x14ac:dyDescent="0.25">
      <c r="A1091" s="348" t="s">
        <v>612</v>
      </c>
      <c r="B1091" s="349">
        <v>34</v>
      </c>
      <c r="C1091" s="350" t="s">
        <v>560</v>
      </c>
      <c r="D1091" s="351">
        <v>45050</v>
      </c>
      <c r="E1091" s="352"/>
      <c r="F1091" s="352">
        <v>6</v>
      </c>
      <c r="G1091" s="353" t="s">
        <v>1423</v>
      </c>
      <c r="H1091" s="441" t="s">
        <v>613</v>
      </c>
      <c r="I1091" s="350" t="s">
        <v>393</v>
      </c>
      <c r="J1091" s="438">
        <v>300000</v>
      </c>
      <c r="K1091" s="439" t="s">
        <v>394</v>
      </c>
      <c r="L1091" s="354">
        <v>2054.29</v>
      </c>
      <c r="M1091" s="440">
        <f t="shared" si="46"/>
        <v>146.03585667067455</v>
      </c>
      <c r="N1091" s="354" t="s">
        <v>395</v>
      </c>
      <c r="O1091" s="354">
        <v>0</v>
      </c>
      <c r="P1091" s="355" t="s">
        <v>401</v>
      </c>
      <c r="Q1091" s="354" t="s">
        <v>397</v>
      </c>
      <c r="R1091" s="377">
        <v>0</v>
      </c>
      <c r="S1091" s="377">
        <v>0</v>
      </c>
      <c r="T1091" s="428">
        <v>0</v>
      </c>
      <c r="U1091" s="377">
        <v>0</v>
      </c>
      <c r="V1091" s="377">
        <v>0</v>
      </c>
      <c r="W1091" s="428">
        <v>0</v>
      </c>
    </row>
    <row r="1092" spans="1:23" x14ac:dyDescent="0.25">
      <c r="A1092" s="348" t="s">
        <v>614</v>
      </c>
      <c r="B1092" s="349">
        <v>1</v>
      </c>
      <c r="C1092" s="442" t="s">
        <v>392</v>
      </c>
      <c r="D1092" s="351">
        <v>45042</v>
      </c>
      <c r="E1092" s="352"/>
      <c r="F1092" s="352">
        <v>6</v>
      </c>
      <c r="G1092" s="353" t="s">
        <v>1423</v>
      </c>
      <c r="H1092" s="350" t="s">
        <v>809</v>
      </c>
      <c r="I1092" s="350" t="s">
        <v>393</v>
      </c>
      <c r="J1092" s="375">
        <f>59900+296500</f>
        <v>356400</v>
      </c>
      <c r="K1092" s="350" t="s">
        <v>394</v>
      </c>
      <c r="L1092" s="354">
        <v>2050.46</v>
      </c>
      <c r="M1092" s="375">
        <f>J1092/L1092</f>
        <v>173.81465622348156</v>
      </c>
      <c r="N1092" s="354" t="s">
        <v>395</v>
      </c>
      <c r="O1092" s="354">
        <v>0</v>
      </c>
      <c r="P1092" s="355" t="s">
        <v>396</v>
      </c>
      <c r="Q1092" s="354" t="s">
        <v>346</v>
      </c>
      <c r="R1092" s="377">
        <v>0</v>
      </c>
      <c r="S1092" s="377">
        <v>0</v>
      </c>
      <c r="T1092" s="428">
        <v>0</v>
      </c>
      <c r="U1092" s="377">
        <v>0</v>
      </c>
      <c r="V1092" s="377">
        <v>0</v>
      </c>
      <c r="W1092" s="428">
        <v>0</v>
      </c>
    </row>
    <row r="1093" spans="1:23" x14ac:dyDescent="0.25">
      <c r="A1093" s="348" t="s">
        <v>614</v>
      </c>
      <c r="B1093" s="349">
        <v>1</v>
      </c>
      <c r="C1093" s="442" t="s">
        <v>392</v>
      </c>
      <c r="D1093" s="351">
        <v>45042</v>
      </c>
      <c r="E1093" s="352"/>
      <c r="F1093" s="352">
        <v>6</v>
      </c>
      <c r="G1093" s="353" t="s">
        <v>1423</v>
      </c>
      <c r="H1093" s="350" t="s">
        <v>810</v>
      </c>
      <c r="I1093" s="350" t="s">
        <v>393</v>
      </c>
      <c r="J1093" s="375">
        <f>360000</f>
        <v>360000</v>
      </c>
      <c r="K1093" s="350" t="s">
        <v>394</v>
      </c>
      <c r="L1093" s="354">
        <v>2050.46</v>
      </c>
      <c r="M1093" s="375">
        <f>J1093/L1093</f>
        <v>175.57035982169853</v>
      </c>
      <c r="N1093" s="354" t="s">
        <v>395</v>
      </c>
      <c r="O1093" s="354">
        <v>0</v>
      </c>
      <c r="P1093" s="355" t="s">
        <v>396</v>
      </c>
      <c r="Q1093" s="354" t="s">
        <v>346</v>
      </c>
      <c r="R1093" s="377">
        <v>0</v>
      </c>
      <c r="S1093" s="377">
        <v>0</v>
      </c>
      <c r="T1093" s="428">
        <v>0</v>
      </c>
      <c r="U1093" s="377">
        <v>0</v>
      </c>
      <c r="V1093" s="377">
        <v>0</v>
      </c>
      <c r="W1093" s="428">
        <v>0</v>
      </c>
    </row>
    <row r="1094" spans="1:23" x14ac:dyDescent="0.25">
      <c r="A1094" s="348" t="s">
        <v>614</v>
      </c>
      <c r="B1094" s="349">
        <v>1</v>
      </c>
      <c r="C1094" s="442" t="s">
        <v>392</v>
      </c>
      <c r="D1094" s="351">
        <v>45042</v>
      </c>
      <c r="E1094" s="352"/>
      <c r="F1094" s="352">
        <v>6</v>
      </c>
      <c r="G1094" s="353" t="s">
        <v>1423</v>
      </c>
      <c r="H1094" s="350" t="s">
        <v>811</v>
      </c>
      <c r="I1094" s="350" t="s">
        <v>393</v>
      </c>
      <c r="J1094" s="375">
        <f>30000</f>
        <v>30000</v>
      </c>
      <c r="K1094" s="350" t="s">
        <v>394</v>
      </c>
      <c r="L1094" s="354">
        <v>2050.46</v>
      </c>
      <c r="M1094" s="375">
        <f>J1094/L1094</f>
        <v>14.630863318474878</v>
      </c>
      <c r="N1094" s="354" t="s">
        <v>395</v>
      </c>
      <c r="O1094" s="354">
        <v>0</v>
      </c>
      <c r="P1094" s="355" t="s">
        <v>396</v>
      </c>
      <c r="Q1094" s="354" t="s">
        <v>346</v>
      </c>
      <c r="R1094" s="377">
        <v>0</v>
      </c>
      <c r="S1094" s="377">
        <v>0</v>
      </c>
      <c r="T1094" s="428">
        <v>0</v>
      </c>
      <c r="U1094" s="377">
        <v>0</v>
      </c>
      <c r="V1094" s="377">
        <v>0</v>
      </c>
      <c r="W1094" s="428">
        <v>0</v>
      </c>
    </row>
    <row r="1095" spans="1:23" x14ac:dyDescent="0.25">
      <c r="A1095" s="348" t="s">
        <v>614</v>
      </c>
      <c r="B1095" s="349">
        <v>1</v>
      </c>
      <c r="C1095" s="442" t="s">
        <v>392</v>
      </c>
      <c r="D1095" s="351">
        <v>45042</v>
      </c>
      <c r="E1095" s="352"/>
      <c r="F1095" s="352">
        <v>6</v>
      </c>
      <c r="G1095" s="353" t="s">
        <v>1423</v>
      </c>
      <c r="H1095" s="350" t="s">
        <v>812</v>
      </c>
      <c r="I1095" s="350" t="s">
        <v>393</v>
      </c>
      <c r="J1095" s="375">
        <f>20000+20000</f>
        <v>40000</v>
      </c>
      <c r="K1095" s="350" t="s">
        <v>394</v>
      </c>
      <c r="L1095" s="354">
        <v>2050.46</v>
      </c>
      <c r="M1095" s="375">
        <f>J1095/L1095</f>
        <v>19.507817757966503</v>
      </c>
      <c r="N1095" s="354" t="s">
        <v>395</v>
      </c>
      <c r="O1095" s="354">
        <v>0</v>
      </c>
      <c r="P1095" s="355" t="s">
        <v>396</v>
      </c>
      <c r="Q1095" s="354" t="s">
        <v>346</v>
      </c>
      <c r="R1095" s="377">
        <v>0</v>
      </c>
      <c r="S1095" s="377">
        <v>0</v>
      </c>
      <c r="T1095" s="428">
        <v>0</v>
      </c>
      <c r="U1095" s="377">
        <v>0</v>
      </c>
      <c r="V1095" s="377">
        <v>0</v>
      </c>
      <c r="W1095" s="428">
        <v>0</v>
      </c>
    </row>
    <row r="1096" spans="1:23" x14ac:dyDescent="0.25">
      <c r="A1096" s="348" t="s">
        <v>615</v>
      </c>
      <c r="B1096" s="349">
        <v>2</v>
      </c>
      <c r="C1096" s="350" t="s">
        <v>616</v>
      </c>
      <c r="D1096" s="351">
        <v>45051</v>
      </c>
      <c r="E1096" s="352"/>
      <c r="F1096" s="352">
        <v>6</v>
      </c>
      <c r="G1096" s="353" t="s">
        <v>1423</v>
      </c>
      <c r="H1096" s="350" t="s">
        <v>813</v>
      </c>
      <c r="I1096" s="350" t="s">
        <v>393</v>
      </c>
      <c r="J1096" s="375">
        <v>300000</v>
      </c>
      <c r="K1096" s="350" t="s">
        <v>394</v>
      </c>
      <c r="L1096" s="354">
        <v>2054.29</v>
      </c>
      <c r="M1096" s="375">
        <f>J1096/L1096</f>
        <v>146.03585667067455</v>
      </c>
      <c r="N1096" s="354" t="s">
        <v>395</v>
      </c>
      <c r="O1096" s="354">
        <v>0</v>
      </c>
      <c r="P1096" s="355" t="s">
        <v>396</v>
      </c>
      <c r="Q1096" s="354" t="s">
        <v>346</v>
      </c>
      <c r="R1096" s="377">
        <v>0</v>
      </c>
      <c r="S1096" s="377">
        <v>0</v>
      </c>
      <c r="T1096" s="428">
        <v>0</v>
      </c>
      <c r="U1096" s="377">
        <v>0</v>
      </c>
      <c r="V1096" s="377">
        <v>0</v>
      </c>
      <c r="W1096" s="428">
        <v>0</v>
      </c>
    </row>
    <row r="1097" spans="1:23" x14ac:dyDescent="0.25">
      <c r="A1097" s="348" t="s">
        <v>1536</v>
      </c>
      <c r="B1097" s="349">
        <v>9</v>
      </c>
      <c r="C1097" s="380">
        <v>45078</v>
      </c>
      <c r="D1097" s="351">
        <v>45107</v>
      </c>
      <c r="E1097" s="352"/>
      <c r="F1097" s="352">
        <v>6</v>
      </c>
      <c r="G1097" s="351" t="s">
        <v>1423</v>
      </c>
      <c r="H1097" s="350" t="s">
        <v>1537</v>
      </c>
      <c r="I1097" s="350" t="s">
        <v>393</v>
      </c>
      <c r="J1097" s="375">
        <v>700000</v>
      </c>
      <c r="K1097" s="350" t="s">
        <v>394</v>
      </c>
      <c r="L1097" s="354">
        <v>2803.6597999999999</v>
      </c>
      <c r="M1097" s="375">
        <f t="shared" ref="M1097:M1099" si="47">J1097/L1097</f>
        <v>249.67365869425385</v>
      </c>
      <c r="N1097" s="354" t="s">
        <v>395</v>
      </c>
      <c r="O1097" s="354">
        <v>0</v>
      </c>
      <c r="P1097" s="355" t="s">
        <v>396</v>
      </c>
      <c r="Q1097" s="354" t="s">
        <v>346</v>
      </c>
      <c r="R1097" s="377">
        <v>0</v>
      </c>
      <c r="S1097" s="377">
        <v>0</v>
      </c>
      <c r="T1097" s="428">
        <v>0</v>
      </c>
      <c r="U1097" s="377">
        <v>0</v>
      </c>
      <c r="V1097" s="377">
        <v>0</v>
      </c>
      <c r="W1097" s="428">
        <v>0</v>
      </c>
    </row>
    <row r="1098" spans="1:23" x14ac:dyDescent="0.25">
      <c r="A1098" s="348" t="s">
        <v>1538</v>
      </c>
      <c r="B1098" s="349">
        <v>10</v>
      </c>
      <c r="C1098" s="380">
        <v>45078</v>
      </c>
      <c r="D1098" s="351">
        <v>45107</v>
      </c>
      <c r="E1098" s="352"/>
      <c r="F1098" s="352">
        <v>6</v>
      </c>
      <c r="G1098" s="351" t="s">
        <v>1423</v>
      </c>
      <c r="H1098" s="350" t="s">
        <v>1539</v>
      </c>
      <c r="I1098" s="350" t="s">
        <v>393</v>
      </c>
      <c r="J1098" s="375">
        <v>3375000</v>
      </c>
      <c r="K1098" s="350" t="s">
        <v>394</v>
      </c>
      <c r="L1098" s="354">
        <v>2803.6597999999999</v>
      </c>
      <c r="M1098" s="375">
        <f t="shared" si="47"/>
        <v>1203.7837115615812</v>
      </c>
      <c r="N1098" s="354" t="s">
        <v>395</v>
      </c>
      <c r="O1098" s="354">
        <v>0</v>
      </c>
      <c r="P1098" s="355" t="s">
        <v>396</v>
      </c>
      <c r="Q1098" s="354" t="s">
        <v>346</v>
      </c>
      <c r="R1098" s="377">
        <v>0</v>
      </c>
      <c r="S1098" s="377">
        <v>0</v>
      </c>
      <c r="T1098" s="428">
        <v>0</v>
      </c>
      <c r="U1098" s="377">
        <v>0</v>
      </c>
      <c r="V1098" s="377">
        <v>0</v>
      </c>
      <c r="W1098" s="428">
        <v>0</v>
      </c>
    </row>
    <row r="1099" spans="1:23" x14ac:dyDescent="0.25">
      <c r="A1099" s="348" t="s">
        <v>1540</v>
      </c>
      <c r="B1099" s="349">
        <v>11</v>
      </c>
      <c r="C1099" s="380">
        <v>45078</v>
      </c>
      <c r="D1099" s="351">
        <v>45107</v>
      </c>
      <c r="E1099" s="352"/>
      <c r="F1099" s="352">
        <v>6</v>
      </c>
      <c r="G1099" s="351" t="s">
        <v>1423</v>
      </c>
      <c r="H1099" s="350" t="s">
        <v>1541</v>
      </c>
      <c r="I1099" s="350" t="s">
        <v>393</v>
      </c>
      <c r="J1099" s="375">
        <v>70000</v>
      </c>
      <c r="K1099" s="350" t="s">
        <v>394</v>
      </c>
      <c r="L1099" s="354">
        <v>2803.6597999999999</v>
      </c>
      <c r="M1099" s="354">
        <f t="shared" si="47"/>
        <v>24.967365869425386</v>
      </c>
      <c r="N1099" s="354" t="s">
        <v>395</v>
      </c>
      <c r="O1099" s="354">
        <v>0</v>
      </c>
      <c r="P1099" s="355" t="s">
        <v>396</v>
      </c>
      <c r="Q1099" s="354" t="s">
        <v>346</v>
      </c>
      <c r="R1099" s="377">
        <v>0</v>
      </c>
      <c r="S1099" s="377">
        <v>0</v>
      </c>
      <c r="T1099" s="428">
        <v>0</v>
      </c>
      <c r="U1099" s="377">
        <v>0</v>
      </c>
      <c r="V1099" s="377">
        <v>0</v>
      </c>
      <c r="W1099" s="428">
        <v>0</v>
      </c>
    </row>
    <row r="1100" spans="1:23" x14ac:dyDescent="0.25">
      <c r="A1100" s="348" t="s">
        <v>636</v>
      </c>
      <c r="B1100" s="349">
        <v>5035</v>
      </c>
      <c r="C1100" s="350" t="s">
        <v>628</v>
      </c>
      <c r="D1100" s="351">
        <v>45078</v>
      </c>
      <c r="E1100" s="352">
        <v>3730</v>
      </c>
      <c r="F1100" s="352">
        <v>4</v>
      </c>
      <c r="G1100" s="353" t="s">
        <v>1423</v>
      </c>
      <c r="H1100" s="350" t="s">
        <v>637</v>
      </c>
      <c r="I1100" s="350" t="s">
        <v>393</v>
      </c>
      <c r="J1100" s="375">
        <v>29000000</v>
      </c>
      <c r="K1100" s="350" t="s">
        <v>394</v>
      </c>
      <c r="L1100" s="354">
        <v>0</v>
      </c>
      <c r="M1100" s="375">
        <v>10385.049999999999</v>
      </c>
      <c r="N1100" s="354" t="s">
        <v>395</v>
      </c>
      <c r="O1100" s="375">
        <v>8378.39</v>
      </c>
      <c r="P1100" s="355" t="s">
        <v>396</v>
      </c>
      <c r="Q1100" s="354" t="s">
        <v>404</v>
      </c>
      <c r="R1100" s="355" t="s">
        <v>405</v>
      </c>
      <c r="S1100" s="377">
        <v>0</v>
      </c>
      <c r="T1100" s="348" t="s">
        <v>406</v>
      </c>
      <c r="U1100" s="351">
        <v>45112</v>
      </c>
      <c r="V1100" s="351">
        <v>45112</v>
      </c>
      <c r="W1100" s="350" t="s">
        <v>407</v>
      </c>
    </row>
    <row r="1101" spans="1:23" x14ac:dyDescent="0.25">
      <c r="A1101" s="348" t="s">
        <v>843</v>
      </c>
      <c r="B1101" s="349">
        <v>4</v>
      </c>
      <c r="C1101" s="423" t="s">
        <v>827</v>
      </c>
      <c r="D1101" s="351">
        <v>45167</v>
      </c>
      <c r="E1101" s="352"/>
      <c r="F1101" s="352">
        <v>6</v>
      </c>
      <c r="G1101" s="353" t="s">
        <v>1423</v>
      </c>
      <c r="H1101" s="350" t="s">
        <v>844</v>
      </c>
      <c r="I1101" s="350" t="s">
        <v>393</v>
      </c>
      <c r="J1101" s="560">
        <v>292250</v>
      </c>
      <c r="K1101" s="350" t="s">
        <v>394</v>
      </c>
      <c r="L1101" s="353">
        <v>2830.26</v>
      </c>
      <c r="M1101" s="354">
        <f>J1101/L1101</f>
        <v>103.2590645382403</v>
      </c>
      <c r="N1101" s="354" t="s">
        <v>395</v>
      </c>
      <c r="O1101" s="354">
        <v>0</v>
      </c>
      <c r="P1101" s="355" t="s">
        <v>396</v>
      </c>
      <c r="Q1101" s="354" t="s">
        <v>344</v>
      </c>
      <c r="R1101" s="377">
        <v>0</v>
      </c>
      <c r="S1101" s="377">
        <v>0</v>
      </c>
      <c r="T1101" s="428">
        <v>0</v>
      </c>
      <c r="U1101" s="377">
        <v>0</v>
      </c>
      <c r="V1101" s="377">
        <v>0</v>
      </c>
      <c r="W1101" s="428">
        <v>0</v>
      </c>
    </row>
    <row r="1102" spans="1:23" x14ac:dyDescent="0.25">
      <c r="A1102" s="348" t="s">
        <v>843</v>
      </c>
      <c r="B1102" s="349">
        <v>4</v>
      </c>
      <c r="C1102" s="423" t="s">
        <v>827</v>
      </c>
      <c r="D1102" s="351">
        <v>45167</v>
      </c>
      <c r="E1102" s="352"/>
      <c r="F1102" s="352">
        <v>6</v>
      </c>
      <c r="G1102" s="353" t="s">
        <v>1423</v>
      </c>
      <c r="H1102" s="350" t="s">
        <v>845</v>
      </c>
      <c r="I1102" s="350" t="s">
        <v>393</v>
      </c>
      <c r="J1102" s="560">
        <f>380000+470000</f>
        <v>850000</v>
      </c>
      <c r="K1102" s="350" t="s">
        <v>394</v>
      </c>
      <c r="L1102" s="353">
        <v>2830.26</v>
      </c>
      <c r="M1102" s="354">
        <f t="shared" ref="M1102:M1104" si="48">J1102/L1102</f>
        <v>300.32576512405217</v>
      </c>
      <c r="N1102" s="354" t="s">
        <v>395</v>
      </c>
      <c r="O1102" s="354">
        <v>0</v>
      </c>
      <c r="P1102" s="355" t="s">
        <v>396</v>
      </c>
      <c r="Q1102" s="354" t="s">
        <v>344</v>
      </c>
      <c r="R1102" s="377">
        <v>0</v>
      </c>
      <c r="S1102" s="377">
        <v>0</v>
      </c>
      <c r="T1102" s="428">
        <v>0</v>
      </c>
      <c r="U1102" s="377">
        <v>0</v>
      </c>
      <c r="V1102" s="377">
        <v>0</v>
      </c>
      <c r="W1102" s="428">
        <v>0</v>
      </c>
    </row>
    <row r="1103" spans="1:23" x14ac:dyDescent="0.25">
      <c r="A1103" s="348" t="s">
        <v>843</v>
      </c>
      <c r="B1103" s="349">
        <v>4</v>
      </c>
      <c r="C1103" s="423" t="s">
        <v>827</v>
      </c>
      <c r="D1103" s="351">
        <v>45167</v>
      </c>
      <c r="E1103" s="352"/>
      <c r="F1103" s="352">
        <v>6</v>
      </c>
      <c r="G1103" s="353" t="s">
        <v>1423</v>
      </c>
      <c r="H1103" s="350" t="s">
        <v>846</v>
      </c>
      <c r="I1103" s="350" t="s">
        <v>393</v>
      </c>
      <c r="J1103" s="560">
        <v>50000</v>
      </c>
      <c r="K1103" s="350" t="s">
        <v>394</v>
      </c>
      <c r="L1103" s="353">
        <v>2830.26</v>
      </c>
      <c r="M1103" s="354">
        <f t="shared" si="48"/>
        <v>17.666221477885422</v>
      </c>
      <c r="N1103" s="354" t="s">
        <v>395</v>
      </c>
      <c r="O1103" s="354">
        <v>0</v>
      </c>
      <c r="P1103" s="355" t="s">
        <v>396</v>
      </c>
      <c r="Q1103" s="354" t="s">
        <v>344</v>
      </c>
      <c r="R1103" s="377">
        <v>0</v>
      </c>
      <c r="S1103" s="377">
        <v>0</v>
      </c>
      <c r="T1103" s="428">
        <v>0</v>
      </c>
      <c r="U1103" s="377">
        <v>0</v>
      </c>
      <c r="V1103" s="377">
        <v>0</v>
      </c>
      <c r="W1103" s="428">
        <v>0</v>
      </c>
    </row>
    <row r="1104" spans="1:23" x14ac:dyDescent="0.25">
      <c r="A1104" s="348" t="s">
        <v>847</v>
      </c>
      <c r="B1104" s="349">
        <v>5</v>
      </c>
      <c r="C1104" s="380">
        <v>45170</v>
      </c>
      <c r="D1104" s="582">
        <v>45174</v>
      </c>
      <c r="E1104" s="352"/>
      <c r="F1104" s="352">
        <v>6</v>
      </c>
      <c r="G1104" s="353" t="s">
        <v>1423</v>
      </c>
      <c r="H1104" s="350" t="s">
        <v>848</v>
      </c>
      <c r="I1104" s="350" t="s">
        <v>393</v>
      </c>
      <c r="J1104" s="560">
        <v>390000</v>
      </c>
      <c r="K1104" s="350" t="s">
        <v>394</v>
      </c>
      <c r="L1104" s="353">
        <v>2830.26</v>
      </c>
      <c r="M1104" s="354">
        <f t="shared" si="48"/>
        <v>137.7965275275063</v>
      </c>
      <c r="N1104" s="354" t="s">
        <v>395</v>
      </c>
      <c r="O1104" s="354">
        <v>0</v>
      </c>
      <c r="P1104" s="355" t="s">
        <v>396</v>
      </c>
      <c r="Q1104" s="354" t="s">
        <v>344</v>
      </c>
      <c r="R1104" s="377">
        <v>0</v>
      </c>
      <c r="S1104" s="377">
        <v>0</v>
      </c>
      <c r="T1104" s="428">
        <v>0</v>
      </c>
      <c r="U1104" s="377">
        <v>0</v>
      </c>
      <c r="V1104" s="377">
        <v>0</v>
      </c>
      <c r="W1104" s="428">
        <v>0</v>
      </c>
    </row>
    <row r="1105" spans="1:23" x14ac:dyDescent="0.25">
      <c r="A1105" s="348" t="s">
        <v>1455</v>
      </c>
      <c r="B1105" s="349">
        <v>5139</v>
      </c>
      <c r="C1105" s="350" t="s">
        <v>1429</v>
      </c>
      <c r="D1105" s="351">
        <v>45120</v>
      </c>
      <c r="E1105" s="352">
        <v>3540</v>
      </c>
      <c r="F1105" s="352">
        <v>2</v>
      </c>
      <c r="G1105" s="353" t="s">
        <v>1423</v>
      </c>
      <c r="H1105" s="350" t="s">
        <v>513</v>
      </c>
      <c r="I1105" s="350" t="s">
        <v>393</v>
      </c>
      <c r="J1105" s="354">
        <v>97450</v>
      </c>
      <c r="K1105" s="350" t="s">
        <v>394</v>
      </c>
      <c r="L1105" s="354">
        <v>2.8078499999999998E-4</v>
      </c>
      <c r="M1105" s="354">
        <v>34.74</v>
      </c>
      <c r="N1105" s="350" t="s">
        <v>395</v>
      </c>
      <c r="O1105" s="354">
        <v>27.36</v>
      </c>
      <c r="P1105" s="355" t="s">
        <v>396</v>
      </c>
      <c r="Q1105" s="354" t="s">
        <v>404</v>
      </c>
      <c r="R1105" s="355" t="s">
        <v>405</v>
      </c>
      <c r="S1105" s="355">
        <v>0</v>
      </c>
      <c r="T1105" s="350" t="s">
        <v>406</v>
      </c>
      <c r="U1105" s="351">
        <v>45141</v>
      </c>
      <c r="V1105" s="351">
        <v>45139</v>
      </c>
      <c r="W1105" s="350" t="s">
        <v>407</v>
      </c>
    </row>
    <row r="1106" spans="1:23" x14ac:dyDescent="0.25">
      <c r="A1106" s="348" t="s">
        <v>1475</v>
      </c>
      <c r="B1106" s="349">
        <v>5410</v>
      </c>
      <c r="C1106" s="350" t="s">
        <v>1469</v>
      </c>
      <c r="D1106" s="351">
        <v>45138</v>
      </c>
      <c r="E1106" s="352">
        <v>3350</v>
      </c>
      <c r="F1106" s="352">
        <v>5</v>
      </c>
      <c r="G1106" s="353" t="s">
        <v>1423</v>
      </c>
      <c r="H1106" s="350" t="s">
        <v>1476</v>
      </c>
      <c r="I1106" s="350" t="s">
        <v>393</v>
      </c>
      <c r="J1106" s="354">
        <v>265800</v>
      </c>
      <c r="K1106" s="350" t="s">
        <v>394</v>
      </c>
      <c r="L1106" s="354">
        <v>2.7534199999999998E-4</v>
      </c>
      <c r="M1106" s="354">
        <v>94.18</v>
      </c>
      <c r="N1106" s="350" t="s">
        <v>395</v>
      </c>
      <c r="O1106" s="354">
        <v>73.19</v>
      </c>
      <c r="P1106" s="355" t="s">
        <v>396</v>
      </c>
      <c r="Q1106" s="354" t="s">
        <v>404</v>
      </c>
      <c r="R1106" s="355" t="s">
        <v>405</v>
      </c>
      <c r="S1106" s="355">
        <v>0</v>
      </c>
      <c r="T1106" s="350" t="s">
        <v>410</v>
      </c>
      <c r="U1106" s="351">
        <v>45175</v>
      </c>
      <c r="V1106" s="351">
        <v>45175</v>
      </c>
      <c r="W1106" s="350" t="s">
        <v>407</v>
      </c>
    </row>
    <row r="1107" spans="1:23" x14ac:dyDescent="0.25">
      <c r="A1107" s="348" t="s">
        <v>1483</v>
      </c>
      <c r="B1107" s="349">
        <v>5450</v>
      </c>
      <c r="C1107" s="350" t="s">
        <v>1469</v>
      </c>
      <c r="D1107" s="351">
        <v>45159</v>
      </c>
      <c r="E1107" s="352">
        <v>3780</v>
      </c>
      <c r="F1107" s="352">
        <v>4</v>
      </c>
      <c r="G1107" s="353" t="s">
        <v>1423</v>
      </c>
      <c r="H1107" s="350" t="s">
        <v>1484</v>
      </c>
      <c r="I1107" s="350" t="s">
        <v>393</v>
      </c>
      <c r="J1107" s="354">
        <v>188000</v>
      </c>
      <c r="K1107" s="350" t="s">
        <v>394</v>
      </c>
      <c r="L1107" s="354">
        <v>2.7534199999999998E-4</v>
      </c>
      <c r="M1107" s="354">
        <v>66.61</v>
      </c>
      <c r="N1107" s="350" t="s">
        <v>395</v>
      </c>
      <c r="O1107" s="354">
        <v>51.76</v>
      </c>
      <c r="P1107" s="355" t="s">
        <v>396</v>
      </c>
      <c r="Q1107" s="354" t="s">
        <v>404</v>
      </c>
      <c r="R1107" s="355" t="s">
        <v>405</v>
      </c>
      <c r="S1107" s="355">
        <v>0</v>
      </c>
      <c r="T1107" s="350" t="s">
        <v>410</v>
      </c>
      <c r="U1107" s="351">
        <v>45175</v>
      </c>
      <c r="V1107" s="351">
        <v>45175</v>
      </c>
      <c r="W1107" s="350" t="s">
        <v>407</v>
      </c>
    </row>
    <row r="1108" spans="1:23" x14ac:dyDescent="0.25">
      <c r="A1108" s="348" t="s">
        <v>1490</v>
      </c>
      <c r="B1108" s="349">
        <v>5323</v>
      </c>
      <c r="C1108" s="350" t="s">
        <v>1469</v>
      </c>
      <c r="D1108" s="351">
        <v>45152</v>
      </c>
      <c r="E1108" s="352">
        <v>3350</v>
      </c>
      <c r="F1108" s="352">
        <v>5</v>
      </c>
      <c r="G1108" s="353" t="s">
        <v>1423</v>
      </c>
      <c r="H1108" s="350" t="s">
        <v>1491</v>
      </c>
      <c r="I1108" s="350" t="s">
        <v>393</v>
      </c>
      <c r="J1108" s="354">
        <v>335895</v>
      </c>
      <c r="K1108" s="350" t="s">
        <v>394</v>
      </c>
      <c r="L1108" s="354">
        <v>2.7534199999999998E-4</v>
      </c>
      <c r="M1108" s="354">
        <v>119.01</v>
      </c>
      <c r="N1108" s="350" t="s">
        <v>395</v>
      </c>
      <c r="O1108" s="354">
        <v>92.49</v>
      </c>
      <c r="P1108" s="355" t="s">
        <v>396</v>
      </c>
      <c r="Q1108" s="354" t="s">
        <v>404</v>
      </c>
      <c r="R1108" s="355" t="s">
        <v>405</v>
      </c>
      <c r="S1108" s="355">
        <v>0</v>
      </c>
      <c r="T1108" s="350" t="s">
        <v>406</v>
      </c>
      <c r="U1108" s="351">
        <v>45173</v>
      </c>
      <c r="V1108" s="351">
        <v>45174</v>
      </c>
      <c r="W1108" s="350" t="s">
        <v>407</v>
      </c>
    </row>
    <row r="1109" spans="1:23" x14ac:dyDescent="0.25">
      <c r="A1109" s="348" t="s">
        <v>1497</v>
      </c>
      <c r="B1109" s="349">
        <v>5379</v>
      </c>
      <c r="C1109" s="350" t="s">
        <v>1469</v>
      </c>
      <c r="D1109" s="351">
        <v>45168</v>
      </c>
      <c r="E1109" s="352">
        <v>3390</v>
      </c>
      <c r="F1109" s="352">
        <v>5</v>
      </c>
      <c r="G1109" s="353" t="s">
        <v>1423</v>
      </c>
      <c r="H1109" s="350" t="s">
        <v>1498</v>
      </c>
      <c r="I1109" s="350" t="s">
        <v>393</v>
      </c>
      <c r="J1109" s="354">
        <v>1761000</v>
      </c>
      <c r="K1109" s="350" t="s">
        <v>394</v>
      </c>
      <c r="L1109" s="354">
        <v>2.7534199999999998E-4</v>
      </c>
      <c r="M1109" s="354">
        <v>623.94000000000005</v>
      </c>
      <c r="N1109" s="350" t="s">
        <v>395</v>
      </c>
      <c r="O1109" s="354">
        <v>484.88</v>
      </c>
      <c r="P1109" s="355" t="s">
        <v>396</v>
      </c>
      <c r="Q1109" s="354" t="s">
        <v>404</v>
      </c>
      <c r="R1109" s="355" t="s">
        <v>405</v>
      </c>
      <c r="S1109" s="355">
        <v>0</v>
      </c>
      <c r="T1109" s="350" t="s">
        <v>406</v>
      </c>
      <c r="U1109" s="351">
        <v>45173</v>
      </c>
      <c r="V1109" s="351">
        <v>45174</v>
      </c>
      <c r="W1109" s="350" t="s">
        <v>407</v>
      </c>
    </row>
    <row r="1110" spans="1:23" x14ac:dyDescent="0.25">
      <c r="A1110" s="348" t="s">
        <v>1499</v>
      </c>
      <c r="B1110" s="349">
        <v>5343</v>
      </c>
      <c r="C1110" s="350" t="s">
        <v>1469</v>
      </c>
      <c r="D1110" s="351">
        <v>45169</v>
      </c>
      <c r="E1110" s="352">
        <v>3780</v>
      </c>
      <c r="F1110" s="352">
        <v>4</v>
      </c>
      <c r="G1110" s="353" t="s">
        <v>1423</v>
      </c>
      <c r="H1110" s="591" t="s">
        <v>1500</v>
      </c>
      <c r="I1110" s="350" t="s">
        <v>393</v>
      </c>
      <c r="J1110" s="354">
        <v>7010000</v>
      </c>
      <c r="K1110" s="350" t="s">
        <v>394</v>
      </c>
      <c r="L1110" s="354">
        <v>2.7534199999999998E-4</v>
      </c>
      <c r="M1110" s="354">
        <v>2483.71</v>
      </c>
      <c r="N1110" s="350" t="s">
        <v>395</v>
      </c>
      <c r="O1110" s="354">
        <v>1930.15</v>
      </c>
      <c r="P1110" s="355" t="s">
        <v>396</v>
      </c>
      <c r="Q1110" s="354" t="s">
        <v>404</v>
      </c>
      <c r="R1110" s="355" t="s">
        <v>405</v>
      </c>
      <c r="S1110" s="355">
        <v>117872</v>
      </c>
      <c r="T1110" s="350" t="s">
        <v>406</v>
      </c>
      <c r="U1110" s="351">
        <v>45173</v>
      </c>
      <c r="V1110" s="351">
        <v>45174</v>
      </c>
      <c r="W1110" s="350" t="s">
        <v>407</v>
      </c>
    </row>
    <row r="1111" spans="1:23" x14ac:dyDescent="0.25">
      <c r="A1111" s="348" t="s">
        <v>1529</v>
      </c>
      <c r="B1111" s="349">
        <v>5508</v>
      </c>
      <c r="C1111" s="350" t="s">
        <v>1501</v>
      </c>
      <c r="D1111" s="351">
        <v>45182</v>
      </c>
      <c r="E1111" s="352">
        <v>3780</v>
      </c>
      <c r="F1111" s="352">
        <v>4</v>
      </c>
      <c r="G1111" s="353" t="s">
        <v>1423</v>
      </c>
      <c r="H1111" s="350" t="s">
        <v>1530</v>
      </c>
      <c r="I1111" s="350" t="s">
        <v>393</v>
      </c>
      <c r="J1111" s="354">
        <v>2500000</v>
      </c>
      <c r="K1111" s="350" t="s">
        <v>394</v>
      </c>
      <c r="L1111" s="354">
        <v>2.7904399999999999E-4</v>
      </c>
      <c r="M1111" s="354">
        <v>883.87</v>
      </c>
      <c r="N1111" s="350" t="s">
        <v>395</v>
      </c>
      <c r="O1111" s="354">
        <v>697.61</v>
      </c>
      <c r="P1111" s="355" t="s">
        <v>396</v>
      </c>
      <c r="Q1111" s="354" t="s">
        <v>404</v>
      </c>
      <c r="R1111" s="355" t="s">
        <v>405</v>
      </c>
      <c r="S1111" s="355">
        <v>0</v>
      </c>
      <c r="T1111" s="350" t="s">
        <v>406</v>
      </c>
      <c r="U1111" s="351">
        <v>45203</v>
      </c>
      <c r="V1111" s="351">
        <v>45203</v>
      </c>
      <c r="W1111" s="350" t="s">
        <v>407</v>
      </c>
    </row>
    <row r="1112" spans="1:23" x14ac:dyDescent="0.25">
      <c r="A1112" s="348" t="s">
        <v>1531</v>
      </c>
      <c r="B1112" s="349">
        <v>5547</v>
      </c>
      <c r="C1112" s="350" t="s">
        <v>1501</v>
      </c>
      <c r="D1112" s="351">
        <v>45173</v>
      </c>
      <c r="E1112" s="352">
        <v>3570</v>
      </c>
      <c r="F1112" s="352">
        <v>7</v>
      </c>
      <c r="G1112" s="353" t="s">
        <v>1423</v>
      </c>
      <c r="H1112" s="350" t="s">
        <v>1532</v>
      </c>
      <c r="I1112" s="350" t="s">
        <v>393</v>
      </c>
      <c r="J1112" s="354">
        <v>1920000</v>
      </c>
      <c r="K1112" s="350" t="s">
        <v>394</v>
      </c>
      <c r="L1112" s="354">
        <v>2.7904399999999999E-4</v>
      </c>
      <c r="M1112" s="354">
        <v>678.81</v>
      </c>
      <c r="N1112" s="350" t="s">
        <v>395</v>
      </c>
      <c r="O1112" s="354">
        <v>535.76</v>
      </c>
      <c r="P1112" s="355" t="s">
        <v>396</v>
      </c>
      <c r="Q1112" s="354" t="s">
        <v>404</v>
      </c>
      <c r="R1112" s="355" t="s">
        <v>405</v>
      </c>
      <c r="S1112" s="355">
        <v>0</v>
      </c>
      <c r="T1112" s="350" t="s">
        <v>406</v>
      </c>
      <c r="U1112" s="351">
        <v>45205</v>
      </c>
      <c r="V1112" s="351">
        <v>45205</v>
      </c>
      <c r="W1112" s="350" t="s">
        <v>407</v>
      </c>
    </row>
    <row r="1113" spans="1:23" x14ac:dyDescent="0.25">
      <c r="A1113" s="348" t="s">
        <v>1533</v>
      </c>
      <c r="B1113" s="349">
        <v>5546</v>
      </c>
      <c r="C1113" s="350" t="s">
        <v>1501</v>
      </c>
      <c r="D1113" s="351">
        <v>45183</v>
      </c>
      <c r="E1113" s="352">
        <v>3570</v>
      </c>
      <c r="F1113" s="352">
        <v>7</v>
      </c>
      <c r="G1113" s="353" t="s">
        <v>1423</v>
      </c>
      <c r="H1113" s="350" t="s">
        <v>1534</v>
      </c>
      <c r="I1113" s="350" t="s">
        <v>393</v>
      </c>
      <c r="J1113" s="354">
        <v>444000</v>
      </c>
      <c r="K1113" s="350" t="s">
        <v>394</v>
      </c>
      <c r="L1113" s="354">
        <v>2.7904399999999999E-4</v>
      </c>
      <c r="M1113" s="354">
        <v>156.97999999999999</v>
      </c>
      <c r="N1113" s="350" t="s">
        <v>395</v>
      </c>
      <c r="O1113" s="354">
        <v>123.9</v>
      </c>
      <c r="P1113" s="355" t="s">
        <v>396</v>
      </c>
      <c r="Q1113" s="354" t="s">
        <v>404</v>
      </c>
      <c r="R1113" s="355" t="s">
        <v>405</v>
      </c>
      <c r="S1113" s="355">
        <v>0</v>
      </c>
      <c r="T1113" s="350" t="s">
        <v>406</v>
      </c>
      <c r="U1113" s="351">
        <v>45203</v>
      </c>
      <c r="V1113" s="351">
        <v>45205</v>
      </c>
      <c r="W1113" s="350" t="s">
        <v>407</v>
      </c>
    </row>
    <row r="1114" spans="1:23" x14ac:dyDescent="0.25">
      <c r="A1114" s="348" t="s">
        <v>1565</v>
      </c>
      <c r="B1114" s="349">
        <v>168</v>
      </c>
      <c r="C1114" s="423">
        <v>45200</v>
      </c>
      <c r="D1114" s="351">
        <v>45208</v>
      </c>
      <c r="F1114" s="353">
        <v>6</v>
      </c>
      <c r="G1114" s="352" t="s">
        <v>1572</v>
      </c>
      <c r="H1114" s="350" t="s">
        <v>1168</v>
      </c>
      <c r="I1114" s="350" t="s">
        <v>393</v>
      </c>
      <c r="J1114" s="375">
        <f>257678+282730</f>
        <v>540408</v>
      </c>
      <c r="K1114" s="350" t="s">
        <v>394</v>
      </c>
      <c r="L1114" s="354">
        <v>2802.3999950000002</v>
      </c>
      <c r="M1114" s="354">
        <f>J1114/L1114</f>
        <v>192.83756814308728</v>
      </c>
      <c r="N1114" s="353" t="s">
        <v>395</v>
      </c>
      <c r="O1114" s="354">
        <v>0</v>
      </c>
      <c r="P1114" s="355" t="s">
        <v>396</v>
      </c>
      <c r="Q1114" s="353" t="s">
        <v>397</v>
      </c>
      <c r="R1114" s="353">
        <v>0</v>
      </c>
      <c r="S1114" s="353">
        <v>0</v>
      </c>
      <c r="T1114" s="353">
        <v>0</v>
      </c>
      <c r="U1114" s="353">
        <v>0</v>
      </c>
      <c r="V1114" s="353">
        <v>0</v>
      </c>
      <c r="W1114" s="353">
        <v>0</v>
      </c>
    </row>
    <row r="1115" spans="1:23" x14ac:dyDescent="0.25">
      <c r="A1115" s="348" t="s">
        <v>1565</v>
      </c>
      <c r="B1115" s="349">
        <v>169</v>
      </c>
      <c r="C1115" s="423">
        <v>45200</v>
      </c>
      <c r="D1115" s="351">
        <v>45208</v>
      </c>
      <c r="F1115" s="353">
        <v>6</v>
      </c>
      <c r="G1115" s="352" t="s">
        <v>1572</v>
      </c>
      <c r="H1115" s="350" t="s">
        <v>1573</v>
      </c>
      <c r="I1115" s="350" t="s">
        <v>393</v>
      </c>
      <c r="J1115" s="375">
        <f>150000+150000</f>
        <v>300000</v>
      </c>
      <c r="K1115" s="350" t="s">
        <v>394</v>
      </c>
      <c r="L1115" s="354">
        <v>2802.3999950000002</v>
      </c>
      <c r="M1115" s="354">
        <f t="shared" ref="M1115:M1147" si="49">J1115/L1115</f>
        <v>107.05109924894928</v>
      </c>
      <c r="N1115" s="353" t="s">
        <v>395</v>
      </c>
      <c r="O1115" s="354">
        <v>0</v>
      </c>
      <c r="P1115" s="355" t="s">
        <v>396</v>
      </c>
      <c r="Q1115" s="353" t="s">
        <v>397</v>
      </c>
      <c r="R1115" s="353">
        <v>0</v>
      </c>
      <c r="S1115" s="353">
        <v>0</v>
      </c>
      <c r="T1115" s="353">
        <v>0</v>
      </c>
      <c r="U1115" s="353">
        <v>0</v>
      </c>
      <c r="V1115" s="353">
        <v>0</v>
      </c>
      <c r="W1115" s="353">
        <v>0</v>
      </c>
    </row>
    <row r="1116" spans="1:23" x14ac:dyDescent="0.25">
      <c r="A1116" s="348" t="s">
        <v>1565</v>
      </c>
      <c r="B1116" s="349">
        <v>170</v>
      </c>
      <c r="C1116" s="423">
        <v>45200</v>
      </c>
      <c r="D1116" s="351">
        <v>45208</v>
      </c>
      <c r="F1116" s="353">
        <v>6</v>
      </c>
      <c r="G1116" s="352" t="s">
        <v>1572</v>
      </c>
      <c r="H1116" s="350" t="s">
        <v>1574</v>
      </c>
      <c r="I1116" s="350" t="s">
        <v>393</v>
      </c>
      <c r="J1116" s="375">
        <f>50000+50000</f>
        <v>100000</v>
      </c>
      <c r="K1116" s="350" t="s">
        <v>394</v>
      </c>
      <c r="L1116" s="354">
        <v>2802.3999950000002</v>
      </c>
      <c r="M1116" s="354">
        <f t="shared" si="49"/>
        <v>35.683699749649762</v>
      </c>
      <c r="N1116" s="353" t="s">
        <v>395</v>
      </c>
      <c r="O1116" s="354">
        <v>0</v>
      </c>
      <c r="P1116" s="355" t="s">
        <v>396</v>
      </c>
      <c r="Q1116" s="353" t="s">
        <v>397</v>
      </c>
      <c r="R1116" s="353">
        <v>0</v>
      </c>
      <c r="S1116" s="353">
        <v>0</v>
      </c>
      <c r="T1116" s="353">
        <v>0</v>
      </c>
      <c r="U1116" s="353">
        <v>0</v>
      </c>
      <c r="V1116" s="353">
        <v>0</v>
      </c>
      <c r="W1116" s="353">
        <v>0</v>
      </c>
    </row>
    <row r="1117" spans="1:23" x14ac:dyDescent="0.25">
      <c r="A1117" s="348" t="s">
        <v>1565</v>
      </c>
      <c r="B1117" s="349">
        <v>171</v>
      </c>
      <c r="C1117" s="423">
        <v>45200</v>
      </c>
      <c r="D1117" s="351">
        <v>45208</v>
      </c>
      <c r="F1117" s="353">
        <v>6</v>
      </c>
      <c r="G1117" s="352" t="s">
        <v>1572</v>
      </c>
      <c r="H1117" s="350" t="s">
        <v>1575</v>
      </c>
      <c r="I1117" s="350" t="s">
        <v>393</v>
      </c>
      <c r="J1117" s="375">
        <v>50000</v>
      </c>
      <c r="K1117" s="350" t="s">
        <v>394</v>
      </c>
      <c r="L1117" s="354">
        <v>2802.3999950000002</v>
      </c>
      <c r="M1117" s="354">
        <f t="shared" si="49"/>
        <v>17.841849874824881</v>
      </c>
      <c r="N1117" s="353" t="s">
        <v>395</v>
      </c>
      <c r="O1117" s="354">
        <v>0</v>
      </c>
      <c r="P1117" s="355" t="s">
        <v>396</v>
      </c>
      <c r="Q1117" s="353" t="s">
        <v>397</v>
      </c>
      <c r="R1117" s="353">
        <v>0</v>
      </c>
      <c r="S1117" s="353">
        <v>0</v>
      </c>
      <c r="T1117" s="353">
        <v>0</v>
      </c>
      <c r="U1117" s="353">
        <v>0</v>
      </c>
      <c r="V1117" s="353">
        <v>0</v>
      </c>
      <c r="W1117" s="353">
        <v>0</v>
      </c>
    </row>
    <row r="1118" spans="1:23" x14ac:dyDescent="0.25">
      <c r="A1118" s="348" t="s">
        <v>1565</v>
      </c>
      <c r="B1118" s="349">
        <v>172</v>
      </c>
      <c r="C1118" s="423">
        <v>45200</v>
      </c>
      <c r="D1118" s="351">
        <v>45208</v>
      </c>
      <c r="F1118" s="353">
        <v>6</v>
      </c>
      <c r="G1118" s="352" t="s">
        <v>1572</v>
      </c>
      <c r="H1118" s="350" t="s">
        <v>1576</v>
      </c>
      <c r="I1118" s="350" t="s">
        <v>393</v>
      </c>
      <c r="J1118" s="375">
        <v>3000</v>
      </c>
      <c r="K1118" s="350" t="s">
        <v>394</v>
      </c>
      <c r="L1118" s="354">
        <v>2802.3999950000002</v>
      </c>
      <c r="M1118" s="354">
        <f t="shared" si="49"/>
        <v>1.0705109924894929</v>
      </c>
      <c r="N1118" s="353" t="s">
        <v>395</v>
      </c>
      <c r="O1118" s="354">
        <v>0</v>
      </c>
      <c r="P1118" s="355" t="s">
        <v>396</v>
      </c>
      <c r="Q1118" s="353" t="s">
        <v>397</v>
      </c>
      <c r="R1118" s="353">
        <v>0</v>
      </c>
      <c r="S1118" s="353">
        <v>0</v>
      </c>
      <c r="T1118" s="353">
        <v>0</v>
      </c>
      <c r="U1118" s="353">
        <v>0</v>
      </c>
      <c r="V1118" s="353">
        <v>0</v>
      </c>
      <c r="W1118" s="353">
        <v>0</v>
      </c>
    </row>
    <row r="1119" spans="1:23" x14ac:dyDescent="0.25">
      <c r="A1119" s="348" t="s">
        <v>1565</v>
      </c>
      <c r="B1119" s="349">
        <v>173</v>
      </c>
      <c r="C1119" s="423">
        <v>45200</v>
      </c>
      <c r="D1119" s="351">
        <v>45208</v>
      </c>
      <c r="F1119" s="353">
        <v>6</v>
      </c>
      <c r="G1119" s="352" t="s">
        <v>1572</v>
      </c>
      <c r="H1119" s="350" t="s">
        <v>1593</v>
      </c>
      <c r="I1119" s="350" t="s">
        <v>393</v>
      </c>
      <c r="J1119" s="375">
        <f>250000+250000+300000+350000+350000</f>
        <v>1500000</v>
      </c>
      <c r="K1119" s="350" t="s">
        <v>394</v>
      </c>
      <c r="L1119" s="354">
        <v>2802.3999950000002</v>
      </c>
      <c r="M1119" s="354">
        <f t="shared" si="49"/>
        <v>535.25549624474638</v>
      </c>
      <c r="N1119" s="353" t="s">
        <v>395</v>
      </c>
      <c r="O1119" s="354">
        <v>0</v>
      </c>
      <c r="P1119" s="355" t="s">
        <v>396</v>
      </c>
      <c r="Q1119" s="353" t="s">
        <v>397</v>
      </c>
      <c r="R1119" s="353">
        <v>0</v>
      </c>
      <c r="S1119" s="353">
        <v>0</v>
      </c>
      <c r="T1119" s="353">
        <v>0</v>
      </c>
      <c r="U1119" s="353">
        <v>0</v>
      </c>
      <c r="V1119" s="353">
        <v>0</v>
      </c>
      <c r="W1119" s="353">
        <v>0</v>
      </c>
    </row>
    <row r="1120" spans="1:23" x14ac:dyDescent="0.25">
      <c r="A1120" s="348" t="s">
        <v>1565</v>
      </c>
      <c r="B1120" s="349">
        <v>174</v>
      </c>
      <c r="C1120" s="423">
        <v>45200</v>
      </c>
      <c r="D1120" s="351">
        <v>45208</v>
      </c>
      <c r="F1120" s="353">
        <v>6</v>
      </c>
      <c r="G1120" s="352" t="s">
        <v>1572</v>
      </c>
      <c r="H1120" s="350" t="s">
        <v>1164</v>
      </c>
      <c r="I1120" s="350" t="s">
        <v>393</v>
      </c>
      <c r="J1120" s="375">
        <f>105000+105000+120000+150000+150000+200000+200000+200000</f>
        <v>1230000</v>
      </c>
      <c r="K1120" s="350" t="s">
        <v>394</v>
      </c>
      <c r="L1120" s="354">
        <v>2802.3999950000002</v>
      </c>
      <c r="M1120" s="354">
        <f t="shared" si="49"/>
        <v>438.90950692069208</v>
      </c>
      <c r="N1120" s="353" t="s">
        <v>395</v>
      </c>
      <c r="O1120" s="354">
        <v>0</v>
      </c>
      <c r="P1120" s="355" t="s">
        <v>396</v>
      </c>
      <c r="Q1120" s="353" t="s">
        <v>397</v>
      </c>
      <c r="R1120" s="353">
        <v>0</v>
      </c>
      <c r="S1120" s="353">
        <v>0</v>
      </c>
      <c r="T1120" s="353">
        <v>0</v>
      </c>
      <c r="U1120" s="353">
        <v>0</v>
      </c>
      <c r="V1120" s="353">
        <v>0</v>
      </c>
      <c r="W1120" s="353">
        <v>0</v>
      </c>
    </row>
    <row r="1121" spans="1:23" x14ac:dyDescent="0.25">
      <c r="A1121" s="348" t="s">
        <v>1566</v>
      </c>
      <c r="B1121" s="349">
        <v>175</v>
      </c>
      <c r="C1121" s="423">
        <v>45200</v>
      </c>
      <c r="D1121" s="351">
        <v>45224</v>
      </c>
      <c r="F1121" s="353">
        <v>6</v>
      </c>
      <c r="G1121" s="352" t="s">
        <v>1572</v>
      </c>
      <c r="H1121" s="350" t="s">
        <v>1577</v>
      </c>
      <c r="I1121" s="350" t="s">
        <v>393</v>
      </c>
      <c r="J1121" s="375">
        <v>222600</v>
      </c>
      <c r="K1121" s="350" t="s">
        <v>394</v>
      </c>
      <c r="L1121" s="354">
        <v>2802.3999950000002</v>
      </c>
      <c r="M1121" s="354">
        <f t="shared" si="49"/>
        <v>79.431915642720369</v>
      </c>
      <c r="N1121" s="353" t="s">
        <v>395</v>
      </c>
      <c r="O1121" s="354">
        <v>0</v>
      </c>
      <c r="P1121" s="355" t="s">
        <v>396</v>
      </c>
      <c r="Q1121" s="353" t="s">
        <v>397</v>
      </c>
      <c r="R1121" s="353">
        <v>0</v>
      </c>
      <c r="S1121" s="353">
        <v>0</v>
      </c>
      <c r="T1121" s="353">
        <v>0</v>
      </c>
      <c r="U1121" s="353">
        <v>0</v>
      </c>
      <c r="V1121" s="353">
        <v>0</v>
      </c>
      <c r="W1121" s="353">
        <v>0</v>
      </c>
    </row>
    <row r="1122" spans="1:23" x14ac:dyDescent="0.25">
      <c r="A1122" s="348" t="s">
        <v>1567</v>
      </c>
      <c r="B1122" s="349">
        <v>176</v>
      </c>
      <c r="C1122" s="423">
        <v>45200</v>
      </c>
      <c r="D1122" s="351">
        <v>45224</v>
      </c>
      <c r="F1122" s="353">
        <v>6</v>
      </c>
      <c r="G1122" s="352" t="s">
        <v>1572</v>
      </c>
      <c r="H1122" s="350" t="s">
        <v>1578</v>
      </c>
      <c r="I1122" s="350" t="s">
        <v>393</v>
      </c>
      <c r="J1122" s="375">
        <v>200000</v>
      </c>
      <c r="K1122" s="350" t="s">
        <v>394</v>
      </c>
      <c r="L1122" s="354">
        <v>2802.3999950000002</v>
      </c>
      <c r="M1122" s="354">
        <f t="shared" si="49"/>
        <v>71.367399499299523</v>
      </c>
      <c r="N1122" s="353" t="s">
        <v>395</v>
      </c>
      <c r="O1122" s="354">
        <v>0</v>
      </c>
      <c r="P1122" s="355" t="s">
        <v>396</v>
      </c>
      <c r="Q1122" s="353" t="s">
        <v>397</v>
      </c>
      <c r="R1122" s="353">
        <v>0</v>
      </c>
      <c r="S1122" s="353">
        <v>0</v>
      </c>
      <c r="T1122" s="353">
        <v>0</v>
      </c>
      <c r="U1122" s="353">
        <v>0</v>
      </c>
      <c r="V1122" s="353">
        <v>0</v>
      </c>
      <c r="W1122" s="353">
        <v>0</v>
      </c>
    </row>
    <row r="1123" spans="1:23" x14ac:dyDescent="0.25">
      <c r="A1123" s="348" t="s">
        <v>1567</v>
      </c>
      <c r="B1123" s="349">
        <v>176</v>
      </c>
      <c r="C1123" s="423">
        <v>45200</v>
      </c>
      <c r="D1123" s="351">
        <v>45224</v>
      </c>
      <c r="F1123" s="353">
        <v>6</v>
      </c>
      <c r="G1123" s="352" t="s">
        <v>1572</v>
      </c>
      <c r="H1123" s="350" t="s">
        <v>1016</v>
      </c>
      <c r="I1123" s="350" t="s">
        <v>393</v>
      </c>
      <c r="J1123" s="375">
        <v>410000</v>
      </c>
      <c r="K1123" s="350" t="s">
        <v>394</v>
      </c>
      <c r="L1123" s="354">
        <v>2802.3999950000002</v>
      </c>
      <c r="M1123" s="354">
        <f t="shared" si="49"/>
        <v>146.30316897356403</v>
      </c>
      <c r="N1123" s="353" t="s">
        <v>395</v>
      </c>
      <c r="O1123" s="354">
        <v>0</v>
      </c>
      <c r="P1123" s="355" t="s">
        <v>396</v>
      </c>
      <c r="Q1123" s="353" t="s">
        <v>397</v>
      </c>
      <c r="R1123" s="353">
        <v>0</v>
      </c>
      <c r="S1123" s="353">
        <v>0</v>
      </c>
      <c r="T1123" s="353">
        <v>0</v>
      </c>
      <c r="U1123" s="353">
        <v>0</v>
      </c>
      <c r="V1123" s="353">
        <v>0</v>
      </c>
      <c r="W1123" s="353">
        <v>0</v>
      </c>
    </row>
    <row r="1124" spans="1:23" x14ac:dyDescent="0.25">
      <c r="A1124" s="348" t="s">
        <v>1567</v>
      </c>
      <c r="B1124" s="349">
        <v>176</v>
      </c>
      <c r="C1124" s="423">
        <v>45200</v>
      </c>
      <c r="D1124" s="351">
        <v>45224</v>
      </c>
      <c r="F1124" s="353">
        <v>6</v>
      </c>
      <c r="G1124" s="352" t="s">
        <v>1572</v>
      </c>
      <c r="H1124" s="350" t="s">
        <v>1234</v>
      </c>
      <c r="I1124" s="350" t="s">
        <v>393</v>
      </c>
      <c r="J1124" s="375">
        <v>1394000</v>
      </c>
      <c r="K1124" s="350" t="s">
        <v>394</v>
      </c>
      <c r="L1124" s="354">
        <v>2802.3999950000002</v>
      </c>
      <c r="M1124" s="354">
        <f t="shared" si="49"/>
        <v>497.43077451011766</v>
      </c>
      <c r="N1124" s="353" t="s">
        <v>395</v>
      </c>
      <c r="O1124" s="354">
        <v>0</v>
      </c>
      <c r="P1124" s="355" t="s">
        <v>396</v>
      </c>
      <c r="Q1124" s="353" t="s">
        <v>397</v>
      </c>
      <c r="R1124" s="353">
        <v>0</v>
      </c>
      <c r="S1124" s="353">
        <v>0</v>
      </c>
      <c r="T1124" s="353">
        <v>0</v>
      </c>
      <c r="U1124" s="353">
        <v>0</v>
      </c>
      <c r="V1124" s="353">
        <v>0</v>
      </c>
      <c r="W1124" s="353">
        <v>0</v>
      </c>
    </row>
    <row r="1125" spans="1:23" x14ac:dyDescent="0.25">
      <c r="A1125" s="348" t="s">
        <v>1567</v>
      </c>
      <c r="B1125" s="349">
        <v>176</v>
      </c>
      <c r="C1125" s="423">
        <v>45200</v>
      </c>
      <c r="D1125" s="351">
        <v>45224</v>
      </c>
      <c r="F1125" s="353">
        <v>6</v>
      </c>
      <c r="G1125" s="352" t="s">
        <v>1572</v>
      </c>
      <c r="H1125" s="350" t="s">
        <v>1579</v>
      </c>
      <c r="I1125" s="350" t="s">
        <v>393</v>
      </c>
      <c r="J1125" s="375">
        <v>164000</v>
      </c>
      <c r="K1125" s="350" t="s">
        <v>394</v>
      </c>
      <c r="L1125" s="354">
        <v>2802.3999950000002</v>
      </c>
      <c r="M1125" s="354">
        <f t="shared" si="49"/>
        <v>58.521267589425605</v>
      </c>
      <c r="N1125" s="353" t="s">
        <v>395</v>
      </c>
      <c r="O1125" s="354">
        <v>0</v>
      </c>
      <c r="P1125" s="355" t="s">
        <v>396</v>
      </c>
      <c r="Q1125" s="353" t="s">
        <v>397</v>
      </c>
      <c r="R1125" s="353">
        <v>0</v>
      </c>
      <c r="S1125" s="353">
        <v>0</v>
      </c>
      <c r="T1125" s="353">
        <v>0</v>
      </c>
      <c r="U1125" s="353">
        <v>0</v>
      </c>
      <c r="V1125" s="353">
        <v>0</v>
      </c>
      <c r="W1125" s="353">
        <v>0</v>
      </c>
    </row>
    <row r="1126" spans="1:23" x14ac:dyDescent="0.25">
      <c r="A1126" s="348" t="s">
        <v>1568</v>
      </c>
      <c r="B1126" s="349">
        <v>177</v>
      </c>
      <c r="C1126" s="423">
        <v>45200</v>
      </c>
      <c r="D1126" s="351">
        <v>45224</v>
      </c>
      <c r="F1126" s="353">
        <v>6</v>
      </c>
      <c r="G1126" s="352" t="s">
        <v>1572</v>
      </c>
      <c r="H1126" s="350" t="s">
        <v>351</v>
      </c>
      <c r="I1126" s="350" t="s">
        <v>393</v>
      </c>
      <c r="J1126" s="375">
        <v>720000</v>
      </c>
      <c r="K1126" s="350" t="s">
        <v>394</v>
      </c>
      <c r="L1126" s="354">
        <v>2802.3999950000002</v>
      </c>
      <c r="M1126" s="354">
        <f t="shared" si="49"/>
        <v>256.92263819747831</v>
      </c>
      <c r="N1126" s="353" t="s">
        <v>395</v>
      </c>
      <c r="O1126" s="354">
        <v>0</v>
      </c>
      <c r="P1126" s="355" t="s">
        <v>396</v>
      </c>
      <c r="Q1126" s="353" t="s">
        <v>397</v>
      </c>
      <c r="R1126" s="353">
        <v>0</v>
      </c>
      <c r="S1126" s="353">
        <v>0</v>
      </c>
      <c r="T1126" s="353">
        <v>0</v>
      </c>
      <c r="U1126" s="353">
        <v>0</v>
      </c>
      <c r="V1126" s="353">
        <v>0</v>
      </c>
      <c r="W1126" s="353">
        <v>0</v>
      </c>
    </row>
    <row r="1127" spans="1:23" x14ac:dyDescent="0.25">
      <c r="A1127" s="348" t="s">
        <v>1569</v>
      </c>
      <c r="B1127" s="349">
        <v>178</v>
      </c>
      <c r="C1127" s="423">
        <v>45200</v>
      </c>
      <c r="D1127" s="351">
        <v>45230</v>
      </c>
      <c r="F1127" s="353">
        <v>6</v>
      </c>
      <c r="G1127" s="352" t="s">
        <v>1572</v>
      </c>
      <c r="H1127" s="350" t="s">
        <v>351</v>
      </c>
      <c r="I1127" s="350" t="s">
        <v>393</v>
      </c>
      <c r="J1127" s="375">
        <v>240000</v>
      </c>
      <c r="K1127" s="350" t="s">
        <v>394</v>
      </c>
      <c r="L1127" s="354">
        <v>2802.3999950000002</v>
      </c>
      <c r="M1127" s="354">
        <f t="shared" si="49"/>
        <v>85.640879399159431</v>
      </c>
      <c r="N1127" s="353" t="s">
        <v>395</v>
      </c>
      <c r="O1127" s="354">
        <v>0</v>
      </c>
      <c r="P1127" s="355" t="s">
        <v>396</v>
      </c>
      <c r="Q1127" s="353" t="s">
        <v>397</v>
      </c>
      <c r="R1127" s="353">
        <v>0</v>
      </c>
      <c r="S1127" s="353">
        <v>0</v>
      </c>
      <c r="T1127" s="353">
        <v>0</v>
      </c>
      <c r="U1127" s="353">
        <v>0</v>
      </c>
      <c r="V1127" s="353">
        <v>0</v>
      </c>
      <c r="W1127" s="353">
        <v>0</v>
      </c>
    </row>
    <row r="1128" spans="1:23" x14ac:dyDescent="0.25">
      <c r="A1128" s="348" t="s">
        <v>1570</v>
      </c>
      <c r="B1128" s="349">
        <v>179</v>
      </c>
      <c r="C1128" s="423">
        <v>45200</v>
      </c>
      <c r="D1128" s="351">
        <v>45217</v>
      </c>
      <c r="F1128" s="353">
        <v>6</v>
      </c>
      <c r="G1128" s="352" t="s">
        <v>1572</v>
      </c>
      <c r="H1128" s="350" t="s">
        <v>1385</v>
      </c>
      <c r="I1128" s="350" t="s">
        <v>393</v>
      </c>
      <c r="J1128" s="375">
        <v>2456000</v>
      </c>
      <c r="K1128" s="350" t="s">
        <v>394</v>
      </c>
      <c r="L1128" s="354">
        <v>2802.3999950000002</v>
      </c>
      <c r="M1128" s="354">
        <f t="shared" si="49"/>
        <v>876.3916658513981</v>
      </c>
      <c r="N1128" s="353" t="s">
        <v>395</v>
      </c>
      <c r="O1128" s="354">
        <v>0</v>
      </c>
      <c r="P1128" s="355" t="s">
        <v>396</v>
      </c>
      <c r="Q1128" s="353" t="s">
        <v>397</v>
      </c>
      <c r="R1128" s="353">
        <v>0</v>
      </c>
      <c r="S1128" s="353">
        <v>0</v>
      </c>
      <c r="T1128" s="353">
        <v>0</v>
      </c>
      <c r="U1128" s="353">
        <v>0</v>
      </c>
      <c r="V1128" s="353">
        <v>0</v>
      </c>
      <c r="W1128" s="353">
        <v>0</v>
      </c>
    </row>
    <row r="1129" spans="1:23" x14ac:dyDescent="0.25">
      <c r="A1129" s="348" t="s">
        <v>1571</v>
      </c>
      <c r="B1129" s="349">
        <v>180</v>
      </c>
      <c r="C1129" s="423">
        <v>45200</v>
      </c>
      <c r="D1129" s="351">
        <v>45224</v>
      </c>
      <c r="F1129" s="353">
        <v>6</v>
      </c>
      <c r="G1129" s="352" t="s">
        <v>1572</v>
      </c>
      <c r="H1129" s="350" t="s">
        <v>1385</v>
      </c>
      <c r="I1129" s="350" t="s">
        <v>393</v>
      </c>
      <c r="J1129" s="375">
        <v>3684000</v>
      </c>
      <c r="K1129" s="350" t="s">
        <v>394</v>
      </c>
      <c r="L1129" s="354">
        <v>2802.3999950000002</v>
      </c>
      <c r="M1129" s="354">
        <f t="shared" si="49"/>
        <v>1314.5874987770972</v>
      </c>
      <c r="N1129" s="353" t="s">
        <v>395</v>
      </c>
      <c r="O1129" s="354">
        <v>0</v>
      </c>
      <c r="P1129" s="355" t="s">
        <v>396</v>
      </c>
      <c r="Q1129" s="353" t="s">
        <v>397</v>
      </c>
      <c r="R1129" s="353">
        <v>0</v>
      </c>
      <c r="S1129" s="353">
        <v>0</v>
      </c>
      <c r="T1129" s="353">
        <v>0</v>
      </c>
      <c r="U1129" s="353">
        <v>0</v>
      </c>
      <c r="V1129" s="353">
        <v>0</v>
      </c>
      <c r="W1129" s="353">
        <v>0</v>
      </c>
    </row>
    <row r="1130" spans="1:23" x14ac:dyDescent="0.25">
      <c r="A1130" s="348" t="s">
        <v>1580</v>
      </c>
      <c r="B1130" s="349">
        <v>181</v>
      </c>
      <c r="C1130" s="423">
        <v>45200</v>
      </c>
      <c r="D1130" s="351">
        <v>45216</v>
      </c>
      <c r="F1130" s="353">
        <v>6</v>
      </c>
      <c r="G1130" s="427" t="s">
        <v>1587</v>
      </c>
      <c r="H1130" s="350" t="s">
        <v>1592</v>
      </c>
      <c r="I1130" s="350" t="s">
        <v>393</v>
      </c>
      <c r="J1130" s="375">
        <v>7150000</v>
      </c>
      <c r="K1130" s="350" t="s">
        <v>394</v>
      </c>
      <c r="L1130" s="354">
        <v>2802.3999950000002</v>
      </c>
      <c r="M1130" s="375">
        <f t="shared" si="49"/>
        <v>2551.3845320999581</v>
      </c>
      <c r="N1130" s="354" t="s">
        <v>395</v>
      </c>
      <c r="O1130" s="354">
        <v>0</v>
      </c>
      <c r="P1130" s="355" t="s">
        <v>396</v>
      </c>
      <c r="Q1130" s="353" t="s">
        <v>397</v>
      </c>
      <c r="R1130" s="353">
        <v>0</v>
      </c>
      <c r="S1130" s="353">
        <v>0</v>
      </c>
      <c r="T1130" s="353">
        <v>0</v>
      </c>
      <c r="U1130" s="353">
        <v>0</v>
      </c>
      <c r="V1130" s="353">
        <v>0</v>
      </c>
      <c r="W1130" s="353">
        <v>0</v>
      </c>
    </row>
    <row r="1131" spans="1:23" x14ac:dyDescent="0.25">
      <c r="A1131" s="348" t="s">
        <v>1581</v>
      </c>
      <c r="B1131" s="349">
        <v>182</v>
      </c>
      <c r="C1131" s="423">
        <v>45200</v>
      </c>
      <c r="D1131" s="351">
        <v>45216</v>
      </c>
      <c r="F1131" s="353">
        <v>6</v>
      </c>
      <c r="G1131" s="427" t="s">
        <v>1587</v>
      </c>
      <c r="H1131" s="350" t="s">
        <v>1168</v>
      </c>
      <c r="I1131" s="350" t="s">
        <v>393</v>
      </c>
      <c r="J1131" s="375">
        <f>261238+265941</f>
        <v>527179</v>
      </c>
      <c r="K1131" s="350" t="s">
        <v>394</v>
      </c>
      <c r="L1131" s="354">
        <v>2802.3999950000002</v>
      </c>
      <c r="M1131" s="375">
        <f t="shared" si="49"/>
        <v>188.11697150320612</v>
      </c>
      <c r="N1131" s="354" t="s">
        <v>395</v>
      </c>
      <c r="O1131" s="354">
        <v>0</v>
      </c>
      <c r="P1131" s="355" t="s">
        <v>396</v>
      </c>
      <c r="Q1131" s="353" t="s">
        <v>397</v>
      </c>
      <c r="R1131" s="353">
        <v>0</v>
      </c>
      <c r="S1131" s="353">
        <v>0</v>
      </c>
      <c r="T1131" s="353">
        <v>0</v>
      </c>
      <c r="U1131" s="353">
        <v>0</v>
      </c>
      <c r="V1131" s="353">
        <v>0</v>
      </c>
      <c r="W1131" s="353">
        <v>0</v>
      </c>
    </row>
    <row r="1132" spans="1:23" x14ac:dyDescent="0.25">
      <c r="A1132" s="348" t="s">
        <v>1581</v>
      </c>
      <c r="B1132" s="349">
        <v>183</v>
      </c>
      <c r="C1132" s="423">
        <v>45200</v>
      </c>
      <c r="D1132" s="351">
        <v>45216</v>
      </c>
      <c r="F1132" s="353">
        <v>6</v>
      </c>
      <c r="G1132" s="427" t="s">
        <v>1587</v>
      </c>
      <c r="H1132" s="350" t="s">
        <v>1573</v>
      </c>
      <c r="I1132" s="350" t="s">
        <v>393</v>
      </c>
      <c r="J1132" s="375">
        <f>150000+150000+150000</f>
        <v>450000</v>
      </c>
      <c r="K1132" s="350" t="s">
        <v>394</v>
      </c>
      <c r="L1132" s="354">
        <v>2802.3999950000002</v>
      </c>
      <c r="M1132" s="375">
        <f t="shared" si="49"/>
        <v>160.57664887342392</v>
      </c>
      <c r="N1132" s="354" t="s">
        <v>395</v>
      </c>
      <c r="O1132" s="354">
        <v>0</v>
      </c>
      <c r="P1132" s="355" t="s">
        <v>396</v>
      </c>
      <c r="Q1132" s="353" t="s">
        <v>397</v>
      </c>
      <c r="R1132" s="353">
        <v>0</v>
      </c>
      <c r="S1132" s="353">
        <v>0</v>
      </c>
      <c r="T1132" s="353">
        <v>0</v>
      </c>
      <c r="U1132" s="353">
        <v>0</v>
      </c>
      <c r="V1132" s="353">
        <v>0</v>
      </c>
      <c r="W1132" s="353">
        <v>0</v>
      </c>
    </row>
    <row r="1133" spans="1:23" x14ac:dyDescent="0.25">
      <c r="A1133" s="348" t="s">
        <v>1581</v>
      </c>
      <c r="B1133" s="349">
        <v>184</v>
      </c>
      <c r="C1133" s="423">
        <v>45200</v>
      </c>
      <c r="D1133" s="351">
        <v>45216</v>
      </c>
      <c r="F1133" s="353">
        <v>6</v>
      </c>
      <c r="G1133" s="427" t="s">
        <v>1587</v>
      </c>
      <c r="H1133" s="350" t="s">
        <v>1574</v>
      </c>
      <c r="I1133" s="350" t="s">
        <v>393</v>
      </c>
      <c r="J1133" s="375">
        <f>50000+50000</f>
        <v>100000</v>
      </c>
      <c r="K1133" s="350" t="s">
        <v>394</v>
      </c>
      <c r="L1133" s="354">
        <v>2802.3999950000002</v>
      </c>
      <c r="M1133" s="375">
        <f t="shared" si="49"/>
        <v>35.683699749649762</v>
      </c>
      <c r="N1133" s="354" t="s">
        <v>395</v>
      </c>
      <c r="O1133" s="354">
        <v>0</v>
      </c>
      <c r="P1133" s="355" t="s">
        <v>396</v>
      </c>
      <c r="Q1133" s="353" t="s">
        <v>397</v>
      </c>
      <c r="R1133" s="353">
        <v>0</v>
      </c>
      <c r="S1133" s="353">
        <v>0</v>
      </c>
      <c r="T1133" s="353">
        <v>0</v>
      </c>
      <c r="U1133" s="353">
        <v>0</v>
      </c>
      <c r="V1133" s="353">
        <v>0</v>
      </c>
      <c r="W1133" s="353">
        <v>0</v>
      </c>
    </row>
    <row r="1134" spans="1:23" x14ac:dyDescent="0.25">
      <c r="A1134" s="348" t="s">
        <v>1581</v>
      </c>
      <c r="B1134" s="349">
        <v>185</v>
      </c>
      <c r="C1134" s="423">
        <v>45200</v>
      </c>
      <c r="D1134" s="351">
        <v>45216</v>
      </c>
      <c r="F1134" s="353">
        <v>6</v>
      </c>
      <c r="G1134" s="427" t="s">
        <v>1587</v>
      </c>
      <c r="H1134" s="350" t="s">
        <v>1575</v>
      </c>
      <c r="I1134" s="350" t="s">
        <v>393</v>
      </c>
      <c r="J1134" s="375">
        <v>50000</v>
      </c>
      <c r="K1134" s="350" t="s">
        <v>394</v>
      </c>
      <c r="L1134" s="354">
        <v>2802.3999950000002</v>
      </c>
      <c r="M1134" s="375">
        <f t="shared" si="49"/>
        <v>17.841849874824881</v>
      </c>
      <c r="N1134" s="354" t="s">
        <v>395</v>
      </c>
      <c r="O1134" s="354">
        <v>0</v>
      </c>
      <c r="P1134" s="355" t="s">
        <v>396</v>
      </c>
      <c r="Q1134" s="353" t="s">
        <v>397</v>
      </c>
      <c r="R1134" s="353">
        <v>0</v>
      </c>
      <c r="S1134" s="353">
        <v>0</v>
      </c>
      <c r="T1134" s="353">
        <v>0</v>
      </c>
      <c r="U1134" s="353">
        <v>0</v>
      </c>
      <c r="V1134" s="353">
        <v>0</v>
      </c>
      <c r="W1134" s="353">
        <v>0</v>
      </c>
    </row>
    <row r="1135" spans="1:23" x14ac:dyDescent="0.25">
      <c r="A1135" s="348" t="s">
        <v>1581</v>
      </c>
      <c r="B1135" s="349">
        <v>186</v>
      </c>
      <c r="C1135" s="423">
        <v>45200</v>
      </c>
      <c r="D1135" s="351">
        <v>45216</v>
      </c>
      <c r="F1135" s="353">
        <v>6</v>
      </c>
      <c r="G1135" s="427" t="s">
        <v>1587</v>
      </c>
      <c r="H1135" s="350" t="s">
        <v>1576</v>
      </c>
      <c r="I1135" s="350" t="s">
        <v>393</v>
      </c>
      <c r="J1135" s="375">
        <v>3000</v>
      </c>
      <c r="K1135" s="350" t="s">
        <v>394</v>
      </c>
      <c r="L1135" s="354">
        <v>2802.3999950000002</v>
      </c>
      <c r="M1135" s="375">
        <f t="shared" si="49"/>
        <v>1.0705109924894929</v>
      </c>
      <c r="N1135" s="354" t="s">
        <v>395</v>
      </c>
      <c r="O1135" s="354">
        <v>0</v>
      </c>
      <c r="P1135" s="355" t="s">
        <v>396</v>
      </c>
      <c r="Q1135" s="353" t="s">
        <v>397</v>
      </c>
      <c r="R1135" s="353">
        <v>0</v>
      </c>
      <c r="S1135" s="353">
        <v>0</v>
      </c>
      <c r="T1135" s="353">
        <v>0</v>
      </c>
      <c r="U1135" s="353">
        <v>0</v>
      </c>
      <c r="V1135" s="353">
        <v>0</v>
      </c>
      <c r="W1135" s="353">
        <v>0</v>
      </c>
    </row>
    <row r="1136" spans="1:23" x14ac:dyDescent="0.25">
      <c r="A1136" s="348" t="s">
        <v>1581</v>
      </c>
      <c r="B1136" s="349">
        <v>187</v>
      </c>
      <c r="C1136" s="423">
        <v>45200</v>
      </c>
      <c r="D1136" s="351">
        <v>45216</v>
      </c>
      <c r="F1136" s="353">
        <v>6</v>
      </c>
      <c r="G1136" s="427" t="s">
        <v>1587</v>
      </c>
      <c r="H1136" s="350" t="s">
        <v>1588</v>
      </c>
      <c r="I1136" s="350" t="s">
        <v>393</v>
      </c>
      <c r="J1136" s="375">
        <v>30000</v>
      </c>
      <c r="K1136" s="350" t="s">
        <v>394</v>
      </c>
      <c r="L1136" s="354">
        <v>2802.3999950000002</v>
      </c>
      <c r="M1136" s="375">
        <f t="shared" si="49"/>
        <v>10.705109924894929</v>
      </c>
      <c r="N1136" s="354" t="s">
        <v>395</v>
      </c>
      <c r="O1136" s="354">
        <v>0</v>
      </c>
      <c r="P1136" s="355" t="s">
        <v>396</v>
      </c>
      <c r="Q1136" s="353" t="s">
        <v>397</v>
      </c>
      <c r="R1136" s="353">
        <v>0</v>
      </c>
      <c r="S1136" s="353">
        <v>0</v>
      </c>
      <c r="T1136" s="353">
        <v>0</v>
      </c>
      <c r="U1136" s="353">
        <v>0</v>
      </c>
      <c r="V1136" s="353">
        <v>0</v>
      </c>
      <c r="W1136" s="353">
        <v>0</v>
      </c>
    </row>
    <row r="1137" spans="1:23" x14ac:dyDescent="0.25">
      <c r="A1137" s="348" t="s">
        <v>1581</v>
      </c>
      <c r="B1137" s="349">
        <v>188</v>
      </c>
      <c r="C1137" s="423">
        <v>45200</v>
      </c>
      <c r="D1137" s="351">
        <v>45216</v>
      </c>
      <c r="F1137" s="353">
        <v>6</v>
      </c>
      <c r="G1137" s="427" t="s">
        <v>1587</v>
      </c>
      <c r="H1137" s="350" t="s">
        <v>1164</v>
      </c>
      <c r="I1137" s="350" t="s">
        <v>393</v>
      </c>
      <c r="J1137" s="375">
        <f>120000+120000+105000+15000+360000+320000+210000+280000+270000+240000+210000+105000+210000+210000+280000+280000+280000+120000+120000+105000+210000+260000+260000+230000+230000+210000+280000+120000</f>
        <v>5760000</v>
      </c>
      <c r="K1137" s="350" t="s">
        <v>394</v>
      </c>
      <c r="L1137" s="354">
        <v>2802.3999950000002</v>
      </c>
      <c r="M1137" s="375">
        <f t="shared" si="49"/>
        <v>2055.3811055798265</v>
      </c>
      <c r="N1137" s="354" t="s">
        <v>395</v>
      </c>
      <c r="O1137" s="354">
        <v>0</v>
      </c>
      <c r="P1137" s="355" t="s">
        <v>396</v>
      </c>
      <c r="Q1137" s="353" t="s">
        <v>397</v>
      </c>
      <c r="R1137" s="353">
        <v>0</v>
      </c>
      <c r="S1137" s="353">
        <v>0</v>
      </c>
      <c r="T1137" s="353">
        <v>0</v>
      </c>
      <c r="U1137" s="353">
        <v>0</v>
      </c>
      <c r="V1137" s="353">
        <v>0</v>
      </c>
      <c r="W1137" s="353">
        <v>0</v>
      </c>
    </row>
    <row r="1138" spans="1:23" x14ac:dyDescent="0.25">
      <c r="A1138" s="348" t="s">
        <v>1582</v>
      </c>
      <c r="B1138" s="349">
        <v>189</v>
      </c>
      <c r="C1138" s="423">
        <v>45200</v>
      </c>
      <c r="D1138" s="351">
        <v>45224</v>
      </c>
      <c r="F1138" s="353">
        <v>6</v>
      </c>
      <c r="G1138" s="427" t="s">
        <v>1587</v>
      </c>
      <c r="H1138" s="350" t="s">
        <v>1577</v>
      </c>
      <c r="I1138" s="350" t="s">
        <v>393</v>
      </c>
      <c r="J1138" s="375">
        <v>403900</v>
      </c>
      <c r="K1138" s="350" t="s">
        <v>394</v>
      </c>
      <c r="L1138" s="354">
        <v>2802.3999950000002</v>
      </c>
      <c r="M1138" s="375">
        <f t="shared" si="49"/>
        <v>144.1264632888354</v>
      </c>
      <c r="N1138" s="354" t="s">
        <v>395</v>
      </c>
      <c r="O1138" s="354">
        <v>0</v>
      </c>
      <c r="P1138" s="355" t="s">
        <v>396</v>
      </c>
      <c r="Q1138" s="353" t="s">
        <v>397</v>
      </c>
      <c r="R1138" s="353">
        <v>0</v>
      </c>
      <c r="S1138" s="353">
        <v>0</v>
      </c>
      <c r="T1138" s="353">
        <v>0</v>
      </c>
      <c r="U1138" s="353">
        <v>0</v>
      </c>
      <c r="V1138" s="353">
        <v>0</v>
      </c>
      <c r="W1138" s="353">
        <v>0</v>
      </c>
    </row>
    <row r="1139" spans="1:23" x14ac:dyDescent="0.25">
      <c r="A1139" s="348" t="s">
        <v>1583</v>
      </c>
      <c r="B1139" s="349">
        <v>190</v>
      </c>
      <c r="C1139" s="423">
        <v>45200</v>
      </c>
      <c r="D1139" s="351">
        <v>45224</v>
      </c>
      <c r="F1139" s="353">
        <v>6</v>
      </c>
      <c r="G1139" s="427" t="s">
        <v>1587</v>
      </c>
      <c r="H1139" s="350" t="s">
        <v>351</v>
      </c>
      <c r="I1139" s="350" t="s">
        <v>393</v>
      </c>
      <c r="J1139" s="375">
        <v>960000</v>
      </c>
      <c r="K1139" s="350" t="s">
        <v>394</v>
      </c>
      <c r="L1139" s="354">
        <v>2802.3999950000002</v>
      </c>
      <c r="M1139" s="375">
        <f t="shared" si="49"/>
        <v>342.56351759663772</v>
      </c>
      <c r="N1139" s="354" t="s">
        <v>395</v>
      </c>
      <c r="O1139" s="354">
        <v>0</v>
      </c>
      <c r="P1139" s="355" t="s">
        <v>396</v>
      </c>
      <c r="Q1139" s="353" t="s">
        <v>397</v>
      </c>
      <c r="R1139" s="353">
        <v>0</v>
      </c>
      <c r="S1139" s="353">
        <v>0</v>
      </c>
      <c r="T1139" s="353">
        <v>0</v>
      </c>
      <c r="U1139" s="353">
        <v>0</v>
      </c>
      <c r="V1139" s="353">
        <v>0</v>
      </c>
      <c r="W1139" s="353">
        <v>0</v>
      </c>
    </row>
    <row r="1140" spans="1:23" x14ac:dyDescent="0.25">
      <c r="A1140" s="348" t="s">
        <v>1584</v>
      </c>
      <c r="B1140" s="349">
        <v>191</v>
      </c>
      <c r="C1140" s="423">
        <v>45200</v>
      </c>
      <c r="D1140" s="351">
        <v>45224</v>
      </c>
      <c r="F1140" s="353">
        <v>6</v>
      </c>
      <c r="G1140" s="427" t="s">
        <v>1587</v>
      </c>
      <c r="H1140" s="350" t="s">
        <v>1578</v>
      </c>
      <c r="I1140" s="350" t="s">
        <v>393</v>
      </c>
      <c r="J1140" s="375">
        <v>400000</v>
      </c>
      <c r="K1140" s="350" t="s">
        <v>394</v>
      </c>
      <c r="L1140" s="354">
        <v>2802.3999950000002</v>
      </c>
      <c r="M1140" s="375">
        <f t="shared" si="49"/>
        <v>142.73479899859905</v>
      </c>
      <c r="N1140" s="354" t="s">
        <v>395</v>
      </c>
      <c r="O1140" s="354">
        <v>0</v>
      </c>
      <c r="P1140" s="355" t="s">
        <v>396</v>
      </c>
      <c r="Q1140" s="353" t="s">
        <v>397</v>
      </c>
      <c r="R1140" s="353">
        <v>0</v>
      </c>
      <c r="S1140" s="353">
        <v>0</v>
      </c>
      <c r="T1140" s="353">
        <v>0</v>
      </c>
      <c r="U1140" s="353">
        <v>0</v>
      </c>
      <c r="V1140" s="353">
        <v>0</v>
      </c>
      <c r="W1140" s="353">
        <v>0</v>
      </c>
    </row>
    <row r="1141" spans="1:23" x14ac:dyDescent="0.25">
      <c r="A1141" s="348" t="s">
        <v>1584</v>
      </c>
      <c r="B1141" s="349">
        <v>191</v>
      </c>
      <c r="C1141" s="423">
        <v>45200</v>
      </c>
      <c r="D1141" s="351">
        <v>45224</v>
      </c>
      <c r="F1141" s="353">
        <v>6</v>
      </c>
      <c r="G1141" s="427" t="s">
        <v>1587</v>
      </c>
      <c r="H1141" s="350" t="s">
        <v>1016</v>
      </c>
      <c r="I1141" s="350" t="s">
        <v>393</v>
      </c>
      <c r="J1141" s="375">
        <v>3944000</v>
      </c>
      <c r="K1141" s="350" t="s">
        <v>394</v>
      </c>
      <c r="L1141" s="354">
        <v>2802.3999950000002</v>
      </c>
      <c r="M1141" s="375">
        <f t="shared" si="49"/>
        <v>1407.3651181261866</v>
      </c>
      <c r="N1141" s="354" t="s">
        <v>395</v>
      </c>
      <c r="O1141" s="354">
        <v>0</v>
      </c>
      <c r="P1141" s="355" t="s">
        <v>396</v>
      </c>
      <c r="Q1141" s="353" t="s">
        <v>397</v>
      </c>
      <c r="R1141" s="353">
        <v>0</v>
      </c>
      <c r="S1141" s="353">
        <v>0</v>
      </c>
      <c r="T1141" s="353">
        <v>0</v>
      </c>
      <c r="U1141" s="353">
        <v>0</v>
      </c>
      <c r="V1141" s="353">
        <v>0</v>
      </c>
      <c r="W1141" s="353">
        <v>0</v>
      </c>
    </row>
    <row r="1142" spans="1:23" x14ac:dyDescent="0.25">
      <c r="A1142" s="348" t="s">
        <v>1584</v>
      </c>
      <c r="B1142" s="349">
        <v>191</v>
      </c>
      <c r="C1142" s="423">
        <v>45200</v>
      </c>
      <c r="D1142" s="351">
        <v>45224</v>
      </c>
      <c r="F1142" s="353">
        <v>6</v>
      </c>
      <c r="G1142" s="427" t="s">
        <v>1587</v>
      </c>
      <c r="H1142" s="350" t="s">
        <v>1234</v>
      </c>
      <c r="I1142" s="350" t="s">
        <v>393</v>
      </c>
      <c r="J1142" s="375">
        <v>1160000</v>
      </c>
      <c r="K1142" s="350" t="s">
        <v>394</v>
      </c>
      <c r="L1142" s="354">
        <v>2802.3999950000002</v>
      </c>
      <c r="M1142" s="375">
        <f t="shared" si="49"/>
        <v>413.93091709593722</v>
      </c>
      <c r="N1142" s="354" t="s">
        <v>395</v>
      </c>
      <c r="O1142" s="354">
        <v>0</v>
      </c>
      <c r="P1142" s="355" t="s">
        <v>396</v>
      </c>
      <c r="Q1142" s="353" t="s">
        <v>397</v>
      </c>
      <c r="R1142" s="353">
        <v>0</v>
      </c>
      <c r="S1142" s="353">
        <v>0</v>
      </c>
      <c r="T1142" s="353">
        <v>0</v>
      </c>
      <c r="U1142" s="353">
        <v>0</v>
      </c>
      <c r="V1142" s="353">
        <v>0</v>
      </c>
      <c r="W1142" s="353">
        <v>0</v>
      </c>
    </row>
    <row r="1143" spans="1:23" x14ac:dyDescent="0.25">
      <c r="A1143" s="348" t="s">
        <v>1584</v>
      </c>
      <c r="B1143" s="349">
        <v>191</v>
      </c>
      <c r="C1143" s="423">
        <v>45200</v>
      </c>
      <c r="D1143" s="351">
        <v>45224</v>
      </c>
      <c r="F1143" s="353">
        <v>6</v>
      </c>
      <c r="G1143" s="427" t="s">
        <v>1587</v>
      </c>
      <c r="H1143" s="350" t="s">
        <v>1579</v>
      </c>
      <c r="I1143" s="350" t="s">
        <v>393</v>
      </c>
      <c r="J1143" s="375">
        <v>464000</v>
      </c>
      <c r="K1143" s="350" t="s">
        <v>394</v>
      </c>
      <c r="L1143" s="354">
        <v>2802.3999950000002</v>
      </c>
      <c r="M1143" s="375">
        <f t="shared" si="49"/>
        <v>165.5723668383749</v>
      </c>
      <c r="N1143" s="354" t="s">
        <v>395</v>
      </c>
      <c r="O1143" s="354">
        <v>0</v>
      </c>
      <c r="P1143" s="355" t="s">
        <v>396</v>
      </c>
      <c r="Q1143" s="353" t="s">
        <v>397</v>
      </c>
      <c r="R1143" s="353">
        <v>0</v>
      </c>
      <c r="S1143" s="353">
        <v>0</v>
      </c>
      <c r="T1143" s="353">
        <v>0</v>
      </c>
      <c r="U1143" s="353">
        <v>0</v>
      </c>
      <c r="V1143" s="353">
        <v>0</v>
      </c>
      <c r="W1143" s="353">
        <v>0</v>
      </c>
    </row>
    <row r="1144" spans="1:23" x14ac:dyDescent="0.25">
      <c r="A1144" s="348" t="s">
        <v>1585</v>
      </c>
      <c r="B1144" s="349">
        <v>192</v>
      </c>
      <c r="C1144" s="423">
        <v>45200</v>
      </c>
      <c r="D1144" s="351">
        <v>45224</v>
      </c>
      <c r="F1144" s="353">
        <v>6</v>
      </c>
      <c r="G1144" s="427" t="s">
        <v>1587</v>
      </c>
      <c r="H1144" s="350" t="s">
        <v>1578</v>
      </c>
      <c r="I1144" s="350" t="s">
        <v>393</v>
      </c>
      <c r="J1144" s="375">
        <v>200000</v>
      </c>
      <c r="K1144" s="350" t="s">
        <v>394</v>
      </c>
      <c r="L1144" s="354">
        <v>2802.3999950000002</v>
      </c>
      <c r="M1144" s="375">
        <f t="shared" si="49"/>
        <v>71.367399499299523</v>
      </c>
      <c r="N1144" s="354" t="s">
        <v>395</v>
      </c>
      <c r="O1144" s="354">
        <v>0</v>
      </c>
      <c r="P1144" s="355" t="s">
        <v>396</v>
      </c>
      <c r="Q1144" s="353" t="s">
        <v>397</v>
      </c>
      <c r="R1144" s="353">
        <v>0</v>
      </c>
      <c r="S1144" s="353">
        <v>0</v>
      </c>
      <c r="T1144" s="353">
        <v>0</v>
      </c>
      <c r="U1144" s="353">
        <v>0</v>
      </c>
      <c r="V1144" s="353">
        <v>0</v>
      </c>
      <c r="W1144" s="353">
        <v>0</v>
      </c>
    </row>
    <row r="1145" spans="1:23" x14ac:dyDescent="0.25">
      <c r="A1145" s="348" t="s">
        <v>1585</v>
      </c>
      <c r="B1145" s="349">
        <v>192</v>
      </c>
      <c r="C1145" s="423">
        <v>45200</v>
      </c>
      <c r="D1145" s="351">
        <v>45224</v>
      </c>
      <c r="F1145" s="353">
        <v>6</v>
      </c>
      <c r="G1145" s="427" t="s">
        <v>1587</v>
      </c>
      <c r="H1145" s="350" t="s">
        <v>1016</v>
      </c>
      <c r="I1145" s="350" t="s">
        <v>393</v>
      </c>
      <c r="J1145" s="375">
        <v>580000</v>
      </c>
      <c r="K1145" s="350" t="s">
        <v>394</v>
      </c>
      <c r="L1145" s="354">
        <v>2802.3999950000002</v>
      </c>
      <c r="M1145" s="375">
        <f t="shared" si="49"/>
        <v>206.96545854796861</v>
      </c>
      <c r="N1145" s="354" t="s">
        <v>395</v>
      </c>
      <c r="O1145" s="354">
        <v>0</v>
      </c>
      <c r="P1145" s="355" t="s">
        <v>396</v>
      </c>
      <c r="Q1145" s="353" t="s">
        <v>397</v>
      </c>
      <c r="R1145" s="353">
        <v>0</v>
      </c>
      <c r="S1145" s="353">
        <v>0</v>
      </c>
      <c r="T1145" s="353">
        <v>0</v>
      </c>
      <c r="U1145" s="353">
        <v>0</v>
      </c>
      <c r="V1145" s="353">
        <v>0</v>
      </c>
      <c r="W1145" s="353">
        <v>0</v>
      </c>
    </row>
    <row r="1146" spans="1:23" x14ac:dyDescent="0.25">
      <c r="A1146" s="348" t="s">
        <v>1585</v>
      </c>
      <c r="B1146" s="349">
        <v>192</v>
      </c>
      <c r="C1146" s="423">
        <v>45200</v>
      </c>
      <c r="D1146" s="351">
        <v>45224</v>
      </c>
      <c r="F1146" s="353">
        <v>6</v>
      </c>
      <c r="G1146" s="427" t="s">
        <v>1587</v>
      </c>
      <c r="H1146" s="350" t="s">
        <v>1234</v>
      </c>
      <c r="I1146" s="350" t="s">
        <v>393</v>
      </c>
      <c r="J1146" s="375">
        <v>1972000</v>
      </c>
      <c r="K1146" s="350" t="s">
        <v>394</v>
      </c>
      <c r="L1146" s="354">
        <v>2802.3999950000002</v>
      </c>
      <c r="M1146" s="375">
        <f t="shared" si="49"/>
        <v>703.68255906309332</v>
      </c>
      <c r="N1146" s="354" t="s">
        <v>395</v>
      </c>
      <c r="O1146" s="354">
        <v>0</v>
      </c>
      <c r="P1146" s="355" t="s">
        <v>396</v>
      </c>
      <c r="Q1146" s="353" t="s">
        <v>397</v>
      </c>
      <c r="R1146" s="353">
        <v>0</v>
      </c>
      <c r="S1146" s="353">
        <v>0</v>
      </c>
      <c r="T1146" s="353">
        <v>0</v>
      </c>
      <c r="U1146" s="353">
        <v>0</v>
      </c>
      <c r="V1146" s="353">
        <v>0</v>
      </c>
      <c r="W1146" s="353">
        <v>0</v>
      </c>
    </row>
    <row r="1147" spans="1:23" x14ac:dyDescent="0.25">
      <c r="A1147" s="348" t="s">
        <v>1585</v>
      </c>
      <c r="B1147" s="349">
        <v>192</v>
      </c>
      <c r="C1147" s="423">
        <v>45200</v>
      </c>
      <c r="D1147" s="351">
        <v>45224</v>
      </c>
      <c r="F1147" s="353">
        <v>6</v>
      </c>
      <c r="G1147" s="427" t="s">
        <v>1587</v>
      </c>
      <c r="H1147" s="350" t="s">
        <v>1579</v>
      </c>
      <c r="I1147" s="350" t="s">
        <v>393</v>
      </c>
      <c r="J1147" s="375">
        <v>232000</v>
      </c>
      <c r="K1147" s="350" t="s">
        <v>394</v>
      </c>
      <c r="L1147" s="354">
        <v>2802.3999950000002</v>
      </c>
      <c r="M1147" s="375">
        <f t="shared" si="49"/>
        <v>82.786183419187452</v>
      </c>
      <c r="N1147" s="354" t="s">
        <v>395</v>
      </c>
      <c r="O1147" s="354">
        <v>0</v>
      </c>
      <c r="P1147" s="355" t="s">
        <v>396</v>
      </c>
      <c r="Q1147" s="353" t="s">
        <v>397</v>
      </c>
      <c r="R1147" s="353">
        <v>0</v>
      </c>
      <c r="S1147" s="353">
        <v>0</v>
      </c>
      <c r="T1147" s="353">
        <v>0</v>
      </c>
      <c r="U1147" s="353">
        <v>0</v>
      </c>
      <c r="V1147" s="353">
        <v>0</v>
      </c>
      <c r="W1147" s="353">
        <v>0</v>
      </c>
    </row>
    <row r="1148" spans="1:23" x14ac:dyDescent="0.25">
      <c r="A1148" s="348" t="s">
        <v>1586</v>
      </c>
      <c r="B1148" s="349">
        <v>193</v>
      </c>
      <c r="C1148" s="423">
        <v>45200</v>
      </c>
      <c r="D1148" s="351">
        <v>45230</v>
      </c>
      <c r="F1148" s="353">
        <v>6</v>
      </c>
      <c r="G1148" s="427" t="s">
        <v>1587</v>
      </c>
      <c r="H1148" s="350" t="s">
        <v>1385</v>
      </c>
      <c r="I1148" s="350" t="s">
        <v>393</v>
      </c>
      <c r="J1148" s="375">
        <v>2250000</v>
      </c>
      <c r="K1148" s="350" t="s">
        <v>394</v>
      </c>
      <c r="L1148" s="354">
        <v>2802.3999950000002</v>
      </c>
      <c r="M1148" s="375">
        <f>J1148/L1148</f>
        <v>802.88324436711957</v>
      </c>
      <c r="N1148" s="354" t="s">
        <v>395</v>
      </c>
      <c r="O1148" s="354">
        <v>0</v>
      </c>
      <c r="P1148" s="355" t="s">
        <v>396</v>
      </c>
      <c r="Q1148" s="353" t="s">
        <v>397</v>
      </c>
      <c r="R1148" s="353">
        <v>0</v>
      </c>
      <c r="S1148" s="353">
        <v>0</v>
      </c>
      <c r="T1148" s="353">
        <v>0</v>
      </c>
      <c r="U1148" s="353">
        <v>0</v>
      </c>
      <c r="V1148" s="353">
        <v>0</v>
      </c>
      <c r="W1148" s="353">
        <v>0</v>
      </c>
    </row>
    <row r="1149" spans="1:23" ht="15.75" x14ac:dyDescent="0.25">
      <c r="A1149" s="348" t="s">
        <v>1589</v>
      </c>
      <c r="B1149" s="349">
        <v>194</v>
      </c>
      <c r="C1149" s="423">
        <v>45200</v>
      </c>
      <c r="D1149" s="351">
        <v>45222</v>
      </c>
      <c r="F1149" s="353">
        <v>6</v>
      </c>
      <c r="G1149" s="352" t="s">
        <v>1423</v>
      </c>
      <c r="H1149" s="441" t="s">
        <v>1591</v>
      </c>
      <c r="I1149" s="350" t="s">
        <v>393</v>
      </c>
      <c r="J1149" s="438">
        <v>10000</v>
      </c>
      <c r="K1149" s="439" t="s">
        <v>394</v>
      </c>
      <c r="L1149" s="354">
        <v>2802.3999950000002</v>
      </c>
      <c r="M1149" s="440">
        <f t="shared" ref="M1149:M1152" si="50">J1149/L1149</f>
        <v>3.568369974964976</v>
      </c>
      <c r="N1149" s="354" t="s">
        <v>395</v>
      </c>
      <c r="O1149" s="354">
        <v>0</v>
      </c>
      <c r="P1149" s="355" t="s">
        <v>396</v>
      </c>
      <c r="Q1149" s="353" t="s">
        <v>397</v>
      </c>
      <c r="R1149" s="353">
        <v>0</v>
      </c>
      <c r="S1149" s="353">
        <v>0</v>
      </c>
      <c r="T1149" s="353">
        <v>0</v>
      </c>
      <c r="U1149" s="353">
        <v>0</v>
      </c>
      <c r="V1149" s="353">
        <v>0</v>
      </c>
      <c r="W1149" s="353">
        <v>0</v>
      </c>
    </row>
    <row r="1150" spans="1:23" ht="15.75" x14ac:dyDescent="0.25">
      <c r="A1150" s="348" t="s">
        <v>1589</v>
      </c>
      <c r="B1150" s="349">
        <v>195</v>
      </c>
      <c r="C1150" s="423">
        <v>45200</v>
      </c>
      <c r="D1150" s="351">
        <v>45222</v>
      </c>
      <c r="F1150" s="353">
        <v>6</v>
      </c>
      <c r="G1150" s="352" t="s">
        <v>1423</v>
      </c>
      <c r="H1150" s="437" t="s">
        <v>1355</v>
      </c>
      <c r="I1150" s="350" t="s">
        <v>393</v>
      </c>
      <c r="J1150" s="438">
        <f>200000+200000+200000+200000</f>
        <v>800000</v>
      </c>
      <c r="K1150" s="439" t="s">
        <v>394</v>
      </c>
      <c r="L1150" s="354">
        <v>2802.3999950000002</v>
      </c>
      <c r="M1150" s="440">
        <f t="shared" si="50"/>
        <v>285.46959799719809</v>
      </c>
      <c r="N1150" s="354" t="s">
        <v>395</v>
      </c>
      <c r="O1150" s="354">
        <v>0</v>
      </c>
      <c r="P1150" s="355" t="s">
        <v>396</v>
      </c>
      <c r="Q1150" s="353" t="s">
        <v>397</v>
      </c>
      <c r="R1150" s="353">
        <v>0</v>
      </c>
      <c r="S1150" s="353">
        <v>0</v>
      </c>
      <c r="T1150" s="353">
        <v>0</v>
      </c>
      <c r="U1150" s="353">
        <v>0</v>
      </c>
      <c r="V1150" s="353">
        <v>0</v>
      </c>
      <c r="W1150" s="353">
        <v>0</v>
      </c>
    </row>
    <row r="1151" spans="1:23" ht="15.75" x14ac:dyDescent="0.25">
      <c r="A1151" s="348" t="s">
        <v>1589</v>
      </c>
      <c r="B1151" s="349">
        <v>196</v>
      </c>
      <c r="C1151" s="423">
        <v>45200</v>
      </c>
      <c r="D1151" s="351">
        <v>45222</v>
      </c>
      <c r="F1151" s="353">
        <v>6</v>
      </c>
      <c r="G1151" s="352" t="s">
        <v>1423</v>
      </c>
      <c r="H1151" s="437" t="s">
        <v>606</v>
      </c>
      <c r="I1151" s="350" t="s">
        <v>393</v>
      </c>
      <c r="J1151" s="438">
        <v>359818</v>
      </c>
      <c r="K1151" s="439" t="s">
        <v>394</v>
      </c>
      <c r="L1151" s="354">
        <v>2802.3999950000002</v>
      </c>
      <c r="M1151" s="440">
        <f t="shared" si="50"/>
        <v>128.39637476519476</v>
      </c>
      <c r="N1151" s="354" t="s">
        <v>395</v>
      </c>
      <c r="O1151" s="354">
        <v>0</v>
      </c>
      <c r="P1151" s="355" t="s">
        <v>396</v>
      </c>
      <c r="Q1151" s="353" t="s">
        <v>397</v>
      </c>
      <c r="R1151" s="353">
        <v>0</v>
      </c>
      <c r="S1151" s="353">
        <v>0</v>
      </c>
      <c r="T1151" s="353">
        <v>0</v>
      </c>
      <c r="U1151" s="353">
        <v>0</v>
      </c>
      <c r="V1151" s="353">
        <v>0</v>
      </c>
      <c r="W1151" s="353">
        <v>0</v>
      </c>
    </row>
    <row r="1152" spans="1:23" ht="15.75" x14ac:dyDescent="0.25">
      <c r="A1152" s="348" t="s">
        <v>1590</v>
      </c>
      <c r="B1152" s="349">
        <v>197</v>
      </c>
      <c r="C1152" s="423">
        <v>45200</v>
      </c>
      <c r="D1152" s="351">
        <v>45230</v>
      </c>
      <c r="F1152" s="353">
        <v>6</v>
      </c>
      <c r="G1152" s="352" t="s">
        <v>1423</v>
      </c>
      <c r="H1152" s="437" t="s">
        <v>351</v>
      </c>
      <c r="I1152" s="350" t="s">
        <v>393</v>
      </c>
      <c r="J1152" s="438">
        <v>600000</v>
      </c>
      <c r="K1152" s="439" t="s">
        <v>394</v>
      </c>
      <c r="L1152" s="354">
        <v>2802.3999950000002</v>
      </c>
      <c r="M1152" s="440">
        <f t="shared" si="50"/>
        <v>214.10219849789857</v>
      </c>
      <c r="N1152" s="354" t="s">
        <v>395</v>
      </c>
      <c r="O1152" s="354">
        <v>0</v>
      </c>
      <c r="P1152" s="355" t="s">
        <v>396</v>
      </c>
      <c r="Q1152" s="353" t="s">
        <v>397</v>
      </c>
      <c r="R1152" s="353">
        <v>0</v>
      </c>
      <c r="S1152" s="353">
        <v>0</v>
      </c>
      <c r="T1152" s="353">
        <v>0</v>
      </c>
      <c r="U1152" s="353">
        <v>0</v>
      </c>
      <c r="V1152" s="353">
        <v>0</v>
      </c>
      <c r="W1152" s="353">
        <v>0</v>
      </c>
    </row>
    <row r="1153" spans="1:23" x14ac:dyDescent="0.25">
      <c r="A1153" s="348" t="s">
        <v>1621</v>
      </c>
      <c r="B1153" s="349">
        <v>39</v>
      </c>
      <c r="C1153" s="423">
        <v>45200</v>
      </c>
      <c r="D1153" s="351">
        <v>45154</v>
      </c>
      <c r="F1153" s="353">
        <v>6</v>
      </c>
      <c r="G1153" s="427" t="s">
        <v>1053</v>
      </c>
      <c r="H1153" s="350" t="s">
        <v>1628</v>
      </c>
      <c r="I1153" s="350" t="s">
        <v>393</v>
      </c>
      <c r="J1153" s="560">
        <f>150000+150000+150000+150000+150000+150000</f>
        <v>900000</v>
      </c>
      <c r="K1153" s="350" t="s">
        <v>394</v>
      </c>
      <c r="L1153" s="354">
        <v>2803.6597999999999</v>
      </c>
      <c r="M1153" s="576">
        <f>J1153/L1153</f>
        <v>321.00898974975496</v>
      </c>
      <c r="N1153" s="354" t="s">
        <v>395</v>
      </c>
      <c r="O1153" s="354">
        <v>0</v>
      </c>
      <c r="P1153" s="355" t="s">
        <v>396</v>
      </c>
      <c r="Q1153" s="353" t="s">
        <v>346</v>
      </c>
      <c r="R1153" s="353">
        <v>0</v>
      </c>
      <c r="S1153" s="353">
        <v>0</v>
      </c>
      <c r="T1153" s="353">
        <v>0</v>
      </c>
      <c r="U1153" s="353">
        <v>0</v>
      </c>
      <c r="V1153" s="353">
        <v>0</v>
      </c>
      <c r="W1153" s="353">
        <v>0</v>
      </c>
    </row>
    <row r="1154" spans="1:23" x14ac:dyDescent="0.25">
      <c r="A1154" s="348" t="s">
        <v>1621</v>
      </c>
      <c r="B1154" s="349">
        <v>39</v>
      </c>
      <c r="C1154" s="423">
        <v>45200</v>
      </c>
      <c r="D1154" s="351">
        <v>45154</v>
      </c>
      <c r="F1154" s="353">
        <v>6</v>
      </c>
      <c r="G1154" s="427" t="s">
        <v>1053</v>
      </c>
      <c r="H1154" s="350" t="s">
        <v>1629</v>
      </c>
      <c r="I1154" s="350" t="s">
        <v>393</v>
      </c>
      <c r="J1154" s="560">
        <f>24000+24000+24000</f>
        <v>72000</v>
      </c>
      <c r="K1154" s="350" t="s">
        <v>394</v>
      </c>
      <c r="L1154" s="354">
        <v>2803.6597999999999</v>
      </c>
      <c r="M1154" s="576">
        <f t="shared" ref="M1154:M1174" si="51">J1154/L1154</f>
        <v>25.680719179980397</v>
      </c>
      <c r="N1154" s="354" t="s">
        <v>395</v>
      </c>
      <c r="O1154" s="354">
        <v>0</v>
      </c>
      <c r="P1154" s="355" t="s">
        <v>396</v>
      </c>
      <c r="Q1154" s="353" t="s">
        <v>346</v>
      </c>
      <c r="R1154" s="353">
        <v>0</v>
      </c>
      <c r="S1154" s="353">
        <v>0</v>
      </c>
      <c r="T1154" s="353">
        <v>0</v>
      </c>
      <c r="U1154" s="353">
        <v>0</v>
      </c>
      <c r="V1154" s="353">
        <v>0</v>
      </c>
      <c r="W1154" s="353">
        <v>0</v>
      </c>
    </row>
    <row r="1155" spans="1:23" x14ac:dyDescent="0.25">
      <c r="A1155" s="348" t="s">
        <v>1621</v>
      </c>
      <c r="B1155" s="349">
        <v>39</v>
      </c>
      <c r="C1155" s="423">
        <v>45200</v>
      </c>
      <c r="D1155" s="351">
        <v>45154</v>
      </c>
      <c r="F1155" s="353">
        <v>6</v>
      </c>
      <c r="G1155" s="427" t="s">
        <v>1053</v>
      </c>
      <c r="H1155" s="350" t="s">
        <v>1630</v>
      </c>
      <c r="I1155" s="350" t="s">
        <v>393</v>
      </c>
      <c r="J1155" s="560">
        <v>100000</v>
      </c>
      <c r="K1155" s="350" t="s">
        <v>394</v>
      </c>
      <c r="L1155" s="354">
        <v>2803.6597999999999</v>
      </c>
      <c r="M1155" s="576">
        <f t="shared" si="51"/>
        <v>35.66766552775055</v>
      </c>
      <c r="N1155" s="354" t="s">
        <v>395</v>
      </c>
      <c r="O1155" s="354">
        <v>0</v>
      </c>
      <c r="P1155" s="355" t="s">
        <v>396</v>
      </c>
      <c r="Q1155" s="353" t="s">
        <v>346</v>
      </c>
      <c r="R1155" s="353">
        <v>0</v>
      </c>
      <c r="S1155" s="353">
        <v>0</v>
      </c>
      <c r="T1155" s="353">
        <v>0</v>
      </c>
      <c r="U1155" s="353">
        <v>0</v>
      </c>
      <c r="V1155" s="353">
        <v>0</v>
      </c>
      <c r="W1155" s="353">
        <v>0</v>
      </c>
    </row>
    <row r="1156" spans="1:23" x14ac:dyDescent="0.25">
      <c r="A1156" s="348" t="s">
        <v>1621</v>
      </c>
      <c r="B1156" s="349">
        <v>39</v>
      </c>
      <c r="C1156" s="423">
        <v>45200</v>
      </c>
      <c r="D1156" s="351">
        <v>45154</v>
      </c>
      <c r="F1156" s="353">
        <v>6</v>
      </c>
      <c r="G1156" s="427" t="s">
        <v>1053</v>
      </c>
      <c r="H1156" s="350" t="s">
        <v>1631</v>
      </c>
      <c r="I1156" s="350" t="s">
        <v>393</v>
      </c>
      <c r="J1156" s="560">
        <v>15000</v>
      </c>
      <c r="K1156" s="350" t="s">
        <v>394</v>
      </c>
      <c r="L1156" s="354">
        <v>2803.6597999999999</v>
      </c>
      <c r="M1156" s="576">
        <f t="shared" si="51"/>
        <v>5.3501498291625822</v>
      </c>
      <c r="N1156" s="354" t="s">
        <v>395</v>
      </c>
      <c r="O1156" s="354">
        <v>0</v>
      </c>
      <c r="P1156" s="355" t="s">
        <v>396</v>
      </c>
      <c r="Q1156" s="353" t="s">
        <v>346</v>
      </c>
      <c r="R1156" s="353">
        <v>0</v>
      </c>
      <c r="S1156" s="353">
        <v>0</v>
      </c>
      <c r="T1156" s="353">
        <v>0</v>
      </c>
      <c r="U1156" s="353">
        <v>0</v>
      </c>
      <c r="V1156" s="353">
        <v>0</v>
      </c>
      <c r="W1156" s="353">
        <v>0</v>
      </c>
    </row>
    <row r="1157" spans="1:23" x14ac:dyDescent="0.25">
      <c r="A1157" s="348" t="s">
        <v>1622</v>
      </c>
      <c r="B1157" s="349">
        <v>39</v>
      </c>
      <c r="C1157" s="423">
        <v>45200</v>
      </c>
      <c r="D1157" s="351">
        <v>45154</v>
      </c>
      <c r="F1157" s="353">
        <v>6</v>
      </c>
      <c r="G1157" s="427" t="s">
        <v>1053</v>
      </c>
      <c r="H1157" s="350" t="s">
        <v>1632</v>
      </c>
      <c r="I1157" s="350" t="s">
        <v>393</v>
      </c>
      <c r="J1157" s="560">
        <v>33600</v>
      </c>
      <c r="K1157" s="350" t="s">
        <v>394</v>
      </c>
      <c r="L1157" s="354">
        <v>2803.6597999999999</v>
      </c>
      <c r="M1157" s="576">
        <f t="shared" si="51"/>
        <v>11.984335617324184</v>
      </c>
      <c r="N1157" s="354" t="s">
        <v>395</v>
      </c>
      <c r="O1157" s="354">
        <v>0</v>
      </c>
      <c r="P1157" s="355" t="s">
        <v>396</v>
      </c>
      <c r="Q1157" s="353" t="s">
        <v>346</v>
      </c>
      <c r="R1157" s="353">
        <v>0</v>
      </c>
      <c r="S1157" s="353">
        <v>0</v>
      </c>
      <c r="T1157" s="353">
        <v>0</v>
      </c>
      <c r="U1157" s="353">
        <v>0</v>
      </c>
      <c r="V1157" s="353">
        <v>0</v>
      </c>
      <c r="W1157" s="353">
        <v>0</v>
      </c>
    </row>
    <row r="1158" spans="1:23" x14ac:dyDescent="0.25">
      <c r="A1158" s="348" t="s">
        <v>1623</v>
      </c>
      <c r="B1158" s="349">
        <v>39</v>
      </c>
      <c r="C1158" s="423">
        <v>45200</v>
      </c>
      <c r="D1158" s="351">
        <v>45158</v>
      </c>
      <c r="F1158" s="353">
        <v>6</v>
      </c>
      <c r="G1158" s="427" t="s">
        <v>1053</v>
      </c>
      <c r="H1158" s="350" t="s">
        <v>1633</v>
      </c>
      <c r="I1158" s="350" t="s">
        <v>393</v>
      </c>
      <c r="J1158" s="560">
        <v>300000</v>
      </c>
      <c r="K1158" s="350" t="s">
        <v>394</v>
      </c>
      <c r="L1158" s="354">
        <v>2803.6597999999999</v>
      </c>
      <c r="M1158" s="576">
        <f t="shared" si="51"/>
        <v>107.00299658325166</v>
      </c>
      <c r="N1158" s="354" t="s">
        <v>395</v>
      </c>
      <c r="O1158" s="354">
        <v>0</v>
      </c>
      <c r="P1158" s="355" t="s">
        <v>396</v>
      </c>
      <c r="Q1158" s="353" t="s">
        <v>346</v>
      </c>
      <c r="R1158" s="353">
        <v>0</v>
      </c>
      <c r="S1158" s="353">
        <v>0</v>
      </c>
      <c r="T1158" s="353">
        <v>0</v>
      </c>
      <c r="U1158" s="353">
        <v>0</v>
      </c>
      <c r="V1158" s="353">
        <v>0</v>
      </c>
      <c r="W1158" s="353">
        <v>0</v>
      </c>
    </row>
    <row r="1159" spans="1:23" x14ac:dyDescent="0.25">
      <c r="A1159" s="348" t="s">
        <v>1623</v>
      </c>
      <c r="B1159" s="349">
        <v>39</v>
      </c>
      <c r="C1159" s="423">
        <v>45200</v>
      </c>
      <c r="D1159" s="351">
        <v>45158</v>
      </c>
      <c r="F1159" s="353">
        <v>6</v>
      </c>
      <c r="G1159" s="427" t="s">
        <v>1053</v>
      </c>
      <c r="H1159" s="350" t="s">
        <v>1634</v>
      </c>
      <c r="I1159" s="350" t="s">
        <v>393</v>
      </c>
      <c r="J1159" s="560">
        <v>576000</v>
      </c>
      <c r="K1159" s="350" t="s">
        <v>394</v>
      </c>
      <c r="L1159" s="354">
        <v>2803.6597999999999</v>
      </c>
      <c r="M1159" s="576">
        <f t="shared" si="51"/>
        <v>205.44575343984317</v>
      </c>
      <c r="N1159" s="354" t="s">
        <v>395</v>
      </c>
      <c r="O1159" s="354">
        <v>0</v>
      </c>
      <c r="P1159" s="355" t="s">
        <v>396</v>
      </c>
      <c r="Q1159" s="353" t="s">
        <v>346</v>
      </c>
      <c r="R1159" s="353">
        <v>0</v>
      </c>
      <c r="S1159" s="353">
        <v>0</v>
      </c>
      <c r="T1159" s="353">
        <v>0</v>
      </c>
      <c r="U1159" s="353">
        <v>0</v>
      </c>
      <c r="V1159" s="353">
        <v>0</v>
      </c>
      <c r="W1159" s="353">
        <v>0</v>
      </c>
    </row>
    <row r="1160" spans="1:23" x14ac:dyDescent="0.25">
      <c r="A1160" s="348" t="s">
        <v>1623</v>
      </c>
      <c r="B1160" s="349">
        <v>39</v>
      </c>
      <c r="C1160" s="423">
        <v>45200</v>
      </c>
      <c r="D1160" s="351">
        <v>45158</v>
      </c>
      <c r="F1160" s="353">
        <v>6</v>
      </c>
      <c r="G1160" s="427" t="s">
        <v>1053</v>
      </c>
      <c r="H1160" s="350" t="s">
        <v>1635</v>
      </c>
      <c r="I1160" s="350" t="s">
        <v>393</v>
      </c>
      <c r="J1160" s="560">
        <v>1200000</v>
      </c>
      <c r="K1160" s="350" t="s">
        <v>394</v>
      </c>
      <c r="L1160" s="354">
        <v>2803.6597999999999</v>
      </c>
      <c r="M1160" s="576">
        <f t="shared" si="51"/>
        <v>428.01198633300663</v>
      </c>
      <c r="N1160" s="354" t="s">
        <v>395</v>
      </c>
      <c r="O1160" s="354">
        <v>0</v>
      </c>
      <c r="P1160" s="355" t="s">
        <v>396</v>
      </c>
      <c r="Q1160" s="353" t="s">
        <v>346</v>
      </c>
      <c r="R1160" s="353">
        <v>0</v>
      </c>
      <c r="S1160" s="353">
        <v>0</v>
      </c>
      <c r="T1160" s="353">
        <v>0</v>
      </c>
      <c r="U1160" s="353">
        <v>0</v>
      </c>
      <c r="V1160" s="353">
        <v>0</v>
      </c>
      <c r="W1160" s="353">
        <v>0</v>
      </c>
    </row>
    <row r="1161" spans="1:23" x14ac:dyDescent="0.25">
      <c r="A1161" s="348" t="s">
        <v>1623</v>
      </c>
      <c r="B1161" s="349">
        <v>39</v>
      </c>
      <c r="C1161" s="423">
        <v>45200</v>
      </c>
      <c r="D1161" s="351">
        <v>45158</v>
      </c>
      <c r="F1161" s="353">
        <v>6</v>
      </c>
      <c r="G1161" s="427" t="s">
        <v>1053</v>
      </c>
      <c r="H1161" s="350" t="s">
        <v>1636</v>
      </c>
      <c r="I1161" s="350"/>
      <c r="J1161" s="560">
        <v>144000</v>
      </c>
      <c r="K1161" s="350" t="s">
        <v>394</v>
      </c>
      <c r="L1161" s="354">
        <v>2803.6597999999999</v>
      </c>
      <c r="M1161" s="576">
        <f t="shared" si="51"/>
        <v>51.361438359960793</v>
      </c>
      <c r="N1161" s="354" t="s">
        <v>395</v>
      </c>
      <c r="O1161" s="354">
        <v>0</v>
      </c>
      <c r="P1161" s="355" t="s">
        <v>396</v>
      </c>
      <c r="Q1161" s="353" t="s">
        <v>346</v>
      </c>
      <c r="R1161" s="353">
        <v>0</v>
      </c>
      <c r="S1161" s="353">
        <v>0</v>
      </c>
      <c r="T1161" s="353">
        <v>0</v>
      </c>
      <c r="U1161" s="353">
        <v>0</v>
      </c>
      <c r="V1161" s="353">
        <v>0</v>
      </c>
      <c r="W1161" s="353">
        <v>0</v>
      </c>
    </row>
    <row r="1162" spans="1:23" x14ac:dyDescent="0.25">
      <c r="A1162" s="348" t="s">
        <v>1624</v>
      </c>
      <c r="B1162" s="349">
        <v>35</v>
      </c>
      <c r="C1162" s="423">
        <v>45200</v>
      </c>
      <c r="D1162" s="351">
        <v>45154</v>
      </c>
      <c r="F1162" s="353">
        <v>6</v>
      </c>
      <c r="G1162" s="427" t="s">
        <v>1053</v>
      </c>
      <c r="H1162" s="350" t="s">
        <v>1637</v>
      </c>
      <c r="I1162" s="350" t="s">
        <v>393</v>
      </c>
      <c r="J1162" s="560">
        <v>3000000</v>
      </c>
      <c r="K1162" s="350" t="s">
        <v>394</v>
      </c>
      <c r="L1162" s="354">
        <v>2803.6597999999999</v>
      </c>
      <c r="M1162" s="576">
        <f>+J1162/L1162</f>
        <v>1070.0299658325166</v>
      </c>
      <c r="N1162" s="354" t="s">
        <v>395</v>
      </c>
      <c r="O1162" s="354">
        <v>0</v>
      </c>
      <c r="P1162" s="355" t="s">
        <v>396</v>
      </c>
      <c r="Q1162" s="353" t="s">
        <v>346</v>
      </c>
      <c r="R1162" s="353">
        <v>0</v>
      </c>
      <c r="S1162" s="353">
        <v>0</v>
      </c>
      <c r="T1162" s="353">
        <v>0</v>
      </c>
      <c r="U1162" s="353">
        <v>0</v>
      </c>
      <c r="V1162" s="353">
        <v>0</v>
      </c>
      <c r="W1162" s="353">
        <v>0</v>
      </c>
    </row>
    <row r="1163" spans="1:23" x14ac:dyDescent="0.25">
      <c r="A1163" s="348" t="s">
        <v>1624</v>
      </c>
      <c r="B1163" s="349">
        <v>35</v>
      </c>
      <c r="C1163" s="423">
        <v>45200</v>
      </c>
      <c r="D1163" s="351">
        <v>45154</v>
      </c>
      <c r="F1163" s="353">
        <v>6</v>
      </c>
      <c r="G1163" s="427" t="s">
        <v>1053</v>
      </c>
      <c r="H1163" s="350" t="s">
        <v>1638</v>
      </c>
      <c r="I1163" s="350" t="s">
        <v>393</v>
      </c>
      <c r="J1163" s="560">
        <v>1500000</v>
      </c>
      <c r="K1163" s="350" t="s">
        <v>394</v>
      </c>
      <c r="L1163" s="354">
        <v>2803.6597999999999</v>
      </c>
      <c r="M1163" s="576">
        <f>+J1163/L1163</f>
        <v>535.0149829162583</v>
      </c>
      <c r="N1163" s="354" t="s">
        <v>395</v>
      </c>
      <c r="O1163" s="354">
        <v>0</v>
      </c>
      <c r="P1163" s="355" t="s">
        <v>396</v>
      </c>
      <c r="Q1163" s="353" t="s">
        <v>346</v>
      </c>
      <c r="R1163" s="353">
        <v>0</v>
      </c>
      <c r="S1163" s="353">
        <v>0</v>
      </c>
      <c r="T1163" s="353">
        <v>0</v>
      </c>
      <c r="U1163" s="353">
        <v>0</v>
      </c>
      <c r="V1163" s="353">
        <v>0</v>
      </c>
      <c r="W1163" s="353">
        <v>0</v>
      </c>
    </row>
    <row r="1164" spans="1:23" x14ac:dyDescent="0.25">
      <c r="A1164" s="348" t="s">
        <v>1625</v>
      </c>
      <c r="B1164" s="349">
        <v>39</v>
      </c>
      <c r="C1164" s="423">
        <v>45200</v>
      </c>
      <c r="D1164" s="351">
        <v>45161</v>
      </c>
      <c r="F1164" s="353">
        <v>6</v>
      </c>
      <c r="G1164" s="427" t="s">
        <v>1053</v>
      </c>
      <c r="H1164" s="350" t="s">
        <v>1639</v>
      </c>
      <c r="I1164" s="350" t="s">
        <v>393</v>
      </c>
      <c r="J1164" s="560">
        <v>191500</v>
      </c>
      <c r="K1164" s="350" t="s">
        <v>394</v>
      </c>
      <c r="L1164" s="354">
        <v>2803.6597999999999</v>
      </c>
      <c r="M1164" s="576">
        <f t="shared" si="51"/>
        <v>68.303579485642302</v>
      </c>
      <c r="N1164" s="354" t="s">
        <v>395</v>
      </c>
      <c r="O1164" s="354">
        <v>0</v>
      </c>
      <c r="P1164" s="355" t="s">
        <v>396</v>
      </c>
      <c r="Q1164" s="353" t="s">
        <v>346</v>
      </c>
      <c r="R1164" s="353">
        <v>0</v>
      </c>
      <c r="S1164" s="353">
        <v>0</v>
      </c>
      <c r="T1164" s="353">
        <v>0</v>
      </c>
      <c r="U1164" s="353">
        <v>0</v>
      </c>
      <c r="V1164" s="353">
        <v>0</v>
      </c>
      <c r="W1164" s="353">
        <v>0</v>
      </c>
    </row>
    <row r="1165" spans="1:23" x14ac:dyDescent="0.25">
      <c r="A1165" s="348" t="s">
        <v>1626</v>
      </c>
      <c r="B1165" s="349">
        <v>39</v>
      </c>
      <c r="C1165" s="423">
        <v>45200</v>
      </c>
      <c r="D1165" s="351">
        <v>45161</v>
      </c>
      <c r="F1165" s="353">
        <v>6</v>
      </c>
      <c r="G1165" s="427" t="s">
        <v>1053</v>
      </c>
      <c r="H1165" s="350" t="s">
        <v>1640</v>
      </c>
      <c r="I1165" s="350" t="s">
        <v>393</v>
      </c>
      <c r="J1165" s="560">
        <f>192000+192000+192000+192000+192000+280000</f>
        <v>1240000</v>
      </c>
      <c r="K1165" s="350" t="s">
        <v>394</v>
      </c>
      <c r="L1165" s="354">
        <v>2803.6597999999999</v>
      </c>
      <c r="M1165" s="576">
        <f t="shared" si="51"/>
        <v>442.27905254410683</v>
      </c>
      <c r="N1165" s="354" t="s">
        <v>395</v>
      </c>
      <c r="O1165" s="354">
        <v>0</v>
      </c>
      <c r="P1165" s="355" t="s">
        <v>396</v>
      </c>
      <c r="Q1165" s="353" t="s">
        <v>346</v>
      </c>
      <c r="R1165" s="353">
        <v>0</v>
      </c>
      <c r="S1165" s="353">
        <v>0</v>
      </c>
      <c r="T1165" s="353">
        <v>0</v>
      </c>
      <c r="U1165" s="353">
        <v>0</v>
      </c>
      <c r="V1165" s="353">
        <v>0</v>
      </c>
      <c r="W1165" s="353">
        <v>0</v>
      </c>
    </row>
    <row r="1166" spans="1:23" x14ac:dyDescent="0.25">
      <c r="A1166" s="348" t="s">
        <v>1626</v>
      </c>
      <c r="B1166" s="349">
        <v>39</v>
      </c>
      <c r="C1166" s="423">
        <v>45200</v>
      </c>
      <c r="D1166" s="351">
        <v>45161</v>
      </c>
      <c r="F1166" s="353">
        <v>6</v>
      </c>
      <c r="G1166" s="427" t="s">
        <v>1053</v>
      </c>
      <c r="H1166" s="350" t="s">
        <v>1641</v>
      </c>
      <c r="I1166" s="350" t="s">
        <v>393</v>
      </c>
      <c r="J1166" s="560">
        <v>2275000</v>
      </c>
      <c r="K1166" s="350" t="s">
        <v>394</v>
      </c>
      <c r="L1166" s="354">
        <v>2803.6597999999999</v>
      </c>
      <c r="M1166" s="576">
        <f t="shared" si="51"/>
        <v>811.439390756325</v>
      </c>
      <c r="N1166" s="354" t="s">
        <v>395</v>
      </c>
      <c r="O1166" s="354">
        <v>0</v>
      </c>
      <c r="P1166" s="355" t="s">
        <v>396</v>
      </c>
      <c r="Q1166" s="353" t="s">
        <v>346</v>
      </c>
      <c r="R1166" s="353">
        <v>0</v>
      </c>
      <c r="S1166" s="353">
        <v>0</v>
      </c>
      <c r="T1166" s="353">
        <v>0</v>
      </c>
      <c r="U1166" s="353">
        <v>0</v>
      </c>
      <c r="V1166" s="353">
        <v>0</v>
      </c>
      <c r="W1166" s="353">
        <v>0</v>
      </c>
    </row>
    <row r="1167" spans="1:23" x14ac:dyDescent="0.25">
      <c r="A1167" s="348" t="s">
        <v>1626</v>
      </c>
      <c r="B1167" s="349">
        <v>39</v>
      </c>
      <c r="C1167" s="423">
        <v>45200</v>
      </c>
      <c r="D1167" s="351">
        <v>45161</v>
      </c>
      <c r="F1167" s="353">
        <v>6</v>
      </c>
      <c r="G1167" s="427" t="s">
        <v>1053</v>
      </c>
      <c r="H1167" s="350" t="s">
        <v>1642</v>
      </c>
      <c r="I1167" s="350" t="s">
        <v>393</v>
      </c>
      <c r="J1167" s="560">
        <v>15000</v>
      </c>
      <c r="K1167" s="350" t="s">
        <v>394</v>
      </c>
      <c r="L1167" s="354">
        <v>2803.6597999999999</v>
      </c>
      <c r="M1167" s="576">
        <f t="shared" si="51"/>
        <v>5.3501498291625822</v>
      </c>
      <c r="N1167" s="354" t="s">
        <v>395</v>
      </c>
      <c r="O1167" s="354">
        <v>0</v>
      </c>
      <c r="P1167" s="355" t="s">
        <v>396</v>
      </c>
      <c r="Q1167" s="353" t="s">
        <v>346</v>
      </c>
      <c r="R1167" s="353">
        <v>0</v>
      </c>
      <c r="S1167" s="353">
        <v>0</v>
      </c>
      <c r="T1167" s="353">
        <v>0</v>
      </c>
      <c r="U1167" s="353">
        <v>0</v>
      </c>
      <c r="V1167" s="353">
        <v>0</v>
      </c>
      <c r="W1167" s="353">
        <v>0</v>
      </c>
    </row>
    <row r="1168" spans="1:23" x14ac:dyDescent="0.25">
      <c r="A1168" s="348" t="s">
        <v>1626</v>
      </c>
      <c r="B1168" s="349">
        <v>39</v>
      </c>
      <c r="C1168" s="423">
        <v>45200</v>
      </c>
      <c r="D1168" s="351">
        <v>45161</v>
      </c>
      <c r="F1168" s="353">
        <v>6</v>
      </c>
      <c r="G1168" s="427" t="s">
        <v>1053</v>
      </c>
      <c r="H1168" s="350" t="s">
        <v>1187</v>
      </c>
      <c r="I1168" s="350" t="s">
        <v>393</v>
      </c>
      <c r="J1168" s="560">
        <v>222500</v>
      </c>
      <c r="K1168" s="350" t="s">
        <v>394</v>
      </c>
      <c r="L1168" s="354">
        <v>2803.6597999999999</v>
      </c>
      <c r="M1168" s="576">
        <f t="shared" si="51"/>
        <v>79.360555799244977</v>
      </c>
      <c r="N1168" s="354" t="s">
        <v>395</v>
      </c>
      <c r="O1168" s="354">
        <v>0</v>
      </c>
      <c r="P1168" s="355" t="s">
        <v>396</v>
      </c>
      <c r="Q1168" s="353" t="s">
        <v>346</v>
      </c>
      <c r="R1168" s="353">
        <v>0</v>
      </c>
      <c r="S1168" s="353">
        <v>0</v>
      </c>
      <c r="T1168" s="353">
        <v>0</v>
      </c>
      <c r="U1168" s="353">
        <v>0</v>
      </c>
      <c r="V1168" s="353">
        <v>0</v>
      </c>
      <c r="W1168" s="353">
        <v>0</v>
      </c>
    </row>
    <row r="1169" spans="1:23" x14ac:dyDescent="0.25">
      <c r="A1169" s="348" t="s">
        <v>1627</v>
      </c>
      <c r="B1169" s="349">
        <v>39</v>
      </c>
      <c r="C1169" s="423">
        <v>45200</v>
      </c>
      <c r="D1169" s="351">
        <v>45230</v>
      </c>
      <c r="F1169" s="353">
        <v>6</v>
      </c>
      <c r="G1169" s="427" t="s">
        <v>1053</v>
      </c>
      <c r="H1169" s="350" t="s">
        <v>1643</v>
      </c>
      <c r="I1169" s="350" t="s">
        <v>393</v>
      </c>
      <c r="J1169" s="560">
        <v>500000</v>
      </c>
      <c r="K1169" s="350" t="s">
        <v>394</v>
      </c>
      <c r="L1169" s="354">
        <v>2803.6597999999999</v>
      </c>
      <c r="M1169" s="576">
        <f t="shared" si="51"/>
        <v>178.33832763875276</v>
      </c>
      <c r="N1169" s="354" t="s">
        <v>395</v>
      </c>
      <c r="O1169" s="354">
        <v>0</v>
      </c>
      <c r="P1169" s="355" t="s">
        <v>396</v>
      </c>
      <c r="Q1169" s="353" t="s">
        <v>346</v>
      </c>
      <c r="R1169" s="353">
        <v>0</v>
      </c>
      <c r="S1169" s="353">
        <v>0</v>
      </c>
      <c r="T1169" s="353">
        <v>0</v>
      </c>
      <c r="U1169" s="353">
        <v>0</v>
      </c>
      <c r="V1169" s="353">
        <v>0</v>
      </c>
      <c r="W1169" s="353">
        <v>0</v>
      </c>
    </row>
    <row r="1170" spans="1:23" x14ac:dyDescent="0.25">
      <c r="A1170" s="348" t="s">
        <v>1627</v>
      </c>
      <c r="B1170" s="349">
        <v>39</v>
      </c>
      <c r="C1170" s="423">
        <v>45200</v>
      </c>
      <c r="D1170" s="351">
        <v>45230</v>
      </c>
      <c r="F1170" s="353">
        <v>6</v>
      </c>
      <c r="G1170" s="427" t="s">
        <v>1053</v>
      </c>
      <c r="H1170" s="350" t="s">
        <v>1634</v>
      </c>
      <c r="I1170" s="350" t="s">
        <v>393</v>
      </c>
      <c r="J1170" s="560">
        <v>960000</v>
      </c>
      <c r="K1170" s="350" t="s">
        <v>394</v>
      </c>
      <c r="L1170" s="354">
        <v>2803.6597999999999</v>
      </c>
      <c r="M1170" s="576">
        <f t="shared" si="51"/>
        <v>342.40958906640526</v>
      </c>
      <c r="N1170" s="354" t="s">
        <v>395</v>
      </c>
      <c r="O1170" s="354">
        <v>0</v>
      </c>
      <c r="P1170" s="355" t="s">
        <v>396</v>
      </c>
      <c r="Q1170" s="353" t="s">
        <v>346</v>
      </c>
      <c r="R1170" s="353">
        <v>0</v>
      </c>
      <c r="S1170" s="353">
        <v>0</v>
      </c>
      <c r="T1170" s="353">
        <v>0</v>
      </c>
      <c r="U1170" s="353">
        <v>0</v>
      </c>
      <c r="V1170" s="353">
        <v>0</v>
      </c>
      <c r="W1170" s="353">
        <v>0</v>
      </c>
    </row>
    <row r="1171" spans="1:23" x14ac:dyDescent="0.25">
      <c r="A1171" s="348" t="s">
        <v>1627</v>
      </c>
      <c r="B1171" s="349">
        <v>39</v>
      </c>
      <c r="C1171" s="423">
        <v>45200</v>
      </c>
      <c r="D1171" s="351">
        <v>45230</v>
      </c>
      <c r="F1171" s="353">
        <v>6</v>
      </c>
      <c r="G1171" s="427" t="s">
        <v>1053</v>
      </c>
      <c r="H1171" s="350" t="s">
        <v>1635</v>
      </c>
      <c r="I1171" s="350" t="s">
        <v>393</v>
      </c>
      <c r="J1171" s="560">
        <v>2000000</v>
      </c>
      <c r="K1171" s="350" t="s">
        <v>394</v>
      </c>
      <c r="L1171" s="354">
        <v>2803.6597999999999</v>
      </c>
      <c r="M1171" s="576">
        <f t="shared" si="51"/>
        <v>713.35331055501103</v>
      </c>
      <c r="N1171" s="354" t="s">
        <v>395</v>
      </c>
      <c r="O1171" s="354">
        <v>0</v>
      </c>
      <c r="P1171" s="355" t="s">
        <v>396</v>
      </c>
      <c r="Q1171" s="353" t="s">
        <v>346</v>
      </c>
      <c r="R1171" s="353">
        <v>0</v>
      </c>
      <c r="S1171" s="353">
        <v>0</v>
      </c>
      <c r="T1171" s="353">
        <v>0</v>
      </c>
      <c r="U1171" s="353">
        <v>0</v>
      </c>
      <c r="V1171" s="353">
        <v>0</v>
      </c>
      <c r="W1171" s="353">
        <v>0</v>
      </c>
    </row>
    <row r="1172" spans="1:23" x14ac:dyDescent="0.25">
      <c r="A1172" s="348" t="s">
        <v>1627</v>
      </c>
      <c r="B1172" s="349">
        <v>39</v>
      </c>
      <c r="C1172" s="423">
        <v>45200</v>
      </c>
      <c r="D1172" s="351">
        <v>45230</v>
      </c>
      <c r="F1172" s="353">
        <v>6</v>
      </c>
      <c r="G1172" s="427" t="s">
        <v>1053</v>
      </c>
      <c r="H1172" s="350" t="s">
        <v>1644</v>
      </c>
      <c r="I1172" s="350" t="s">
        <v>393</v>
      </c>
      <c r="J1172" s="560">
        <v>240000</v>
      </c>
      <c r="K1172" s="350" t="s">
        <v>394</v>
      </c>
      <c r="L1172" s="354">
        <v>2803.6597999999999</v>
      </c>
      <c r="M1172" s="576">
        <f t="shared" si="51"/>
        <v>85.602397266601315</v>
      </c>
      <c r="N1172" s="354" t="s">
        <v>395</v>
      </c>
      <c r="O1172" s="354">
        <v>0</v>
      </c>
      <c r="P1172" s="355" t="s">
        <v>396</v>
      </c>
      <c r="Q1172" s="353" t="s">
        <v>346</v>
      </c>
      <c r="R1172" s="353">
        <v>0</v>
      </c>
      <c r="S1172" s="353">
        <v>0</v>
      </c>
      <c r="T1172" s="353">
        <v>0</v>
      </c>
      <c r="U1172" s="353">
        <v>0</v>
      </c>
      <c r="V1172" s="353">
        <v>0</v>
      </c>
      <c r="W1172" s="353">
        <v>0</v>
      </c>
    </row>
    <row r="1173" spans="1:23" ht="30" x14ac:dyDescent="0.25">
      <c r="A1173" s="348" t="s">
        <v>1645</v>
      </c>
      <c r="B1173" s="349">
        <v>33</v>
      </c>
      <c r="C1173" s="423">
        <v>45200</v>
      </c>
      <c r="D1173" s="351">
        <v>45209</v>
      </c>
      <c r="F1173" s="353">
        <v>6</v>
      </c>
      <c r="G1173" s="427" t="s">
        <v>1572</v>
      </c>
      <c r="H1173" s="424" t="s">
        <v>1647</v>
      </c>
      <c r="I1173" s="350" t="s">
        <v>393</v>
      </c>
      <c r="J1173" s="560">
        <v>190000</v>
      </c>
      <c r="K1173" s="350" t="s">
        <v>394</v>
      </c>
      <c r="L1173" s="354">
        <v>2803.6597999999999</v>
      </c>
      <c r="M1173" s="576">
        <f t="shared" si="51"/>
        <v>67.768564502726051</v>
      </c>
      <c r="N1173" s="354" t="s">
        <v>395</v>
      </c>
      <c r="O1173" s="354">
        <v>0</v>
      </c>
      <c r="P1173" s="355" t="s">
        <v>396</v>
      </c>
      <c r="Q1173" s="353" t="s">
        <v>346</v>
      </c>
      <c r="R1173" s="353">
        <v>0</v>
      </c>
      <c r="S1173" s="353">
        <v>0</v>
      </c>
      <c r="T1173" s="353">
        <v>0</v>
      </c>
      <c r="U1173" s="353">
        <v>0</v>
      </c>
      <c r="V1173" s="353">
        <v>0</v>
      </c>
      <c r="W1173" s="353">
        <v>0</v>
      </c>
    </row>
    <row r="1174" spans="1:23" ht="30" x14ac:dyDescent="0.25">
      <c r="A1174" s="348" t="s">
        <v>1646</v>
      </c>
      <c r="B1174" s="349">
        <v>34</v>
      </c>
      <c r="C1174" s="423">
        <v>45200</v>
      </c>
      <c r="D1174" s="351">
        <v>45217</v>
      </c>
      <c r="F1174" s="353">
        <v>6</v>
      </c>
      <c r="G1174" s="427" t="s">
        <v>1572</v>
      </c>
      <c r="H1174" s="424" t="s">
        <v>1648</v>
      </c>
      <c r="I1174" s="350" t="s">
        <v>393</v>
      </c>
      <c r="J1174" s="560">
        <v>120000</v>
      </c>
      <c r="K1174" s="350" t="s">
        <v>394</v>
      </c>
      <c r="L1174" s="354">
        <v>2803.6597999999999</v>
      </c>
      <c r="M1174" s="576">
        <f t="shared" si="51"/>
        <v>42.801198633300658</v>
      </c>
      <c r="N1174" s="354" t="s">
        <v>395</v>
      </c>
      <c r="O1174" s="354">
        <v>0</v>
      </c>
      <c r="P1174" s="355" t="s">
        <v>396</v>
      </c>
      <c r="Q1174" s="353" t="s">
        <v>346</v>
      </c>
      <c r="R1174" s="353">
        <v>0</v>
      </c>
      <c r="S1174" s="353">
        <v>0</v>
      </c>
      <c r="T1174" s="353">
        <v>0</v>
      </c>
      <c r="U1174" s="353">
        <v>0</v>
      </c>
      <c r="V1174" s="353">
        <v>0</v>
      </c>
      <c r="W1174" s="353">
        <v>0</v>
      </c>
    </row>
    <row r="1175" spans="1:23" x14ac:dyDescent="0.25">
      <c r="A1175" s="348" t="s">
        <v>1624</v>
      </c>
      <c r="B1175" s="349">
        <v>35</v>
      </c>
      <c r="C1175" s="423">
        <v>45200</v>
      </c>
      <c r="D1175" s="351">
        <v>45215</v>
      </c>
      <c r="F1175" s="353">
        <v>6</v>
      </c>
      <c r="G1175" s="427" t="s">
        <v>1649</v>
      </c>
      <c r="H1175" s="350" t="s">
        <v>1419</v>
      </c>
      <c r="I1175" s="350" t="s">
        <v>393</v>
      </c>
      <c r="J1175" s="560">
        <v>4740000</v>
      </c>
      <c r="K1175" s="350" t="s">
        <v>394</v>
      </c>
      <c r="L1175" s="354">
        <v>2803.6597999999999</v>
      </c>
      <c r="M1175" s="621">
        <f>+J1175/L1175</f>
        <v>1690.6473460153761</v>
      </c>
      <c r="N1175" s="354" t="s">
        <v>395</v>
      </c>
      <c r="O1175" s="354">
        <v>0</v>
      </c>
      <c r="P1175" s="355" t="s">
        <v>396</v>
      </c>
      <c r="Q1175" s="353" t="s">
        <v>346</v>
      </c>
      <c r="R1175" s="353">
        <v>0</v>
      </c>
      <c r="S1175" s="353">
        <v>0</v>
      </c>
      <c r="T1175" s="353">
        <v>0</v>
      </c>
      <c r="U1175" s="353">
        <v>0</v>
      </c>
      <c r="V1175" s="353">
        <v>0</v>
      </c>
      <c r="W1175" s="353">
        <v>0</v>
      </c>
    </row>
    <row r="1176" spans="1:23" x14ac:dyDescent="0.25">
      <c r="A1176" s="348" t="s">
        <v>1676</v>
      </c>
      <c r="B1176" s="377">
        <v>94</v>
      </c>
      <c r="C1176" s="423">
        <v>45200</v>
      </c>
      <c r="D1176" s="427" t="s">
        <v>1677</v>
      </c>
      <c r="E1176" s="352">
        <v>6345</v>
      </c>
      <c r="F1176" s="353">
        <v>6</v>
      </c>
      <c r="G1176" s="351" t="s">
        <v>1572</v>
      </c>
      <c r="H1176" s="350" t="s">
        <v>1698</v>
      </c>
      <c r="I1176" s="350" t="s">
        <v>393</v>
      </c>
      <c r="J1176" s="560">
        <v>113000</v>
      </c>
      <c r="K1176" s="350" t="s">
        <v>394</v>
      </c>
      <c r="L1176" s="353">
        <v>2801.6</v>
      </c>
      <c r="M1176" s="560">
        <f t="shared" ref="M1176:M1203" si="52">+J1176/L1176</f>
        <v>40.33409480296973</v>
      </c>
      <c r="N1176" s="354" t="s">
        <v>395</v>
      </c>
      <c r="O1176" s="354">
        <v>0</v>
      </c>
      <c r="P1176" s="355" t="s">
        <v>396</v>
      </c>
      <c r="Q1176" s="353" t="s">
        <v>345</v>
      </c>
      <c r="R1176" s="353">
        <v>0</v>
      </c>
      <c r="S1176" s="353">
        <v>0</v>
      </c>
      <c r="T1176" s="353">
        <v>0</v>
      </c>
      <c r="U1176" s="353">
        <v>0</v>
      </c>
      <c r="V1176" s="353">
        <v>0</v>
      </c>
      <c r="W1176" s="353">
        <v>0</v>
      </c>
    </row>
    <row r="1177" spans="1:23" x14ac:dyDescent="0.25">
      <c r="A1177" s="348" t="s">
        <v>1678</v>
      </c>
      <c r="B1177" s="379">
        <v>95</v>
      </c>
      <c r="C1177" s="423">
        <v>45200</v>
      </c>
      <c r="D1177" s="427" t="s">
        <v>1677</v>
      </c>
      <c r="E1177" s="352">
        <v>6345</v>
      </c>
      <c r="F1177" s="353">
        <v>6</v>
      </c>
      <c r="G1177" s="351" t="s">
        <v>1572</v>
      </c>
      <c r="H1177" s="350" t="s">
        <v>1685</v>
      </c>
      <c r="I1177" s="350" t="s">
        <v>393</v>
      </c>
      <c r="J1177" s="560">
        <v>1250000</v>
      </c>
      <c r="K1177" s="350" t="s">
        <v>394</v>
      </c>
      <c r="L1177" s="353">
        <v>2801.6</v>
      </c>
      <c r="M1177" s="560">
        <f t="shared" si="52"/>
        <v>446.17361507709882</v>
      </c>
      <c r="N1177" s="354" t="s">
        <v>395</v>
      </c>
      <c r="O1177" s="354">
        <v>0</v>
      </c>
      <c r="P1177" s="355" t="s">
        <v>396</v>
      </c>
      <c r="Q1177" s="353" t="s">
        <v>345</v>
      </c>
      <c r="R1177" s="353">
        <v>0</v>
      </c>
      <c r="S1177" s="353">
        <v>0</v>
      </c>
      <c r="T1177" s="353">
        <v>0</v>
      </c>
      <c r="U1177" s="353">
        <v>0</v>
      </c>
      <c r="V1177" s="353">
        <v>0</v>
      </c>
      <c r="W1177" s="353">
        <v>0</v>
      </c>
    </row>
    <row r="1178" spans="1:23" x14ac:dyDescent="0.25">
      <c r="A1178" s="348" t="s">
        <v>1679</v>
      </c>
      <c r="B1178" s="379">
        <v>96</v>
      </c>
      <c r="C1178" s="423">
        <v>45200</v>
      </c>
      <c r="D1178" s="427" t="s">
        <v>1677</v>
      </c>
      <c r="E1178" s="352">
        <v>6345</v>
      </c>
      <c r="F1178" s="353">
        <v>6</v>
      </c>
      <c r="G1178" s="351" t="s">
        <v>1572</v>
      </c>
      <c r="H1178" s="350" t="s">
        <v>1686</v>
      </c>
      <c r="I1178" s="350" t="s">
        <v>393</v>
      </c>
      <c r="J1178" s="560">
        <v>15000</v>
      </c>
      <c r="K1178" s="350" t="s">
        <v>394</v>
      </c>
      <c r="L1178" s="353">
        <v>2801.6</v>
      </c>
      <c r="M1178" s="560">
        <f t="shared" si="52"/>
        <v>5.3540833809251858</v>
      </c>
      <c r="N1178" s="354" t="s">
        <v>395</v>
      </c>
      <c r="O1178" s="354">
        <v>0</v>
      </c>
      <c r="P1178" s="355" t="s">
        <v>396</v>
      </c>
      <c r="Q1178" s="353" t="s">
        <v>345</v>
      </c>
      <c r="R1178" s="353">
        <v>0</v>
      </c>
      <c r="S1178" s="353">
        <v>0</v>
      </c>
      <c r="T1178" s="353">
        <v>0</v>
      </c>
      <c r="U1178" s="353">
        <v>0</v>
      </c>
      <c r="V1178" s="353">
        <v>0</v>
      </c>
      <c r="W1178" s="353">
        <v>0</v>
      </c>
    </row>
    <row r="1179" spans="1:23" x14ac:dyDescent="0.25">
      <c r="A1179" s="622" t="s">
        <v>1679</v>
      </c>
      <c r="B1179" s="623">
        <v>96</v>
      </c>
      <c r="C1179" s="423">
        <v>45200</v>
      </c>
      <c r="D1179" s="624" t="s">
        <v>1677</v>
      </c>
      <c r="E1179" s="625">
        <v>6345</v>
      </c>
      <c r="F1179" s="353">
        <v>6</v>
      </c>
      <c r="G1179" s="626" t="s">
        <v>1572</v>
      </c>
      <c r="H1179" s="350" t="s">
        <v>1687</v>
      </c>
      <c r="I1179" s="627" t="s">
        <v>393</v>
      </c>
      <c r="J1179" s="628">
        <v>25000</v>
      </c>
      <c r="K1179" s="627" t="s">
        <v>394</v>
      </c>
      <c r="L1179" s="353">
        <v>2801.6</v>
      </c>
      <c r="M1179" s="560">
        <f t="shared" si="52"/>
        <v>8.9234723015419757</v>
      </c>
      <c r="N1179" s="354" t="s">
        <v>395</v>
      </c>
      <c r="O1179" s="354">
        <v>0</v>
      </c>
      <c r="P1179" s="355" t="s">
        <v>396</v>
      </c>
      <c r="Q1179" s="353" t="s">
        <v>345</v>
      </c>
      <c r="R1179" s="353">
        <v>0</v>
      </c>
      <c r="S1179" s="353">
        <v>0</v>
      </c>
      <c r="T1179" s="353">
        <v>0</v>
      </c>
      <c r="U1179" s="353">
        <v>0</v>
      </c>
      <c r="V1179" s="353">
        <v>0</v>
      </c>
      <c r="W1179" s="353">
        <v>0</v>
      </c>
    </row>
    <row r="1180" spans="1:23" x14ac:dyDescent="0.25">
      <c r="A1180" s="348" t="s">
        <v>1679</v>
      </c>
      <c r="B1180" s="379">
        <v>96</v>
      </c>
      <c r="C1180" s="423">
        <v>45200</v>
      </c>
      <c r="D1180" s="427" t="s">
        <v>1677</v>
      </c>
      <c r="E1180" s="352">
        <v>6345</v>
      </c>
      <c r="F1180" s="353">
        <v>6</v>
      </c>
      <c r="G1180" s="351" t="s">
        <v>1572</v>
      </c>
      <c r="H1180" s="350" t="s">
        <v>1688</v>
      </c>
      <c r="I1180" s="350" t="s">
        <v>393</v>
      </c>
      <c r="J1180" s="560">
        <v>100000</v>
      </c>
      <c r="K1180" s="350" t="s">
        <v>394</v>
      </c>
      <c r="L1180" s="353">
        <v>2801.6</v>
      </c>
      <c r="M1180" s="560">
        <f t="shared" si="52"/>
        <v>35.693889206167903</v>
      </c>
      <c r="N1180" s="354" t="s">
        <v>395</v>
      </c>
      <c r="O1180" s="354">
        <v>0</v>
      </c>
      <c r="P1180" s="355" t="s">
        <v>396</v>
      </c>
      <c r="Q1180" s="353" t="s">
        <v>345</v>
      </c>
      <c r="R1180" s="353">
        <v>0</v>
      </c>
      <c r="S1180" s="353">
        <v>0</v>
      </c>
      <c r="T1180" s="353">
        <v>0</v>
      </c>
      <c r="U1180" s="353">
        <v>0</v>
      </c>
      <c r="V1180" s="353">
        <v>0</v>
      </c>
      <c r="W1180" s="353">
        <v>0</v>
      </c>
    </row>
    <row r="1181" spans="1:23" x14ac:dyDescent="0.25">
      <c r="A1181" s="348" t="s">
        <v>1680</v>
      </c>
      <c r="B1181" s="379">
        <v>97</v>
      </c>
      <c r="C1181" s="423">
        <v>45200</v>
      </c>
      <c r="D1181" s="427" t="s">
        <v>1677</v>
      </c>
      <c r="E1181" s="352">
        <v>6345</v>
      </c>
      <c r="F1181" s="353">
        <v>6</v>
      </c>
      <c r="G1181" s="351" t="s">
        <v>1572</v>
      </c>
      <c r="H1181" s="350" t="s">
        <v>1689</v>
      </c>
      <c r="I1181" s="350" t="s">
        <v>393</v>
      </c>
      <c r="J1181" s="560">
        <v>120000</v>
      </c>
      <c r="K1181" s="350" t="s">
        <v>394</v>
      </c>
      <c r="L1181" s="353">
        <v>2801.6</v>
      </c>
      <c r="M1181" s="560">
        <f t="shared" si="52"/>
        <v>42.832667047401486</v>
      </c>
      <c r="N1181" s="354" t="s">
        <v>395</v>
      </c>
      <c r="O1181" s="354">
        <v>0</v>
      </c>
      <c r="P1181" s="355" t="s">
        <v>396</v>
      </c>
      <c r="Q1181" s="353" t="s">
        <v>345</v>
      </c>
      <c r="R1181" s="353">
        <v>0</v>
      </c>
      <c r="S1181" s="353">
        <v>0</v>
      </c>
      <c r="T1181" s="353">
        <v>0</v>
      </c>
      <c r="U1181" s="353">
        <v>0</v>
      </c>
      <c r="V1181" s="353">
        <v>0</v>
      </c>
      <c r="W1181" s="353">
        <v>0</v>
      </c>
    </row>
    <row r="1182" spans="1:23" x14ac:dyDescent="0.25">
      <c r="A1182" s="348" t="s">
        <v>1680</v>
      </c>
      <c r="B1182" s="379">
        <v>97</v>
      </c>
      <c r="C1182" s="423">
        <v>45200</v>
      </c>
      <c r="D1182" s="427" t="s">
        <v>1677</v>
      </c>
      <c r="E1182" s="352">
        <v>6345</v>
      </c>
      <c r="F1182" s="353">
        <v>6</v>
      </c>
      <c r="G1182" s="351" t="s">
        <v>1572</v>
      </c>
      <c r="H1182" s="350" t="s">
        <v>1690</v>
      </c>
      <c r="I1182" s="350" t="s">
        <v>393</v>
      </c>
      <c r="J1182" s="560">
        <v>360000</v>
      </c>
      <c r="K1182" s="350" t="s">
        <v>394</v>
      </c>
      <c r="L1182" s="353">
        <v>2801.6</v>
      </c>
      <c r="M1182" s="560">
        <f t="shared" si="52"/>
        <v>128.49800114220446</v>
      </c>
      <c r="N1182" s="354" t="s">
        <v>395</v>
      </c>
      <c r="O1182" s="354">
        <v>0</v>
      </c>
      <c r="P1182" s="355" t="s">
        <v>396</v>
      </c>
      <c r="Q1182" s="353" t="s">
        <v>345</v>
      </c>
      <c r="R1182" s="353">
        <v>0</v>
      </c>
      <c r="S1182" s="353">
        <v>0</v>
      </c>
      <c r="T1182" s="353">
        <v>0</v>
      </c>
      <c r="U1182" s="353">
        <v>0</v>
      </c>
      <c r="V1182" s="353">
        <v>0</v>
      </c>
      <c r="W1182" s="353">
        <v>0</v>
      </c>
    </row>
    <row r="1183" spans="1:23" x14ac:dyDescent="0.25">
      <c r="A1183" s="348" t="s">
        <v>1681</v>
      </c>
      <c r="B1183" s="379">
        <v>98</v>
      </c>
      <c r="C1183" s="423">
        <v>45200</v>
      </c>
      <c r="D1183" s="427" t="s">
        <v>1677</v>
      </c>
      <c r="E1183" s="352">
        <v>6345</v>
      </c>
      <c r="F1183" s="353">
        <v>6</v>
      </c>
      <c r="G1183" s="351" t="s">
        <v>1572</v>
      </c>
      <c r="H1183" s="350" t="s">
        <v>1691</v>
      </c>
      <c r="I1183" s="350" t="s">
        <v>393</v>
      </c>
      <c r="J1183" s="560">
        <v>1160000</v>
      </c>
      <c r="K1183" s="350" t="s">
        <v>394</v>
      </c>
      <c r="L1183" s="353">
        <v>2801.6</v>
      </c>
      <c r="M1183" s="560">
        <f t="shared" si="52"/>
        <v>414.04911479154771</v>
      </c>
      <c r="N1183" s="354" t="s">
        <v>395</v>
      </c>
      <c r="O1183" s="354">
        <v>0</v>
      </c>
      <c r="P1183" s="355" t="s">
        <v>396</v>
      </c>
      <c r="Q1183" s="353" t="s">
        <v>345</v>
      </c>
      <c r="R1183" s="353">
        <v>0</v>
      </c>
      <c r="S1183" s="353">
        <v>0</v>
      </c>
      <c r="T1183" s="353">
        <v>0</v>
      </c>
      <c r="U1183" s="353">
        <v>0</v>
      </c>
      <c r="V1183" s="353">
        <v>0</v>
      </c>
      <c r="W1183" s="353">
        <v>0</v>
      </c>
    </row>
    <row r="1184" spans="1:23" x14ac:dyDescent="0.25">
      <c r="A1184" s="622" t="s">
        <v>1682</v>
      </c>
      <c r="B1184" s="629">
        <v>99</v>
      </c>
      <c r="C1184" s="423">
        <v>45200</v>
      </c>
      <c r="D1184" s="624" t="s">
        <v>1677</v>
      </c>
      <c r="E1184" s="625">
        <v>6345</v>
      </c>
      <c r="F1184" s="353">
        <v>6</v>
      </c>
      <c r="G1184" s="626" t="s">
        <v>1572</v>
      </c>
      <c r="H1184" s="350" t="s">
        <v>1692</v>
      </c>
      <c r="I1184" s="627" t="s">
        <v>393</v>
      </c>
      <c r="J1184" s="628">
        <v>531038</v>
      </c>
      <c r="K1184" s="627" t="s">
        <v>394</v>
      </c>
      <c r="L1184" s="353">
        <v>2801.6</v>
      </c>
      <c r="M1184" s="560">
        <f t="shared" si="52"/>
        <v>189.54811536264992</v>
      </c>
      <c r="N1184" s="354" t="s">
        <v>395</v>
      </c>
      <c r="O1184" s="354">
        <v>0</v>
      </c>
      <c r="P1184" s="355" t="s">
        <v>396</v>
      </c>
      <c r="Q1184" s="353" t="s">
        <v>345</v>
      </c>
      <c r="R1184" s="353">
        <v>0</v>
      </c>
      <c r="S1184" s="353">
        <v>0</v>
      </c>
      <c r="T1184" s="353">
        <v>0</v>
      </c>
      <c r="U1184" s="353">
        <v>0</v>
      </c>
      <c r="V1184" s="353">
        <v>0</v>
      </c>
      <c r="W1184" s="353">
        <v>0</v>
      </c>
    </row>
    <row r="1185" spans="1:23" x14ac:dyDescent="0.25">
      <c r="A1185" s="348" t="s">
        <v>1683</v>
      </c>
      <c r="B1185" s="379">
        <v>100</v>
      </c>
      <c r="C1185" s="423">
        <v>45200</v>
      </c>
      <c r="D1185" s="427" t="s">
        <v>1677</v>
      </c>
      <c r="E1185" s="352">
        <v>6345</v>
      </c>
      <c r="F1185" s="353">
        <v>6</v>
      </c>
      <c r="G1185" s="351" t="s">
        <v>1572</v>
      </c>
      <c r="H1185" s="350" t="s">
        <v>1693</v>
      </c>
      <c r="I1185" s="350" t="s">
        <v>393</v>
      </c>
      <c r="J1185" s="560">
        <v>160000</v>
      </c>
      <c r="K1185" s="350" t="s">
        <v>394</v>
      </c>
      <c r="L1185" s="353">
        <v>2801.6</v>
      </c>
      <c r="M1185" s="560">
        <f t="shared" si="52"/>
        <v>57.110222729868646</v>
      </c>
      <c r="N1185" s="354" t="s">
        <v>395</v>
      </c>
      <c r="O1185" s="354">
        <v>0</v>
      </c>
      <c r="P1185" s="355" t="s">
        <v>396</v>
      </c>
      <c r="Q1185" s="353" t="s">
        <v>345</v>
      </c>
      <c r="R1185" s="353">
        <v>0</v>
      </c>
      <c r="S1185" s="353">
        <v>0</v>
      </c>
      <c r="T1185" s="353">
        <v>0</v>
      </c>
      <c r="U1185" s="353">
        <v>0</v>
      </c>
      <c r="V1185" s="353">
        <v>0</v>
      </c>
      <c r="W1185" s="353">
        <v>0</v>
      </c>
    </row>
    <row r="1186" spans="1:23" x14ac:dyDescent="0.25">
      <c r="A1186" s="348" t="s">
        <v>1683</v>
      </c>
      <c r="B1186" s="379">
        <v>100</v>
      </c>
      <c r="C1186" s="423">
        <v>45200</v>
      </c>
      <c r="D1186" s="427" t="s">
        <v>1677</v>
      </c>
      <c r="E1186" s="352">
        <v>6345</v>
      </c>
      <c r="F1186" s="353">
        <v>6</v>
      </c>
      <c r="G1186" s="351" t="s">
        <v>1572</v>
      </c>
      <c r="H1186" s="350" t="s">
        <v>1694</v>
      </c>
      <c r="I1186" s="350" t="s">
        <v>393</v>
      </c>
      <c r="J1186" s="560">
        <v>320000</v>
      </c>
      <c r="K1186" s="350" t="s">
        <v>394</v>
      </c>
      <c r="L1186" s="353">
        <v>2801.6</v>
      </c>
      <c r="M1186" s="560">
        <f t="shared" si="52"/>
        <v>114.22044545973729</v>
      </c>
      <c r="N1186" s="354" t="s">
        <v>395</v>
      </c>
      <c r="O1186" s="354">
        <v>0</v>
      </c>
      <c r="P1186" s="355" t="s">
        <v>396</v>
      </c>
      <c r="Q1186" s="353" t="s">
        <v>345</v>
      </c>
      <c r="R1186" s="353">
        <v>0</v>
      </c>
      <c r="S1186" s="353">
        <v>0</v>
      </c>
      <c r="T1186" s="353">
        <v>0</v>
      </c>
      <c r="U1186" s="353">
        <v>0</v>
      </c>
      <c r="V1186" s="353">
        <v>0</v>
      </c>
      <c r="W1186" s="353">
        <v>0</v>
      </c>
    </row>
    <row r="1187" spans="1:23" x14ac:dyDescent="0.25">
      <c r="A1187" s="348" t="s">
        <v>1683</v>
      </c>
      <c r="B1187" s="379">
        <v>100</v>
      </c>
      <c r="C1187" s="423">
        <v>45200</v>
      </c>
      <c r="D1187" s="427" t="s">
        <v>1677</v>
      </c>
      <c r="E1187" s="352">
        <v>6345</v>
      </c>
      <c r="F1187" s="353">
        <v>6</v>
      </c>
      <c r="G1187" s="351" t="s">
        <v>1572</v>
      </c>
      <c r="H1187" s="350" t="s">
        <v>1695</v>
      </c>
      <c r="I1187" s="350" t="s">
        <v>393</v>
      </c>
      <c r="J1187" s="560">
        <v>960000</v>
      </c>
      <c r="K1187" s="350" t="s">
        <v>394</v>
      </c>
      <c r="L1187" s="353">
        <v>2801.6</v>
      </c>
      <c r="M1187" s="560">
        <f t="shared" si="52"/>
        <v>342.66133637921189</v>
      </c>
      <c r="N1187" s="354" t="s">
        <v>395</v>
      </c>
      <c r="O1187" s="354">
        <v>0</v>
      </c>
      <c r="P1187" s="355" t="s">
        <v>396</v>
      </c>
      <c r="Q1187" s="353" t="s">
        <v>345</v>
      </c>
      <c r="R1187" s="353">
        <v>0</v>
      </c>
      <c r="S1187" s="353">
        <v>0</v>
      </c>
      <c r="T1187" s="353">
        <v>0</v>
      </c>
      <c r="U1187" s="353">
        <v>0</v>
      </c>
      <c r="V1187" s="353">
        <v>0</v>
      </c>
      <c r="W1187" s="353">
        <v>0</v>
      </c>
    </row>
    <row r="1188" spans="1:23" x14ac:dyDescent="0.25">
      <c r="A1188" s="348" t="s">
        <v>1683</v>
      </c>
      <c r="B1188" s="379">
        <v>100</v>
      </c>
      <c r="C1188" s="423">
        <v>45200</v>
      </c>
      <c r="D1188" s="427" t="s">
        <v>1677</v>
      </c>
      <c r="E1188" s="352">
        <v>6345</v>
      </c>
      <c r="F1188" s="353">
        <v>6</v>
      </c>
      <c r="G1188" s="351" t="s">
        <v>1572</v>
      </c>
      <c r="H1188" s="350" t="s">
        <v>1696</v>
      </c>
      <c r="I1188" s="350" t="s">
        <v>393</v>
      </c>
      <c r="J1188" s="560">
        <v>160000</v>
      </c>
      <c r="K1188" s="350" t="s">
        <v>394</v>
      </c>
      <c r="L1188" s="353">
        <v>2801.6</v>
      </c>
      <c r="M1188" s="560">
        <f t="shared" si="52"/>
        <v>57.110222729868646</v>
      </c>
      <c r="N1188" s="354" t="s">
        <v>395</v>
      </c>
      <c r="O1188" s="354">
        <v>0</v>
      </c>
      <c r="P1188" s="355" t="s">
        <v>396</v>
      </c>
      <c r="Q1188" s="353" t="s">
        <v>345</v>
      </c>
      <c r="R1188" s="353">
        <v>0</v>
      </c>
      <c r="S1188" s="353">
        <v>0</v>
      </c>
      <c r="T1188" s="353">
        <v>0</v>
      </c>
      <c r="U1188" s="353">
        <v>0</v>
      </c>
      <c r="V1188" s="353">
        <v>0</v>
      </c>
      <c r="W1188" s="353">
        <v>0</v>
      </c>
    </row>
    <row r="1189" spans="1:23" x14ac:dyDescent="0.25">
      <c r="A1189" s="348" t="s">
        <v>1684</v>
      </c>
      <c r="B1189" s="379">
        <v>101</v>
      </c>
      <c r="C1189" s="423">
        <v>45200</v>
      </c>
      <c r="D1189" s="427" t="s">
        <v>1677</v>
      </c>
      <c r="E1189" s="352">
        <v>6345</v>
      </c>
      <c r="F1189" s="353">
        <v>6</v>
      </c>
      <c r="G1189" s="351" t="s">
        <v>1572</v>
      </c>
      <c r="H1189" s="350" t="s">
        <v>1697</v>
      </c>
      <c r="I1189" s="350" t="s">
        <v>393</v>
      </c>
      <c r="J1189" s="630">
        <v>44992</v>
      </c>
      <c r="K1189" s="350" t="s">
        <v>394</v>
      </c>
      <c r="L1189" s="353">
        <v>2801.6</v>
      </c>
      <c r="M1189" s="560">
        <f t="shared" si="52"/>
        <v>16.059394631639066</v>
      </c>
      <c r="N1189" s="354" t="s">
        <v>395</v>
      </c>
      <c r="O1189" s="354">
        <v>0</v>
      </c>
      <c r="P1189" s="355" t="s">
        <v>396</v>
      </c>
      <c r="Q1189" s="353" t="s">
        <v>345</v>
      </c>
      <c r="R1189" s="353">
        <v>0</v>
      </c>
      <c r="S1189" s="353">
        <v>0</v>
      </c>
      <c r="T1189" s="353">
        <v>0</v>
      </c>
      <c r="U1189" s="353">
        <v>0</v>
      </c>
      <c r="V1189" s="353">
        <v>0</v>
      </c>
      <c r="W1189" s="353">
        <v>0</v>
      </c>
    </row>
    <row r="1190" spans="1:23" x14ac:dyDescent="0.25">
      <c r="A1190" s="348" t="s">
        <v>1699</v>
      </c>
      <c r="B1190" s="379">
        <v>102</v>
      </c>
      <c r="C1190" s="423">
        <v>45200</v>
      </c>
      <c r="D1190" s="427" t="s">
        <v>1700</v>
      </c>
      <c r="E1190" s="352">
        <v>6345</v>
      </c>
      <c r="F1190" s="353">
        <v>6</v>
      </c>
      <c r="G1190" s="351" t="s">
        <v>1587</v>
      </c>
      <c r="H1190" s="350" t="s">
        <v>1211</v>
      </c>
      <c r="I1190" s="350" t="s">
        <v>393</v>
      </c>
      <c r="J1190" s="560">
        <v>5568000</v>
      </c>
      <c r="K1190" s="350" t="s">
        <v>394</v>
      </c>
      <c r="L1190" s="353">
        <v>2801.6</v>
      </c>
      <c r="M1190" s="560">
        <f t="shared" si="52"/>
        <v>1987.435750999429</v>
      </c>
      <c r="N1190" s="354" t="s">
        <v>395</v>
      </c>
      <c r="O1190" s="354">
        <v>0</v>
      </c>
      <c r="P1190" s="355" t="s">
        <v>396</v>
      </c>
      <c r="Q1190" s="353" t="s">
        <v>345</v>
      </c>
      <c r="R1190" s="353">
        <v>0</v>
      </c>
      <c r="S1190" s="353">
        <v>0</v>
      </c>
      <c r="T1190" s="353">
        <v>0</v>
      </c>
      <c r="U1190" s="353">
        <v>0</v>
      </c>
      <c r="V1190" s="353">
        <v>0</v>
      </c>
      <c r="W1190" s="353">
        <v>0</v>
      </c>
    </row>
    <row r="1191" spans="1:23" x14ac:dyDescent="0.25">
      <c r="A1191" s="348" t="s">
        <v>1701</v>
      </c>
      <c r="B1191" s="379">
        <v>103</v>
      </c>
      <c r="C1191" s="423">
        <v>45200</v>
      </c>
      <c r="D1191" s="427" t="s">
        <v>1700</v>
      </c>
      <c r="E1191" s="352">
        <v>6345</v>
      </c>
      <c r="F1191" s="353">
        <v>6</v>
      </c>
      <c r="G1191" s="351" t="s">
        <v>1587</v>
      </c>
      <c r="H1191" s="350" t="s">
        <v>1770</v>
      </c>
      <c r="I1191" s="350" t="s">
        <v>393</v>
      </c>
      <c r="J1191" s="560">
        <v>6000000</v>
      </c>
      <c r="K1191" s="350" t="s">
        <v>394</v>
      </c>
      <c r="L1191" s="353">
        <v>2801.6</v>
      </c>
      <c r="M1191" s="560">
        <f t="shared" si="52"/>
        <v>2141.6333523700741</v>
      </c>
      <c r="N1191" s="354" t="s">
        <v>395</v>
      </c>
      <c r="O1191" s="354">
        <v>0</v>
      </c>
      <c r="P1191" s="355" t="s">
        <v>396</v>
      </c>
      <c r="Q1191" s="353" t="s">
        <v>345</v>
      </c>
      <c r="R1191" s="353">
        <v>0</v>
      </c>
      <c r="S1191" s="353">
        <v>0</v>
      </c>
      <c r="T1191" s="353">
        <v>0</v>
      </c>
      <c r="U1191" s="353">
        <v>0</v>
      </c>
      <c r="V1191" s="353">
        <v>0</v>
      </c>
      <c r="W1191" s="353">
        <v>0</v>
      </c>
    </row>
    <row r="1192" spans="1:23" x14ac:dyDescent="0.25">
      <c r="A1192" s="348" t="s">
        <v>1702</v>
      </c>
      <c r="B1192" s="379">
        <v>104</v>
      </c>
      <c r="C1192" s="423">
        <v>45200</v>
      </c>
      <c r="D1192" s="427" t="s">
        <v>1700</v>
      </c>
      <c r="E1192" s="352">
        <v>6345</v>
      </c>
      <c r="F1192" s="353">
        <v>6</v>
      </c>
      <c r="G1192" s="351" t="s">
        <v>1587</v>
      </c>
      <c r="H1192" s="350" t="s">
        <v>1689</v>
      </c>
      <c r="I1192" s="350" t="s">
        <v>393</v>
      </c>
      <c r="J1192" s="560">
        <v>240000</v>
      </c>
      <c r="K1192" s="350" t="s">
        <v>394</v>
      </c>
      <c r="L1192" s="353">
        <v>2801.6</v>
      </c>
      <c r="M1192" s="560">
        <f t="shared" si="52"/>
        <v>85.665334094802972</v>
      </c>
      <c r="N1192" s="354" t="s">
        <v>395</v>
      </c>
      <c r="O1192" s="354">
        <v>0</v>
      </c>
      <c r="P1192" s="355" t="s">
        <v>396</v>
      </c>
      <c r="Q1192" s="353" t="s">
        <v>345</v>
      </c>
      <c r="R1192" s="353">
        <v>0</v>
      </c>
      <c r="S1192" s="353">
        <v>0</v>
      </c>
      <c r="T1192" s="353">
        <v>0</v>
      </c>
      <c r="U1192" s="353">
        <v>0</v>
      </c>
      <c r="V1192" s="353">
        <v>0</v>
      </c>
      <c r="W1192" s="353">
        <v>0</v>
      </c>
    </row>
    <row r="1193" spans="1:23" x14ac:dyDescent="0.25">
      <c r="A1193" s="348" t="s">
        <v>1702</v>
      </c>
      <c r="B1193" s="379">
        <v>104</v>
      </c>
      <c r="C1193" s="423">
        <v>45200</v>
      </c>
      <c r="D1193" s="427" t="s">
        <v>1700</v>
      </c>
      <c r="E1193" s="352">
        <v>6345</v>
      </c>
      <c r="F1193" s="353">
        <v>6</v>
      </c>
      <c r="G1193" s="351" t="s">
        <v>1587</v>
      </c>
      <c r="H1193" s="350" t="s">
        <v>1706</v>
      </c>
      <c r="I1193" s="350" t="s">
        <v>393</v>
      </c>
      <c r="J1193" s="560">
        <v>360000</v>
      </c>
      <c r="K1193" s="350" t="s">
        <v>394</v>
      </c>
      <c r="L1193" s="353">
        <v>2801.6</v>
      </c>
      <c r="M1193" s="560">
        <f t="shared" si="52"/>
        <v>128.49800114220446</v>
      </c>
      <c r="N1193" s="354" t="s">
        <v>395</v>
      </c>
      <c r="O1193" s="354">
        <v>0</v>
      </c>
      <c r="P1193" s="355" t="s">
        <v>396</v>
      </c>
      <c r="Q1193" s="353" t="s">
        <v>345</v>
      </c>
      <c r="R1193" s="353">
        <v>0</v>
      </c>
      <c r="S1193" s="353">
        <v>0</v>
      </c>
      <c r="T1193" s="353">
        <v>0</v>
      </c>
      <c r="U1193" s="353">
        <v>0</v>
      </c>
      <c r="V1193" s="353">
        <v>0</v>
      </c>
      <c r="W1193" s="353">
        <v>0</v>
      </c>
    </row>
    <row r="1194" spans="1:23" x14ac:dyDescent="0.25">
      <c r="A1194" s="348" t="s">
        <v>1703</v>
      </c>
      <c r="B1194" s="379">
        <v>105</v>
      </c>
      <c r="C1194" s="423">
        <v>45200</v>
      </c>
      <c r="D1194" s="427" t="s">
        <v>1700</v>
      </c>
      <c r="E1194" s="352">
        <v>6345</v>
      </c>
      <c r="F1194" s="353">
        <v>6</v>
      </c>
      <c r="G1194" s="351" t="s">
        <v>1587</v>
      </c>
      <c r="H1194" s="350" t="s">
        <v>1707</v>
      </c>
      <c r="I1194" s="350" t="s">
        <v>393</v>
      </c>
      <c r="J1194" s="560">
        <v>10500</v>
      </c>
      <c r="K1194" s="350" t="s">
        <v>394</v>
      </c>
      <c r="L1194" s="353">
        <v>2801.6</v>
      </c>
      <c r="M1194" s="560">
        <f t="shared" si="52"/>
        <v>3.7478583666476299</v>
      </c>
      <c r="N1194" s="354" t="s">
        <v>395</v>
      </c>
      <c r="O1194" s="354">
        <v>0</v>
      </c>
      <c r="P1194" s="355" t="s">
        <v>396</v>
      </c>
      <c r="Q1194" s="353" t="s">
        <v>345</v>
      </c>
      <c r="R1194" s="353">
        <v>0</v>
      </c>
      <c r="S1194" s="353">
        <v>0</v>
      </c>
      <c r="T1194" s="353">
        <v>0</v>
      </c>
      <c r="U1194" s="353">
        <v>0</v>
      </c>
      <c r="V1194" s="353">
        <v>0</v>
      </c>
      <c r="W1194" s="353">
        <v>0</v>
      </c>
    </row>
    <row r="1195" spans="1:23" x14ac:dyDescent="0.25">
      <c r="A1195" s="348" t="s">
        <v>1703</v>
      </c>
      <c r="B1195" s="379">
        <v>105</v>
      </c>
      <c r="C1195" s="423">
        <v>45200</v>
      </c>
      <c r="D1195" s="427" t="s">
        <v>1700</v>
      </c>
      <c r="E1195" s="352">
        <v>6345</v>
      </c>
      <c r="F1195" s="353">
        <v>6</v>
      </c>
      <c r="G1195" s="351" t="s">
        <v>1587</v>
      </c>
      <c r="H1195" s="350" t="s">
        <v>1708</v>
      </c>
      <c r="I1195" s="350" t="s">
        <v>393</v>
      </c>
      <c r="J1195" s="560">
        <v>27000</v>
      </c>
      <c r="K1195" s="350" t="s">
        <v>394</v>
      </c>
      <c r="L1195" s="353">
        <v>2801.6</v>
      </c>
      <c r="M1195" s="560">
        <f t="shared" si="52"/>
        <v>9.637350085665334</v>
      </c>
      <c r="N1195" s="354" t="s">
        <v>395</v>
      </c>
      <c r="O1195" s="354">
        <v>0</v>
      </c>
      <c r="P1195" s="355" t="s">
        <v>396</v>
      </c>
      <c r="Q1195" s="353" t="s">
        <v>345</v>
      </c>
      <c r="R1195" s="353">
        <v>0</v>
      </c>
      <c r="S1195" s="353">
        <v>0</v>
      </c>
      <c r="T1195" s="353">
        <v>0</v>
      </c>
      <c r="U1195" s="353">
        <v>0</v>
      </c>
      <c r="V1195" s="353">
        <v>0</v>
      </c>
      <c r="W1195" s="353">
        <v>0</v>
      </c>
    </row>
    <row r="1196" spans="1:23" x14ac:dyDescent="0.25">
      <c r="A1196" s="348" t="s">
        <v>1703</v>
      </c>
      <c r="B1196" s="379">
        <v>105</v>
      </c>
      <c r="C1196" s="423">
        <v>45200</v>
      </c>
      <c r="D1196" s="427" t="s">
        <v>1700</v>
      </c>
      <c r="E1196" s="352">
        <v>6345</v>
      </c>
      <c r="F1196" s="353">
        <v>6</v>
      </c>
      <c r="G1196" s="351" t="s">
        <v>1587</v>
      </c>
      <c r="H1196" s="350" t="s">
        <v>1228</v>
      </c>
      <c r="I1196" s="350" t="s">
        <v>393</v>
      </c>
      <c r="J1196" s="560">
        <v>51000</v>
      </c>
      <c r="K1196" s="350" t="s">
        <v>394</v>
      </c>
      <c r="L1196" s="353">
        <v>2801.6</v>
      </c>
      <c r="M1196" s="560">
        <f t="shared" si="52"/>
        <v>18.203883495145632</v>
      </c>
      <c r="N1196" s="354" t="s">
        <v>395</v>
      </c>
      <c r="O1196" s="354">
        <v>0</v>
      </c>
      <c r="P1196" s="355" t="s">
        <v>396</v>
      </c>
      <c r="Q1196" s="353" t="s">
        <v>345</v>
      </c>
      <c r="R1196" s="353">
        <v>0</v>
      </c>
      <c r="S1196" s="353">
        <v>0</v>
      </c>
      <c r="T1196" s="353">
        <v>0</v>
      </c>
      <c r="U1196" s="353">
        <v>0</v>
      </c>
      <c r="V1196" s="353">
        <v>0</v>
      </c>
      <c r="W1196" s="353">
        <v>0</v>
      </c>
    </row>
    <row r="1197" spans="1:23" x14ac:dyDescent="0.25">
      <c r="A1197" s="348" t="s">
        <v>1703</v>
      </c>
      <c r="B1197" s="379">
        <v>105</v>
      </c>
      <c r="C1197" s="423">
        <v>45200</v>
      </c>
      <c r="D1197" s="427" t="s">
        <v>1700</v>
      </c>
      <c r="E1197" s="352">
        <v>6345</v>
      </c>
      <c r="F1197" s="353">
        <v>6</v>
      </c>
      <c r="G1197" s="351" t="s">
        <v>1587</v>
      </c>
      <c r="H1197" s="350" t="s">
        <v>1229</v>
      </c>
      <c r="I1197" s="350" t="s">
        <v>393</v>
      </c>
      <c r="J1197" s="560">
        <v>44000</v>
      </c>
      <c r="K1197" s="350" t="s">
        <v>394</v>
      </c>
      <c r="L1197" s="353">
        <v>2801.6</v>
      </c>
      <c r="M1197" s="560">
        <f t="shared" si="52"/>
        <v>15.705311250713878</v>
      </c>
      <c r="N1197" s="354" t="s">
        <v>395</v>
      </c>
      <c r="O1197" s="354">
        <v>0</v>
      </c>
      <c r="P1197" s="355" t="s">
        <v>396</v>
      </c>
      <c r="Q1197" s="353" t="s">
        <v>345</v>
      </c>
      <c r="R1197" s="353">
        <v>0</v>
      </c>
      <c r="S1197" s="353">
        <v>0</v>
      </c>
      <c r="T1197" s="353">
        <v>0</v>
      </c>
      <c r="U1197" s="353">
        <v>0</v>
      </c>
      <c r="V1197" s="353">
        <v>0</v>
      </c>
      <c r="W1197" s="353">
        <v>0</v>
      </c>
    </row>
    <row r="1198" spans="1:23" x14ac:dyDescent="0.25">
      <c r="A1198" s="348" t="s">
        <v>1703</v>
      </c>
      <c r="B1198" s="379">
        <v>105</v>
      </c>
      <c r="C1198" s="423">
        <v>45200</v>
      </c>
      <c r="D1198" s="427" t="s">
        <v>1700</v>
      </c>
      <c r="E1198" s="352">
        <v>6345</v>
      </c>
      <c r="F1198" s="353">
        <v>6</v>
      </c>
      <c r="G1198" s="351" t="s">
        <v>1587</v>
      </c>
      <c r="H1198" s="350" t="s">
        <v>1709</v>
      </c>
      <c r="I1198" s="350" t="s">
        <v>393</v>
      </c>
      <c r="J1198" s="560">
        <v>86400</v>
      </c>
      <c r="K1198" s="350" t="s">
        <v>394</v>
      </c>
      <c r="L1198" s="353">
        <v>2801.6</v>
      </c>
      <c r="M1198" s="560">
        <f t="shared" si="52"/>
        <v>30.839520274129072</v>
      </c>
      <c r="N1198" s="354" t="s">
        <v>395</v>
      </c>
      <c r="O1198" s="354">
        <v>0</v>
      </c>
      <c r="P1198" s="355" t="s">
        <v>396</v>
      </c>
      <c r="Q1198" s="353" t="s">
        <v>345</v>
      </c>
      <c r="R1198" s="353">
        <v>0</v>
      </c>
      <c r="S1198" s="353">
        <v>0</v>
      </c>
      <c r="T1198" s="353">
        <v>0</v>
      </c>
      <c r="U1198" s="353">
        <v>0</v>
      </c>
      <c r="V1198" s="353">
        <v>0</v>
      </c>
      <c r="W1198" s="353">
        <v>0</v>
      </c>
    </row>
    <row r="1199" spans="1:23" x14ac:dyDescent="0.25">
      <c r="A1199" s="348" t="s">
        <v>1703</v>
      </c>
      <c r="B1199" s="379">
        <v>105</v>
      </c>
      <c r="C1199" s="423">
        <v>45200</v>
      </c>
      <c r="D1199" s="427" t="s">
        <v>1700</v>
      </c>
      <c r="E1199" s="352">
        <v>6345</v>
      </c>
      <c r="F1199" s="353">
        <v>6</v>
      </c>
      <c r="G1199" s="351" t="s">
        <v>1587</v>
      </c>
      <c r="H1199" s="350" t="s">
        <v>1710</v>
      </c>
      <c r="I1199" s="350" t="s">
        <v>393</v>
      </c>
      <c r="J1199" s="560">
        <v>216000</v>
      </c>
      <c r="K1199" s="350" t="s">
        <v>394</v>
      </c>
      <c r="L1199" s="353">
        <v>2801.6</v>
      </c>
      <c r="M1199" s="560">
        <f t="shared" si="52"/>
        <v>77.098800685322672</v>
      </c>
      <c r="N1199" s="354" t="s">
        <v>395</v>
      </c>
      <c r="O1199" s="354">
        <v>0</v>
      </c>
      <c r="P1199" s="355" t="s">
        <v>396</v>
      </c>
      <c r="Q1199" s="353" t="s">
        <v>345</v>
      </c>
      <c r="R1199" s="353">
        <v>0</v>
      </c>
      <c r="S1199" s="353">
        <v>0</v>
      </c>
      <c r="T1199" s="353">
        <v>0</v>
      </c>
      <c r="U1199" s="353">
        <v>0</v>
      </c>
      <c r="V1199" s="353">
        <v>0</v>
      </c>
      <c r="W1199" s="353">
        <v>0</v>
      </c>
    </row>
    <row r="1200" spans="1:23" x14ac:dyDescent="0.25">
      <c r="A1200" s="622" t="s">
        <v>1704</v>
      </c>
      <c r="B1200" s="623">
        <v>106</v>
      </c>
      <c r="C1200" s="423">
        <v>45200</v>
      </c>
      <c r="D1200" s="624" t="s">
        <v>1700</v>
      </c>
      <c r="E1200" s="625">
        <v>6345</v>
      </c>
      <c r="F1200" s="353">
        <v>6</v>
      </c>
      <c r="G1200" s="626" t="s">
        <v>1587</v>
      </c>
      <c r="H1200" s="627" t="s">
        <v>1692</v>
      </c>
      <c r="I1200" s="627" t="s">
        <v>393</v>
      </c>
      <c r="J1200" s="628">
        <v>236600</v>
      </c>
      <c r="K1200" s="627" t="s">
        <v>394</v>
      </c>
      <c r="L1200" s="353">
        <v>2801.6</v>
      </c>
      <c r="M1200" s="560">
        <f t="shared" si="52"/>
        <v>84.451741861793266</v>
      </c>
      <c r="N1200" s="354" t="s">
        <v>395</v>
      </c>
      <c r="O1200" s="354">
        <v>0</v>
      </c>
      <c r="P1200" s="355" t="s">
        <v>396</v>
      </c>
      <c r="Q1200" s="353" t="s">
        <v>345</v>
      </c>
      <c r="R1200" s="353">
        <v>0</v>
      </c>
      <c r="S1200" s="353">
        <v>0</v>
      </c>
      <c r="T1200" s="353">
        <v>0</v>
      </c>
      <c r="U1200" s="353">
        <v>0</v>
      </c>
      <c r="V1200" s="353">
        <v>0</v>
      </c>
      <c r="W1200" s="353">
        <v>0</v>
      </c>
    </row>
    <row r="1201" spans="1:23" x14ac:dyDescent="0.25">
      <c r="A1201" s="348" t="s">
        <v>1705</v>
      </c>
      <c r="B1201" s="379">
        <v>107</v>
      </c>
      <c r="C1201" s="423">
        <v>45200</v>
      </c>
      <c r="D1201" s="427" t="s">
        <v>1700</v>
      </c>
      <c r="E1201" s="352">
        <v>6345</v>
      </c>
      <c r="F1201" s="353">
        <v>6</v>
      </c>
      <c r="G1201" s="351" t="s">
        <v>1587</v>
      </c>
      <c r="H1201" s="350" t="s">
        <v>1711</v>
      </c>
      <c r="I1201" s="350" t="s">
        <v>393</v>
      </c>
      <c r="J1201" s="560">
        <v>30000</v>
      </c>
      <c r="K1201" s="350" t="s">
        <v>394</v>
      </c>
      <c r="L1201" s="353">
        <v>2801.6</v>
      </c>
      <c r="M1201" s="560">
        <f t="shared" si="52"/>
        <v>10.708166761850372</v>
      </c>
      <c r="N1201" s="354" t="s">
        <v>395</v>
      </c>
      <c r="O1201" s="354">
        <v>0</v>
      </c>
      <c r="P1201" s="355" t="s">
        <v>396</v>
      </c>
      <c r="Q1201" s="353" t="s">
        <v>345</v>
      </c>
      <c r="R1201" s="353">
        <v>0</v>
      </c>
      <c r="S1201" s="353">
        <v>0</v>
      </c>
      <c r="T1201" s="353">
        <v>0</v>
      </c>
      <c r="U1201" s="353">
        <v>0</v>
      </c>
      <c r="V1201" s="353">
        <v>0</v>
      </c>
      <c r="W1201" s="353">
        <v>0</v>
      </c>
    </row>
    <row r="1202" spans="1:23" x14ac:dyDescent="0.25">
      <c r="A1202" s="348" t="s">
        <v>1705</v>
      </c>
      <c r="B1202" s="379">
        <v>107</v>
      </c>
      <c r="C1202" s="423">
        <v>45200</v>
      </c>
      <c r="D1202" s="427" t="s">
        <v>1700</v>
      </c>
      <c r="E1202" s="352">
        <v>6345</v>
      </c>
      <c r="F1202" s="353">
        <v>6</v>
      </c>
      <c r="G1202" s="351" t="s">
        <v>1587</v>
      </c>
      <c r="H1202" s="350" t="s">
        <v>1712</v>
      </c>
      <c r="I1202" s="350" t="s">
        <v>393</v>
      </c>
      <c r="J1202" s="560">
        <v>15000</v>
      </c>
      <c r="K1202" s="350" t="s">
        <v>394</v>
      </c>
      <c r="L1202" s="353">
        <v>2801.6</v>
      </c>
      <c r="M1202" s="560">
        <f t="shared" si="52"/>
        <v>5.3540833809251858</v>
      </c>
      <c r="N1202" s="354" t="s">
        <v>395</v>
      </c>
      <c r="O1202" s="354">
        <v>0</v>
      </c>
      <c r="P1202" s="355" t="s">
        <v>396</v>
      </c>
      <c r="Q1202" s="353" t="s">
        <v>345</v>
      </c>
      <c r="R1202" s="353">
        <v>0</v>
      </c>
      <c r="S1202" s="353">
        <v>0</v>
      </c>
      <c r="T1202" s="353">
        <v>0</v>
      </c>
      <c r="U1202" s="353">
        <v>0</v>
      </c>
      <c r="V1202" s="353">
        <v>0</v>
      </c>
      <c r="W1202" s="353">
        <v>0</v>
      </c>
    </row>
    <row r="1203" spans="1:23" x14ac:dyDescent="0.25">
      <c r="A1203" s="348" t="s">
        <v>1705</v>
      </c>
      <c r="B1203" s="379">
        <v>107</v>
      </c>
      <c r="C1203" s="423">
        <v>45200</v>
      </c>
      <c r="D1203" s="427" t="s">
        <v>1700</v>
      </c>
      <c r="E1203" s="352">
        <v>6345</v>
      </c>
      <c r="F1203" s="353">
        <v>6</v>
      </c>
      <c r="G1203" s="351" t="s">
        <v>1587</v>
      </c>
      <c r="H1203" s="350" t="s">
        <v>1713</v>
      </c>
      <c r="I1203" s="350" t="s">
        <v>393</v>
      </c>
      <c r="J1203" s="560">
        <v>100000</v>
      </c>
      <c r="K1203" s="350" t="s">
        <v>394</v>
      </c>
      <c r="L1203" s="353">
        <v>2801.6</v>
      </c>
      <c r="M1203" s="560">
        <f t="shared" si="52"/>
        <v>35.693889206167903</v>
      </c>
      <c r="N1203" s="354" t="s">
        <v>395</v>
      </c>
      <c r="O1203" s="354">
        <v>0</v>
      </c>
      <c r="P1203" s="355" t="s">
        <v>396</v>
      </c>
      <c r="Q1203" s="353" t="s">
        <v>345</v>
      </c>
      <c r="R1203" s="353">
        <v>0</v>
      </c>
      <c r="S1203" s="353">
        <v>0</v>
      </c>
      <c r="T1203" s="353">
        <v>0</v>
      </c>
      <c r="U1203" s="353">
        <v>0</v>
      </c>
      <c r="V1203" s="353">
        <v>0</v>
      </c>
      <c r="W1203" s="353">
        <v>0</v>
      </c>
    </row>
    <row r="1204" spans="1:23" x14ac:dyDescent="0.25">
      <c r="A1204" s="348" t="s">
        <v>1714</v>
      </c>
      <c r="B1204" s="379">
        <v>87</v>
      </c>
      <c r="C1204" s="423">
        <v>45200</v>
      </c>
      <c r="D1204" s="351">
        <v>45056</v>
      </c>
      <c r="E1204" s="352">
        <v>6345</v>
      </c>
      <c r="F1204" s="353">
        <v>6</v>
      </c>
      <c r="G1204" s="351" t="s">
        <v>1270</v>
      </c>
      <c r="H1204" s="350" t="s">
        <v>1715</v>
      </c>
      <c r="I1204" s="350" t="s">
        <v>393</v>
      </c>
      <c r="J1204" s="375">
        <v>1500000</v>
      </c>
      <c r="K1204" s="350" t="s">
        <v>394</v>
      </c>
      <c r="L1204" s="353">
        <v>2801.6</v>
      </c>
      <c r="M1204" s="433">
        <f>J1204/L1204</f>
        <v>535.40833809251853</v>
      </c>
      <c r="N1204" s="354" t="s">
        <v>395</v>
      </c>
      <c r="O1204" s="354">
        <v>0</v>
      </c>
      <c r="P1204" s="355" t="s">
        <v>396</v>
      </c>
      <c r="Q1204" s="353" t="s">
        <v>345</v>
      </c>
      <c r="R1204" s="353">
        <v>0</v>
      </c>
      <c r="S1204" s="353">
        <v>0</v>
      </c>
      <c r="T1204" s="353">
        <v>0</v>
      </c>
      <c r="U1204" s="353">
        <v>0</v>
      </c>
      <c r="V1204" s="353">
        <v>0</v>
      </c>
      <c r="W1204" s="353">
        <v>0</v>
      </c>
    </row>
    <row r="1205" spans="1:23" x14ac:dyDescent="0.25">
      <c r="A1205" s="348" t="s">
        <v>1716</v>
      </c>
      <c r="B1205" s="379">
        <v>108</v>
      </c>
      <c r="C1205" s="423">
        <v>45200</v>
      </c>
      <c r="D1205" s="427" t="s">
        <v>1717</v>
      </c>
      <c r="E1205" s="352">
        <v>6171</v>
      </c>
      <c r="F1205" s="353">
        <v>6</v>
      </c>
      <c r="G1205" s="353" t="s">
        <v>1423</v>
      </c>
      <c r="H1205" s="627" t="s">
        <v>1692</v>
      </c>
      <c r="I1205" s="350" t="s">
        <v>393</v>
      </c>
      <c r="J1205" s="560">
        <v>295750</v>
      </c>
      <c r="K1205" s="350" t="s">
        <v>394</v>
      </c>
      <c r="L1205" s="353">
        <v>2801.6</v>
      </c>
      <c r="M1205" s="433">
        <f t="shared" ref="M1205:M1210" si="53">J1205/L1205</f>
        <v>105.56467732724158</v>
      </c>
      <c r="N1205" s="354" t="s">
        <v>395</v>
      </c>
      <c r="O1205" s="354">
        <v>0</v>
      </c>
      <c r="P1205" s="355" t="s">
        <v>396</v>
      </c>
      <c r="Q1205" s="353" t="s">
        <v>345</v>
      </c>
      <c r="R1205" s="353">
        <v>0</v>
      </c>
      <c r="S1205" s="353">
        <v>0</v>
      </c>
      <c r="T1205" s="353">
        <v>0</v>
      </c>
      <c r="U1205" s="353">
        <v>0</v>
      </c>
      <c r="V1205" s="353">
        <v>0</v>
      </c>
      <c r="W1205" s="353">
        <v>0</v>
      </c>
    </row>
    <row r="1206" spans="1:23" x14ac:dyDescent="0.25">
      <c r="A1206" s="348" t="s">
        <v>1718</v>
      </c>
      <c r="B1206" s="379">
        <v>109</v>
      </c>
      <c r="C1206" s="423">
        <v>45200</v>
      </c>
      <c r="D1206" s="427" t="s">
        <v>1717</v>
      </c>
      <c r="E1206" s="352">
        <v>6345</v>
      </c>
      <c r="F1206" s="353">
        <v>6</v>
      </c>
      <c r="G1206" s="353" t="s">
        <v>1423</v>
      </c>
      <c r="H1206" s="350" t="s">
        <v>1689</v>
      </c>
      <c r="I1206" s="350" t="s">
        <v>393</v>
      </c>
      <c r="J1206" s="560">
        <v>600000</v>
      </c>
      <c r="K1206" s="350" t="s">
        <v>394</v>
      </c>
      <c r="L1206" s="353">
        <v>2801.6</v>
      </c>
      <c r="M1206" s="433">
        <f t="shared" si="53"/>
        <v>214.16333523700743</v>
      </c>
      <c r="N1206" s="354" t="s">
        <v>395</v>
      </c>
      <c r="O1206" s="354">
        <v>0</v>
      </c>
      <c r="P1206" s="355" t="s">
        <v>396</v>
      </c>
      <c r="Q1206" s="353" t="s">
        <v>345</v>
      </c>
      <c r="R1206" s="353">
        <v>0</v>
      </c>
      <c r="S1206" s="353">
        <v>0</v>
      </c>
      <c r="T1206" s="353">
        <v>0</v>
      </c>
      <c r="U1206" s="353">
        <v>0</v>
      </c>
      <c r="V1206" s="353">
        <v>0</v>
      </c>
      <c r="W1206" s="353">
        <v>0</v>
      </c>
    </row>
    <row r="1207" spans="1:23" x14ac:dyDescent="0.25">
      <c r="A1207" s="348" t="s">
        <v>1719</v>
      </c>
      <c r="B1207" s="379">
        <v>110</v>
      </c>
      <c r="C1207" s="423">
        <v>45200</v>
      </c>
      <c r="D1207" s="427" t="s">
        <v>1720</v>
      </c>
      <c r="E1207" s="352">
        <v>6345</v>
      </c>
      <c r="F1207" s="353">
        <v>6</v>
      </c>
      <c r="G1207" s="353" t="s">
        <v>1423</v>
      </c>
      <c r="H1207" s="350" t="s">
        <v>1689</v>
      </c>
      <c r="I1207" s="350" t="s">
        <v>393</v>
      </c>
      <c r="J1207" s="560">
        <v>150000</v>
      </c>
      <c r="K1207" s="350" t="s">
        <v>394</v>
      </c>
      <c r="L1207" s="353">
        <v>2801.6</v>
      </c>
      <c r="M1207" s="433">
        <f t="shared" si="53"/>
        <v>53.540833809251858</v>
      </c>
      <c r="N1207" s="354" t="s">
        <v>395</v>
      </c>
      <c r="O1207" s="354">
        <v>0</v>
      </c>
      <c r="P1207" s="355" t="s">
        <v>396</v>
      </c>
      <c r="Q1207" s="353" t="s">
        <v>345</v>
      </c>
      <c r="R1207" s="353">
        <v>0</v>
      </c>
      <c r="S1207" s="353">
        <v>0</v>
      </c>
      <c r="T1207" s="353">
        <v>0</v>
      </c>
      <c r="U1207" s="353">
        <v>0</v>
      </c>
      <c r="V1207" s="353">
        <v>0</v>
      </c>
      <c r="W1207" s="353">
        <v>0</v>
      </c>
    </row>
    <row r="1208" spans="1:23" x14ac:dyDescent="0.25">
      <c r="A1208" s="348" t="s">
        <v>1716</v>
      </c>
      <c r="B1208" s="379">
        <v>108</v>
      </c>
      <c r="C1208" s="423">
        <v>45200</v>
      </c>
      <c r="D1208" s="427" t="s">
        <v>1717</v>
      </c>
      <c r="E1208" s="352">
        <v>6171</v>
      </c>
      <c r="F1208" s="353">
        <v>6</v>
      </c>
      <c r="G1208" s="353" t="s">
        <v>1423</v>
      </c>
      <c r="H1208" s="627" t="s">
        <v>1692</v>
      </c>
      <c r="I1208" s="350" t="s">
        <v>393</v>
      </c>
      <c r="J1208" s="560">
        <v>295750</v>
      </c>
      <c r="K1208" s="350" t="s">
        <v>394</v>
      </c>
      <c r="L1208" s="353">
        <v>2801.6</v>
      </c>
      <c r="M1208" s="433">
        <f t="shared" si="53"/>
        <v>105.56467732724158</v>
      </c>
      <c r="N1208" s="354" t="s">
        <v>395</v>
      </c>
      <c r="O1208" s="354">
        <v>0</v>
      </c>
      <c r="P1208" s="355" t="s">
        <v>396</v>
      </c>
      <c r="Q1208" s="353" t="s">
        <v>345</v>
      </c>
      <c r="R1208" s="353">
        <v>0</v>
      </c>
      <c r="S1208" s="353">
        <v>0</v>
      </c>
      <c r="T1208" s="353">
        <v>0</v>
      </c>
      <c r="U1208" s="353">
        <v>0</v>
      </c>
      <c r="V1208" s="353">
        <v>0</v>
      </c>
      <c r="W1208" s="353">
        <v>0</v>
      </c>
    </row>
    <row r="1209" spans="1:23" x14ac:dyDescent="0.25">
      <c r="A1209" s="348" t="s">
        <v>1718</v>
      </c>
      <c r="B1209" s="379">
        <v>109</v>
      </c>
      <c r="C1209" s="423">
        <v>45200</v>
      </c>
      <c r="D1209" s="427" t="s">
        <v>1717</v>
      </c>
      <c r="E1209" s="352">
        <v>6345</v>
      </c>
      <c r="F1209" s="353">
        <v>6</v>
      </c>
      <c r="G1209" s="353" t="s">
        <v>1423</v>
      </c>
      <c r="H1209" s="350" t="s">
        <v>1689</v>
      </c>
      <c r="I1209" s="350" t="s">
        <v>393</v>
      </c>
      <c r="J1209" s="560">
        <v>600000</v>
      </c>
      <c r="K1209" s="350" t="s">
        <v>394</v>
      </c>
      <c r="L1209" s="353">
        <v>2801.6</v>
      </c>
      <c r="M1209" s="433">
        <f t="shared" si="53"/>
        <v>214.16333523700743</v>
      </c>
      <c r="N1209" s="354" t="s">
        <v>395</v>
      </c>
      <c r="O1209" s="354">
        <v>0</v>
      </c>
      <c r="P1209" s="355" t="s">
        <v>396</v>
      </c>
      <c r="Q1209" s="353" t="s">
        <v>345</v>
      </c>
      <c r="R1209" s="353">
        <v>0</v>
      </c>
      <c r="S1209" s="353">
        <v>0</v>
      </c>
      <c r="T1209" s="353">
        <v>0</v>
      </c>
      <c r="U1209" s="353">
        <v>0</v>
      </c>
      <c r="V1209" s="353">
        <v>0</v>
      </c>
      <c r="W1209" s="353">
        <v>0</v>
      </c>
    </row>
    <row r="1210" spans="1:23" x14ac:dyDescent="0.25">
      <c r="A1210" s="348" t="s">
        <v>1719</v>
      </c>
      <c r="B1210" s="379">
        <v>110</v>
      </c>
      <c r="C1210" s="423">
        <v>45200</v>
      </c>
      <c r="D1210" s="427" t="s">
        <v>1720</v>
      </c>
      <c r="E1210" s="352">
        <v>6345</v>
      </c>
      <c r="F1210" s="353">
        <v>6</v>
      </c>
      <c r="G1210" s="353" t="s">
        <v>1423</v>
      </c>
      <c r="H1210" s="350" t="s">
        <v>1689</v>
      </c>
      <c r="I1210" s="350" t="s">
        <v>393</v>
      </c>
      <c r="J1210" s="560">
        <v>150000</v>
      </c>
      <c r="K1210" s="350" t="s">
        <v>394</v>
      </c>
      <c r="L1210" s="353">
        <v>2801.6</v>
      </c>
      <c r="M1210" s="433">
        <f t="shared" si="53"/>
        <v>53.540833809251858</v>
      </c>
      <c r="N1210" s="354" t="s">
        <v>395</v>
      </c>
      <c r="O1210" s="354">
        <v>0</v>
      </c>
      <c r="P1210" s="355" t="s">
        <v>396</v>
      </c>
      <c r="Q1210" s="353" t="s">
        <v>345</v>
      </c>
      <c r="R1210" s="353">
        <v>0</v>
      </c>
      <c r="S1210" s="353">
        <v>0</v>
      </c>
      <c r="T1210" s="353">
        <v>0</v>
      </c>
      <c r="U1210" s="353">
        <v>0</v>
      </c>
      <c r="V1210" s="353">
        <v>0</v>
      </c>
      <c r="W1210" s="353">
        <v>0</v>
      </c>
    </row>
    <row r="1211" spans="1:23" x14ac:dyDescent="0.25">
      <c r="A1211" s="348" t="s">
        <v>1751</v>
      </c>
      <c r="B1211" s="349">
        <v>5646</v>
      </c>
      <c r="C1211" s="352" t="s">
        <v>1733</v>
      </c>
      <c r="D1211" s="351">
        <v>45210</v>
      </c>
      <c r="E1211" s="352">
        <v>3570</v>
      </c>
      <c r="F1211" s="353">
        <v>7</v>
      </c>
      <c r="G1211" s="353" t="s">
        <v>1423</v>
      </c>
      <c r="H1211" s="350" t="s">
        <v>1755</v>
      </c>
      <c r="I1211" s="350" t="s">
        <v>393</v>
      </c>
      <c r="J1211" s="354">
        <v>4800000</v>
      </c>
      <c r="K1211" s="350" t="s">
        <v>394</v>
      </c>
      <c r="L1211" s="354">
        <v>0</v>
      </c>
      <c r="M1211" s="354">
        <v>1699.11</v>
      </c>
      <c r="N1211" s="350" t="s">
        <v>395</v>
      </c>
      <c r="O1211" s="354">
        <v>0</v>
      </c>
      <c r="P1211" s="355" t="s">
        <v>396</v>
      </c>
      <c r="Q1211" s="353" t="s">
        <v>404</v>
      </c>
      <c r="R1211" s="352" t="s">
        <v>405</v>
      </c>
      <c r="S1211" s="352">
        <v>0</v>
      </c>
      <c r="T1211" s="350" t="s">
        <v>406</v>
      </c>
      <c r="U1211" s="351">
        <v>45235</v>
      </c>
      <c r="V1211" s="351">
        <v>45236</v>
      </c>
      <c r="W1211" s="350" t="s">
        <v>407</v>
      </c>
    </row>
    <row r="1212" spans="1:23" x14ac:dyDescent="0.25">
      <c r="A1212" s="348" t="s">
        <v>1752</v>
      </c>
      <c r="B1212" s="349">
        <v>5650</v>
      </c>
      <c r="C1212" s="352" t="s">
        <v>1733</v>
      </c>
      <c r="D1212" s="351">
        <v>45217</v>
      </c>
      <c r="E1212" s="352">
        <v>3570</v>
      </c>
      <c r="F1212" s="353">
        <v>7</v>
      </c>
      <c r="G1212" s="353" t="s">
        <v>1423</v>
      </c>
      <c r="H1212" s="350" t="s">
        <v>1756</v>
      </c>
      <c r="I1212" s="350" t="s">
        <v>393</v>
      </c>
      <c r="J1212" s="354">
        <v>846000</v>
      </c>
      <c r="K1212" s="350" t="s">
        <v>394</v>
      </c>
      <c r="L1212" s="354">
        <v>0</v>
      </c>
      <c r="M1212" s="354">
        <v>299.47000000000003</v>
      </c>
      <c r="N1212" s="350" t="s">
        <v>395</v>
      </c>
      <c r="O1212" s="354">
        <v>0</v>
      </c>
      <c r="P1212" s="355" t="s">
        <v>396</v>
      </c>
      <c r="Q1212" s="353" t="s">
        <v>404</v>
      </c>
      <c r="R1212" s="352" t="s">
        <v>405</v>
      </c>
      <c r="S1212" s="352">
        <v>0</v>
      </c>
      <c r="T1212" s="350" t="s">
        <v>406</v>
      </c>
      <c r="U1212" s="351">
        <v>45235</v>
      </c>
      <c r="V1212" s="351">
        <v>45236</v>
      </c>
      <c r="W1212" s="350" t="s">
        <v>407</v>
      </c>
    </row>
    <row r="1213" spans="1:23" x14ac:dyDescent="0.25">
      <c r="A1213" s="348" t="s">
        <v>1753</v>
      </c>
      <c r="B1213" s="349">
        <v>5670</v>
      </c>
      <c r="C1213" s="352" t="s">
        <v>1733</v>
      </c>
      <c r="D1213" s="351">
        <v>45229</v>
      </c>
      <c r="E1213" s="352">
        <v>3570</v>
      </c>
      <c r="F1213" s="353">
        <v>7</v>
      </c>
      <c r="G1213" s="353" t="s">
        <v>1423</v>
      </c>
      <c r="H1213" s="350" t="s">
        <v>1757</v>
      </c>
      <c r="I1213" s="350" t="s">
        <v>393</v>
      </c>
      <c r="J1213" s="354">
        <v>2956260</v>
      </c>
      <c r="K1213" s="350" t="s">
        <v>394</v>
      </c>
      <c r="L1213" s="354">
        <v>0</v>
      </c>
      <c r="M1213" s="354">
        <v>1046.46</v>
      </c>
      <c r="N1213" s="350" t="s">
        <v>395</v>
      </c>
      <c r="O1213" s="354">
        <v>0</v>
      </c>
      <c r="P1213" s="355" t="s">
        <v>396</v>
      </c>
      <c r="Q1213" s="353" t="s">
        <v>404</v>
      </c>
      <c r="R1213" s="352" t="s">
        <v>405</v>
      </c>
      <c r="S1213" s="352">
        <v>0</v>
      </c>
      <c r="T1213" s="350" t="s">
        <v>406</v>
      </c>
      <c r="U1213" s="351">
        <v>45236</v>
      </c>
      <c r="V1213" s="351">
        <v>45236</v>
      </c>
      <c r="W1213" s="350" t="s">
        <v>407</v>
      </c>
    </row>
    <row r="1214" spans="1:23" x14ac:dyDescent="0.25">
      <c r="A1214" s="348" t="s">
        <v>1754</v>
      </c>
      <c r="B1214" s="349">
        <v>5727</v>
      </c>
      <c r="C1214" s="352" t="s">
        <v>1733</v>
      </c>
      <c r="D1214" s="351">
        <v>45230</v>
      </c>
      <c r="E1214" s="352">
        <v>3570</v>
      </c>
      <c r="F1214" s="353">
        <v>7</v>
      </c>
      <c r="G1214" s="353" t="s">
        <v>1423</v>
      </c>
      <c r="H1214" s="350" t="s">
        <v>1758</v>
      </c>
      <c r="I1214" s="350" t="s">
        <v>393</v>
      </c>
      <c r="J1214" s="354">
        <v>11113089</v>
      </c>
      <c r="K1214" s="350" t="s">
        <v>394</v>
      </c>
      <c r="L1214" s="354">
        <v>0</v>
      </c>
      <c r="M1214" s="354">
        <v>3933.83</v>
      </c>
      <c r="N1214" s="350" t="s">
        <v>395</v>
      </c>
      <c r="O1214" s="354">
        <v>0</v>
      </c>
      <c r="P1214" s="355" t="s">
        <v>396</v>
      </c>
      <c r="Q1214" s="353" t="s">
        <v>404</v>
      </c>
      <c r="R1214" s="352" t="s">
        <v>405</v>
      </c>
      <c r="S1214" s="352">
        <v>0</v>
      </c>
      <c r="T1214" s="350" t="s">
        <v>406</v>
      </c>
      <c r="U1214" s="351">
        <v>45236</v>
      </c>
      <c r="V1214" s="351">
        <v>45236</v>
      </c>
      <c r="W1214" s="350" t="s">
        <v>407</v>
      </c>
    </row>
    <row r="1215" spans="1:23" x14ac:dyDescent="0.25">
      <c r="A1215" s="348" t="s">
        <v>1754</v>
      </c>
      <c r="B1215" s="349">
        <v>5728</v>
      </c>
      <c r="C1215" s="352" t="s">
        <v>1733</v>
      </c>
      <c r="D1215" s="351">
        <v>45230</v>
      </c>
      <c r="E1215" s="352">
        <v>3570</v>
      </c>
      <c r="F1215" s="353">
        <v>7</v>
      </c>
      <c r="G1215" s="353" t="s">
        <v>1423</v>
      </c>
      <c r="H1215" s="350" t="s">
        <v>1758</v>
      </c>
      <c r="I1215" s="350" t="s">
        <v>393</v>
      </c>
      <c r="J1215" s="354">
        <v>9379418</v>
      </c>
      <c r="K1215" s="350" t="s">
        <v>394</v>
      </c>
      <c r="L1215" s="354">
        <v>0</v>
      </c>
      <c r="M1215" s="354">
        <v>3320.15</v>
      </c>
      <c r="N1215" s="350" t="s">
        <v>395</v>
      </c>
      <c r="O1215" s="354">
        <v>0</v>
      </c>
      <c r="P1215" s="355" t="s">
        <v>396</v>
      </c>
      <c r="Q1215" s="353" t="s">
        <v>404</v>
      </c>
      <c r="R1215" s="352" t="s">
        <v>405</v>
      </c>
      <c r="S1215" s="352">
        <v>0</v>
      </c>
      <c r="T1215" s="350" t="s">
        <v>406</v>
      </c>
      <c r="U1215" s="351">
        <v>45236</v>
      </c>
      <c r="V1215" s="351">
        <v>45236</v>
      </c>
      <c r="W1215" s="350" t="s">
        <v>407</v>
      </c>
    </row>
  </sheetData>
  <pageMargins left="0.7" right="0.7" top="0.75" bottom="0.75" header="0.3" footer="0.3"/>
  <customProperties>
    <customPr name="QAA_DRILLPATH_NODE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b759e4c-f0d7-4feb-bda3-ed2800574e06" xsi:nil="true"/>
    <lcf76f155ced4ddcb4097134ff3c332f xmlns="b1528a4b-5ccb-40f7-a09e-43427183cd95">
      <Terms xmlns="http://schemas.microsoft.com/office/infopath/2007/PartnerControls"/>
    </lcf76f155ced4ddcb4097134ff3c332f>
    <Status xmlns="b1528a4b-5ccb-40f7-a09e-43427183cd95">Finalized - Signature Redacted</Status>
    <DocumentType xmlns="f9695bc1-6109-4dcd-a27a-f8a0370b00e2">Progress report</DocumentType>
    <UploadedBy xmlns="b1528a4b-5ccb-40f7-a09e-43427183cd95">suzanne.kanyange@undp.org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ProjectId xmlns="f9695bc1-6109-4dcd-a27a-f8a0370b00e2">MPTF_00006_00977</ProjectId>
    <FundCode xmlns="f9695bc1-6109-4dcd-a27a-f8a0370b00e2">MPTF_00006</FundCode>
    <Comments xmlns="f9695bc1-6109-4dcd-a27a-f8a0370b00e2" xsi:nil="true"/>
    <Active xmlns="f9695bc1-6109-4dcd-a27a-f8a0370b00e2">Yes</Active>
    <DocumentDate xmlns="b1528a4b-5ccb-40f7-a09e-43427183cd95">2023-11-15T08:00:00+00:00</DocumentDate>
    <Featured xmlns="b1528a4b-5ccb-40f7-a09e-43427183cd95">1</Featured>
    <FormTypeCode xmlns="b1528a4b-5ccb-40f7-a09e-43427183cd9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2" ma:contentTypeDescription="Create a new document." ma:contentTypeScope="" ma:versionID="29a5dad6912fcefd8fe82790b8ba102a">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8158acc1eb5a52197291101a5dc7d945"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EB783A-78D5-46BE-BDBD-A49DF1437505}">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purl.org/dc/elements/1.1/"/>
    <ds:schemaRef ds:uri="f4c47302-485e-468c-99a9-488e065be639"/>
    <ds:schemaRef ds:uri="96efc758-ca00-42f8-b2fb-dc7221a5dc4d"/>
    <ds:schemaRef ds:uri="http://www.w3.org/XML/1998/namespace"/>
    <ds:schemaRef ds:uri="http://schemas.microsoft.com/office/infopath/2007/PartnerControls"/>
    <ds:schemaRef ds:uri="1ebc303e-8aff-47d3-a05b-6db01262ec41"/>
    <ds:schemaRef ds:uri="af84e4ec-eac2-49ff-9a8a-97a82cd3a5ff"/>
    <ds:schemaRef ds:uri="05af516d-3959-4b07-9006-c20b9a119ef8"/>
  </ds:schemaRefs>
</ds:datastoreItem>
</file>

<file path=customXml/itemProps2.xml><?xml version="1.0" encoding="utf-8"?>
<ds:datastoreItem xmlns:ds="http://schemas.openxmlformats.org/officeDocument/2006/customXml" ds:itemID="{199575A3-C7F3-4B03-B1DD-F453F8C60B95}"/>
</file>

<file path=customXml/itemProps3.xml><?xml version="1.0" encoding="utf-8"?>
<ds:datastoreItem xmlns:ds="http://schemas.openxmlformats.org/officeDocument/2006/customXml" ds:itemID="{45ECA1C7-D9BF-4223-8ACC-59B71475B1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1) Budget Tables</vt:lpstr>
      <vt:lpstr>2) By Category</vt:lpstr>
      <vt:lpstr>4) For PBSO Use</vt:lpstr>
      <vt:lpstr>5) For MPTF Use</vt:lpstr>
      <vt:lpstr>6)Transaction List</vt:lpstr>
      <vt:lpstr>Output</vt:lpstr>
      <vt:lpstr>Sheet2</vt:lpstr>
      <vt:lpstr>7) UNPBF CAB Mapping Category </vt:lpstr>
      <vt:lpstr>TL1</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CAI Oct 2023.xlsx</dc:title>
  <dc:creator>Silvia Elena Mongelos</dc:creator>
  <cp:lastModifiedBy>Suzanne Kanyange</cp:lastModifiedBy>
  <cp:lastPrinted>2023-07-21T14:15:58Z</cp:lastPrinted>
  <dcterms:created xsi:type="dcterms:W3CDTF">2015-06-05T18:17:20Z</dcterms:created>
  <dcterms:modified xsi:type="dcterms:W3CDTF">2024-07-25T15:54:31Z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0x010100A20E1B0FB969FA4DB37D3562DA9CC146</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